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codeName="ThisWorkbook"/>
  <mc:AlternateContent xmlns:mc="http://schemas.openxmlformats.org/markup-compatibility/2006">
    <mc:Choice Requires="x15">
      <x15ac:absPath xmlns:x15ac="http://schemas.microsoft.com/office/spreadsheetml/2010/11/ac" url="/Users/bristowp/Documents/CRIRES+/SysEng/DetailDesign/ICS/"/>
    </mc:Choice>
  </mc:AlternateContent>
  <xr:revisionPtr revIDLastSave="0" documentId="13_ncr:1_{6AEF329E-1B6E-D84F-A4E2-C103F9DB8224}" xr6:coauthVersionLast="45" xr6:coauthVersionMax="45" xr10:uidLastSave="{00000000-0000-0000-0000-000000000000}"/>
  <bookViews>
    <workbookView xWindow="0" yWindow="0" windowWidth="28800" windowHeight="18000" activeTab="2" xr2:uid="{00000000-000D-0000-FFFF-FFFF00000000}"/>
  </bookViews>
  <sheets>
    <sheet name="CoverPage (FilledByPDM)" sheetId="1" r:id="rId1"/>
    <sheet name="Table notes" sheetId="2" r:id="rId2"/>
    <sheet name="crmcfgWLEN.txt" sheetId="3" r:id="rId3"/>
    <sheet name="EchelleFPAparam" sheetId="4" r:id="rId4"/>
    <sheet name="Standard Settings" sheetId="5" r:id="rId5"/>
    <sheet name="crifors fudge" sheetId="6" r:id="rId6"/>
    <sheet name="encVangle" sheetId="7" r:id="rId7"/>
  </sheets>
  <definedNames>
    <definedName name="CP_ApprovedBy">'CoverPage (FilledByPDM)'!$B$38</definedName>
    <definedName name="CP_DocClassification">'CoverPage (FilledByPDM)'!$B$23</definedName>
    <definedName name="CP_DocName">'CoverPage (FilledByPDM)'!$B$17</definedName>
    <definedName name="CP_DocNumber">'CoverPage (FilledByPDM)'!$B$19</definedName>
    <definedName name="CP_DocType">'CoverPage (FilledByPDM)'!$B$21</definedName>
    <definedName name="CP_DocVersion">'CoverPage (FilledByPDM)'!$B$20</definedName>
    <definedName name="CP_Job">'CoverPage (FilledByPDM)'!$B$15</definedName>
    <definedName name="CP_PreparedBy">'CoverPage (FilledByPDM)'!$B$36</definedName>
    <definedName name="CP_Programme">'CoverPage (FilledByPDM)'!$B$14</definedName>
    <definedName name="CP_ReleasedOn">'CoverPage (FilledByPDM)'!$B$22</definedName>
    <definedName name="CP_ValidatedBy">'CoverPage (FilledByPDM)'!$B$37</definedName>
    <definedName name="DocName">'CoverPage (FilledByPDM)'!$B$17</definedName>
    <definedName name="temp" localSheetId="2">'crmcfgWLEN.txt'!$FS$7:$HX$35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6" i="3" l="1"/>
  <c r="E7" i="3" l="1"/>
  <c r="R6" i="4" l="1"/>
  <c r="AC3" i="4"/>
  <c r="B6" i="7" l="1"/>
  <c r="AO25" i="3" l="1"/>
  <c r="GS16" i="3" l="1"/>
  <c r="GS19" i="3"/>
  <c r="GM19" i="3"/>
  <c r="GM16" i="3"/>
  <c r="GA19" i="3"/>
  <c r="GA18" i="3"/>
  <c r="GA17" i="3"/>
  <c r="GA16" i="3"/>
  <c r="FU19" i="3"/>
  <c r="FU18" i="3"/>
  <c r="FU17" i="3"/>
  <c r="FU16" i="3"/>
  <c r="GG19" i="3"/>
  <c r="GG18" i="3"/>
  <c r="GG17" i="3"/>
  <c r="GG16" i="3"/>
  <c r="R31" i="4" l="1"/>
  <c r="R30" i="4"/>
  <c r="R29" i="4"/>
  <c r="R28" i="4"/>
  <c r="R27" i="4"/>
  <c r="R26" i="4"/>
  <c r="R25" i="4"/>
  <c r="R24" i="4"/>
  <c r="R23" i="4"/>
  <c r="R22" i="4"/>
  <c r="R21" i="4"/>
  <c r="R20" i="4"/>
  <c r="R19" i="4"/>
  <c r="R18" i="4"/>
  <c r="R17" i="4"/>
  <c r="R16" i="4"/>
  <c r="R15" i="4"/>
  <c r="R14" i="4"/>
  <c r="R13" i="4"/>
  <c r="R12" i="4"/>
  <c r="R11" i="4"/>
  <c r="R10" i="4"/>
  <c r="R9" i="4"/>
  <c r="R8" i="4"/>
  <c r="R7" i="4"/>
  <c r="R5" i="4"/>
  <c r="R4" i="4"/>
  <c r="R3" i="4"/>
  <c r="O786" i="7"/>
  <c r="AH748" i="7"/>
  <c r="AH747" i="7"/>
  <c r="AH742" i="7"/>
  <c r="AH738" i="7"/>
  <c r="AH736" i="7"/>
  <c r="O746" i="7"/>
  <c r="M746" i="7"/>
  <c r="L746" i="7"/>
  <c r="K746" i="7"/>
  <c r="J746" i="7"/>
  <c r="O758" i="7"/>
  <c r="AH741" i="7" s="1"/>
  <c r="M758" i="7"/>
  <c r="L758" i="7"/>
  <c r="K758" i="7"/>
  <c r="J758" i="7"/>
  <c r="O762" i="7"/>
  <c r="M762" i="7"/>
  <c r="L762" i="7"/>
  <c r="K762" i="7"/>
  <c r="J762" i="7"/>
  <c r="O766" i="7"/>
  <c r="AH743" i="7" s="1"/>
  <c r="M766" i="7"/>
  <c r="L766" i="7"/>
  <c r="K766" i="7"/>
  <c r="J766" i="7"/>
  <c r="O770" i="7"/>
  <c r="AH744" i="7" s="1"/>
  <c r="M770" i="7"/>
  <c r="L770" i="7"/>
  <c r="K770" i="7"/>
  <c r="J770" i="7"/>
  <c r="O778" i="7"/>
  <c r="AH746" i="7" s="1"/>
  <c r="M778" i="7"/>
  <c r="L778" i="7"/>
  <c r="K778" i="7"/>
  <c r="J778" i="7"/>
  <c r="O782" i="7"/>
  <c r="M782" i="7"/>
  <c r="L782" i="7"/>
  <c r="K782" i="7"/>
  <c r="J782" i="7"/>
  <c r="O734" i="7"/>
  <c r="AH735" i="7" s="1"/>
  <c r="M734" i="7"/>
  <c r="L734" i="7"/>
  <c r="K734" i="7"/>
  <c r="J734" i="7"/>
  <c r="O774" i="7"/>
  <c r="AH745" i="7" s="1"/>
  <c r="M774" i="7"/>
  <c r="L774" i="7"/>
  <c r="K774" i="7"/>
  <c r="J774" i="7"/>
  <c r="O750" i="7"/>
  <c r="AH739" i="7" s="1"/>
  <c r="M750" i="7"/>
  <c r="L750" i="7"/>
  <c r="K750" i="7"/>
  <c r="J750" i="7"/>
  <c r="O742" i="7"/>
  <c r="AH737" i="7" s="1"/>
  <c r="M742" i="7"/>
  <c r="L742" i="7"/>
  <c r="K742" i="7"/>
  <c r="J742" i="7"/>
  <c r="O754" i="7"/>
  <c r="AH740" i="7" s="1"/>
  <c r="M754" i="7"/>
  <c r="L754" i="7"/>
  <c r="K754" i="7"/>
  <c r="J754" i="7"/>
  <c r="FH8" i="3"/>
  <c r="FI8" i="3"/>
  <c r="FJ8" i="3"/>
  <c r="FK8" i="3"/>
  <c r="FL8" i="3"/>
  <c r="FM8" i="3"/>
  <c r="FH9" i="3"/>
  <c r="FI9" i="3"/>
  <c r="FJ9" i="3"/>
  <c r="FK9" i="3"/>
  <c r="FL9" i="3"/>
  <c r="FM9" i="3"/>
  <c r="FH10" i="3"/>
  <c r="FI10" i="3"/>
  <c r="FJ10" i="3"/>
  <c r="FK10" i="3"/>
  <c r="FL10" i="3"/>
  <c r="FM10" i="3"/>
  <c r="FH11" i="3"/>
  <c r="FI11" i="3"/>
  <c r="FJ11" i="3"/>
  <c r="FK11" i="3"/>
  <c r="FL11" i="3"/>
  <c r="FM11" i="3"/>
  <c r="O738" i="7"/>
  <c r="M738" i="7"/>
  <c r="L738" i="7"/>
  <c r="K738" i="7"/>
  <c r="J738" i="7"/>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E30" i="5" l="1"/>
  <c r="E29" i="5"/>
  <c r="E28" i="5"/>
  <c r="E27" i="5"/>
  <c r="E26" i="5"/>
  <c r="E25" i="5"/>
  <c r="E24" i="5"/>
  <c r="F24" i="5" s="1"/>
  <c r="E23" i="5"/>
  <c r="E22" i="5"/>
  <c r="E21" i="5"/>
  <c r="E20" i="5"/>
  <c r="E19" i="5"/>
  <c r="E18" i="5"/>
  <c r="E17" i="5"/>
  <c r="E16" i="5"/>
  <c r="E15" i="5"/>
  <c r="E14" i="5"/>
  <c r="E13" i="5"/>
  <c r="E12" i="5"/>
  <c r="E11" i="5"/>
  <c r="E10" i="5"/>
  <c r="E9" i="5"/>
  <c r="E8" i="5"/>
  <c r="E7" i="5"/>
  <c r="E6" i="5"/>
  <c r="E5" i="5"/>
  <c r="E4" i="5"/>
  <c r="E3" i="5"/>
  <c r="E2" i="5"/>
  <c r="Q7" i="3" s="1"/>
  <c r="I447" i="7"/>
  <c r="I451" i="7" s="1"/>
  <c r="I455" i="7" s="1"/>
  <c r="I459" i="7" s="1"/>
  <c r="I463" i="7" s="1"/>
  <c r="I467" i="7" s="1"/>
  <c r="I471" i="7" s="1"/>
  <c r="I475" i="7" s="1"/>
  <c r="I479" i="7" s="1"/>
  <c r="I483" i="7" s="1"/>
  <c r="I487" i="7" s="1"/>
  <c r="I491" i="7" s="1"/>
  <c r="I495" i="7" s="1"/>
  <c r="I499" i="7" s="1"/>
  <c r="I503" i="7" s="1"/>
  <c r="I507" i="7" s="1"/>
  <c r="I511" i="7" s="1"/>
  <c r="I515" i="7" s="1"/>
  <c r="I519" i="7" s="1"/>
  <c r="I523" i="7" s="1"/>
  <c r="I527" i="7" s="1"/>
  <c r="I531" i="7" s="1"/>
  <c r="I535" i="7" s="1"/>
  <c r="I539" i="7" s="1"/>
  <c r="I543" i="7" s="1"/>
  <c r="I547" i="7" s="1"/>
  <c r="I427" i="7"/>
  <c r="I431" i="7" s="1"/>
  <c r="I435" i="7" s="1"/>
  <c r="I403" i="7"/>
  <c r="I407" i="7" s="1"/>
  <c r="I411" i="7" s="1"/>
  <c r="I415" i="7" s="1"/>
  <c r="I419" i="7" s="1"/>
  <c r="I379" i="7"/>
  <c r="I383" i="7" s="1"/>
  <c r="I387" i="7" s="1"/>
  <c r="I391" i="7" s="1"/>
  <c r="I395" i="7" s="1"/>
  <c r="I355" i="7"/>
  <c r="I359" i="7" s="1"/>
  <c r="I363" i="7" s="1"/>
  <c r="I367" i="7" s="1"/>
  <c r="I371" i="7" s="1"/>
  <c r="I331" i="7"/>
  <c r="I335" i="7" s="1"/>
  <c r="I339" i="7" s="1"/>
  <c r="I343" i="7" s="1"/>
  <c r="I347" i="7" s="1"/>
  <c r="I307" i="7"/>
  <c r="I311" i="7" s="1"/>
  <c r="I315" i="7" s="1"/>
  <c r="I319" i="7" s="1"/>
  <c r="I323" i="7" s="1"/>
  <c r="I283" i="7"/>
  <c r="I287" i="7" s="1"/>
  <c r="I291" i="7" s="1"/>
  <c r="I295" i="7" s="1"/>
  <c r="I299" i="7" s="1"/>
  <c r="I259" i="7"/>
  <c r="I263" i="7" s="1"/>
  <c r="I267" i="7" s="1"/>
  <c r="I271" i="7" s="1"/>
  <c r="I275" i="7" s="1"/>
  <c r="I235" i="7"/>
  <c r="I239" i="7" s="1"/>
  <c r="I243" i="7" s="1"/>
  <c r="I247" i="7" s="1"/>
  <c r="I251" i="7" s="1"/>
  <c r="I211" i="7"/>
  <c r="I215" i="7" s="1"/>
  <c r="I219" i="7" s="1"/>
  <c r="I223" i="7" s="1"/>
  <c r="I227" i="7" s="1"/>
  <c r="I187" i="7"/>
  <c r="I191" i="7" s="1"/>
  <c r="I195" i="7" s="1"/>
  <c r="I199" i="7" s="1"/>
  <c r="I203" i="7" s="1"/>
  <c r="I163" i="7"/>
  <c r="I167" i="7" s="1"/>
  <c r="I171" i="7" s="1"/>
  <c r="I175" i="7" s="1"/>
  <c r="I179" i="7" s="1"/>
  <c r="O727" i="7"/>
  <c r="AH722" i="7" s="1"/>
  <c r="M727" i="7"/>
  <c r="L727" i="7"/>
  <c r="K727" i="7"/>
  <c r="J727" i="7"/>
  <c r="O723" i="7"/>
  <c r="AH721" i="7" s="1"/>
  <c r="M723" i="7"/>
  <c r="L723" i="7"/>
  <c r="K723" i="7"/>
  <c r="J723" i="7"/>
  <c r="O719" i="7"/>
  <c r="AH720" i="7" s="1"/>
  <c r="M719" i="7"/>
  <c r="L719" i="7"/>
  <c r="K719" i="7"/>
  <c r="J719" i="7"/>
  <c r="O715" i="7"/>
  <c r="AH662" i="7" s="1"/>
  <c r="M715" i="7"/>
  <c r="L715" i="7"/>
  <c r="K715" i="7"/>
  <c r="J715" i="7"/>
  <c r="O711" i="7"/>
  <c r="AH661" i="7" s="1"/>
  <c r="M711" i="7"/>
  <c r="L711" i="7"/>
  <c r="K711" i="7"/>
  <c r="J711" i="7"/>
  <c r="O707" i="7"/>
  <c r="AH660" i="7" s="1"/>
  <c r="M707" i="7"/>
  <c r="L707" i="7"/>
  <c r="K707" i="7"/>
  <c r="J707" i="7"/>
  <c r="O695" i="7"/>
  <c r="AH657" i="7" s="1"/>
  <c r="M695" i="7"/>
  <c r="L695" i="7"/>
  <c r="K695" i="7"/>
  <c r="J695" i="7"/>
  <c r="O703" i="7"/>
  <c r="AH659" i="7" s="1"/>
  <c r="M703" i="7"/>
  <c r="L703" i="7"/>
  <c r="K703" i="7"/>
  <c r="J703" i="7"/>
  <c r="O699" i="7"/>
  <c r="AH658" i="7" s="1"/>
  <c r="M699" i="7"/>
  <c r="L699" i="7"/>
  <c r="K699" i="7"/>
  <c r="J699" i="7"/>
  <c r="O691" i="7"/>
  <c r="AH656" i="7" s="1"/>
  <c r="M691" i="7"/>
  <c r="L691" i="7"/>
  <c r="K691" i="7"/>
  <c r="J691" i="7"/>
  <c r="O687" i="7"/>
  <c r="AH655" i="7" s="1"/>
  <c r="M687" i="7"/>
  <c r="L687" i="7"/>
  <c r="K687" i="7"/>
  <c r="J687" i="7"/>
  <c r="O683" i="7"/>
  <c r="AH654" i="7" s="1"/>
  <c r="M683" i="7"/>
  <c r="L683" i="7"/>
  <c r="K683" i="7"/>
  <c r="J683" i="7"/>
  <c r="O679" i="7"/>
  <c r="AH653" i="7" s="1"/>
  <c r="M679" i="7"/>
  <c r="L679" i="7"/>
  <c r="K679" i="7"/>
  <c r="J679" i="7"/>
  <c r="O675" i="7"/>
  <c r="AH652" i="7" s="1"/>
  <c r="M675" i="7"/>
  <c r="L675" i="7"/>
  <c r="K675" i="7"/>
  <c r="J675" i="7"/>
  <c r="O671" i="7"/>
  <c r="AH651" i="7" s="1"/>
  <c r="M671" i="7"/>
  <c r="L671" i="7"/>
  <c r="K671" i="7"/>
  <c r="J671" i="7"/>
  <c r="O667" i="7"/>
  <c r="AH650" i="7" s="1"/>
  <c r="M667" i="7"/>
  <c r="L667" i="7"/>
  <c r="K667" i="7"/>
  <c r="J667" i="7"/>
  <c r="O663" i="7"/>
  <c r="AH649" i="7" s="1"/>
  <c r="M663" i="7"/>
  <c r="L663" i="7"/>
  <c r="K663" i="7"/>
  <c r="J663" i="7"/>
  <c r="O659" i="7"/>
  <c r="AH648" i="7" s="1"/>
  <c r="M659" i="7"/>
  <c r="L659" i="7"/>
  <c r="K659" i="7"/>
  <c r="J659" i="7"/>
  <c r="O655" i="7"/>
  <c r="AH647" i="7" s="1"/>
  <c r="M655" i="7"/>
  <c r="L655" i="7"/>
  <c r="K655" i="7"/>
  <c r="J655" i="7"/>
  <c r="O651" i="7"/>
  <c r="AH646" i="7" s="1"/>
  <c r="M651" i="7"/>
  <c r="L651" i="7"/>
  <c r="K651" i="7"/>
  <c r="J651" i="7"/>
  <c r="O647" i="7"/>
  <c r="AH645" i="7" s="1"/>
  <c r="M647" i="7"/>
  <c r="L647" i="7"/>
  <c r="K647" i="7"/>
  <c r="J647" i="7"/>
  <c r="E31" i="5"/>
  <c r="O643" i="7"/>
  <c r="AH644" i="7" s="1"/>
  <c r="M643" i="7"/>
  <c r="L643" i="7"/>
  <c r="K643" i="7"/>
  <c r="J643" i="7"/>
  <c r="O639" i="7" l="1"/>
  <c r="AH574" i="7" s="1"/>
  <c r="M639" i="7"/>
  <c r="L639" i="7"/>
  <c r="K639" i="7"/>
  <c r="J639" i="7"/>
  <c r="O635" i="7"/>
  <c r="AH573" i="7" s="1"/>
  <c r="M635" i="7"/>
  <c r="L635" i="7"/>
  <c r="K635" i="7"/>
  <c r="J635" i="7"/>
  <c r="O631" i="7"/>
  <c r="AH572" i="7" s="1"/>
  <c r="M631" i="7"/>
  <c r="L631" i="7"/>
  <c r="K631" i="7"/>
  <c r="J631" i="7"/>
  <c r="O627" i="7"/>
  <c r="AH571" i="7" s="1"/>
  <c r="M627" i="7"/>
  <c r="L627" i="7"/>
  <c r="K627" i="7"/>
  <c r="J627" i="7"/>
  <c r="O623" i="7"/>
  <c r="AH570" i="7" s="1"/>
  <c r="M623" i="7"/>
  <c r="L623" i="7"/>
  <c r="K623" i="7"/>
  <c r="J623" i="7"/>
  <c r="O619" i="7"/>
  <c r="AH569" i="7" s="1"/>
  <c r="M619" i="7"/>
  <c r="L619" i="7"/>
  <c r="K619" i="7"/>
  <c r="J619" i="7"/>
  <c r="O615" i="7"/>
  <c r="AH568" i="7" s="1"/>
  <c r="M615" i="7"/>
  <c r="L615" i="7"/>
  <c r="K615" i="7"/>
  <c r="J615" i="7"/>
  <c r="O611" i="7"/>
  <c r="AH567" i="7" s="1"/>
  <c r="M611" i="7"/>
  <c r="L611" i="7"/>
  <c r="K611" i="7"/>
  <c r="J611" i="7"/>
  <c r="O607" i="7"/>
  <c r="AH566" i="7" s="1"/>
  <c r="M607" i="7"/>
  <c r="L607" i="7"/>
  <c r="K607" i="7"/>
  <c r="J607" i="7"/>
  <c r="O603" i="7"/>
  <c r="AH565" i="7" s="1"/>
  <c r="M603" i="7"/>
  <c r="L603" i="7"/>
  <c r="K603" i="7"/>
  <c r="J603" i="7"/>
  <c r="O599" i="7"/>
  <c r="AH564" i="7" s="1"/>
  <c r="M599" i="7"/>
  <c r="L599" i="7"/>
  <c r="K599" i="7"/>
  <c r="J599" i="7"/>
  <c r="O595" i="7"/>
  <c r="AH563" i="7" s="1"/>
  <c r="M595" i="7"/>
  <c r="L595" i="7"/>
  <c r="K595" i="7"/>
  <c r="J595" i="7"/>
  <c r="O591" i="7"/>
  <c r="AH562" i="7" s="1"/>
  <c r="M591" i="7"/>
  <c r="L591" i="7"/>
  <c r="K591" i="7"/>
  <c r="J591" i="7"/>
  <c r="O587" i="7"/>
  <c r="AH561" i="7" s="1"/>
  <c r="M587" i="7"/>
  <c r="L587" i="7"/>
  <c r="K587" i="7"/>
  <c r="J587" i="7"/>
  <c r="O583" i="7"/>
  <c r="AH560" i="7" s="1"/>
  <c r="M583" i="7"/>
  <c r="L583" i="7"/>
  <c r="K583" i="7"/>
  <c r="J583" i="7"/>
  <c r="O579" i="7"/>
  <c r="AH559" i="7" s="1"/>
  <c r="M579" i="7"/>
  <c r="L579" i="7"/>
  <c r="K579" i="7"/>
  <c r="J579" i="7"/>
  <c r="O575" i="7"/>
  <c r="AH558" i="7" s="1"/>
  <c r="M575" i="7"/>
  <c r="L575" i="7"/>
  <c r="K575" i="7"/>
  <c r="J575" i="7"/>
  <c r="O571" i="7"/>
  <c r="AH557" i="7" s="1"/>
  <c r="M571" i="7"/>
  <c r="L571" i="7"/>
  <c r="K571" i="7"/>
  <c r="J571" i="7"/>
  <c r="O567" i="7"/>
  <c r="AH556" i="7" s="1"/>
  <c r="M567" i="7"/>
  <c r="L567" i="7"/>
  <c r="K567" i="7"/>
  <c r="J567" i="7"/>
  <c r="O563" i="7"/>
  <c r="AH555" i="7" s="1"/>
  <c r="M563" i="7"/>
  <c r="L563" i="7"/>
  <c r="K563" i="7"/>
  <c r="J563" i="7"/>
  <c r="O559" i="7"/>
  <c r="AH554" i="7" s="1"/>
  <c r="M559" i="7"/>
  <c r="L559" i="7"/>
  <c r="K559" i="7"/>
  <c r="J559" i="7"/>
  <c r="O555" i="7"/>
  <c r="AH553" i="7" s="1"/>
  <c r="M555" i="7"/>
  <c r="L555" i="7"/>
  <c r="K555" i="7"/>
  <c r="J555" i="7"/>
  <c r="O551" i="7"/>
  <c r="AH552" i="7" s="1"/>
  <c r="M551" i="7"/>
  <c r="L551" i="7"/>
  <c r="K551" i="7"/>
  <c r="J551" i="7"/>
  <c r="O547" i="7"/>
  <c r="AH470" i="7" s="1"/>
  <c r="M547" i="7"/>
  <c r="L547" i="7"/>
  <c r="K547" i="7"/>
  <c r="J547" i="7"/>
  <c r="O543" i="7"/>
  <c r="AH469" i="7" s="1"/>
  <c r="M543" i="7"/>
  <c r="L543" i="7"/>
  <c r="K543" i="7"/>
  <c r="J543" i="7"/>
  <c r="O539" i="7"/>
  <c r="AH468" i="7" s="1"/>
  <c r="M539" i="7"/>
  <c r="L539" i="7"/>
  <c r="K539" i="7"/>
  <c r="J539" i="7"/>
  <c r="O535" i="7"/>
  <c r="AH467" i="7" s="1"/>
  <c r="M535" i="7"/>
  <c r="L535" i="7"/>
  <c r="K535" i="7"/>
  <c r="J535" i="7"/>
  <c r="O531" i="7"/>
  <c r="AH466" i="7" s="1"/>
  <c r="M531" i="7"/>
  <c r="L531" i="7"/>
  <c r="K531" i="7"/>
  <c r="J531" i="7"/>
  <c r="O527" i="7"/>
  <c r="AH465" i="7" s="1"/>
  <c r="M527" i="7"/>
  <c r="L527" i="7"/>
  <c r="K527" i="7"/>
  <c r="J527" i="7"/>
  <c r="O523" i="7"/>
  <c r="AH464" i="7" s="1"/>
  <c r="M523" i="7"/>
  <c r="L523" i="7"/>
  <c r="K523" i="7"/>
  <c r="J523" i="7"/>
  <c r="O519" i="7"/>
  <c r="AH463" i="7" s="1"/>
  <c r="M519" i="7"/>
  <c r="L519" i="7"/>
  <c r="K519" i="7"/>
  <c r="J519" i="7"/>
  <c r="O515" i="7"/>
  <c r="AH462" i="7" s="1"/>
  <c r="M515" i="7"/>
  <c r="L515" i="7"/>
  <c r="K515" i="7"/>
  <c r="J515" i="7"/>
  <c r="O511" i="7"/>
  <c r="AH461" i="7" s="1"/>
  <c r="M511" i="7"/>
  <c r="L511" i="7"/>
  <c r="K511" i="7"/>
  <c r="J511" i="7"/>
  <c r="O507" i="7"/>
  <c r="AH460" i="7" s="1"/>
  <c r="M507" i="7"/>
  <c r="L507" i="7"/>
  <c r="K507" i="7"/>
  <c r="J507" i="7"/>
  <c r="O503" i="7"/>
  <c r="AH459" i="7" s="1"/>
  <c r="M503" i="7"/>
  <c r="L503" i="7"/>
  <c r="K503" i="7"/>
  <c r="J503" i="7"/>
  <c r="O499" i="7"/>
  <c r="AH458" i="7" s="1"/>
  <c r="M499" i="7"/>
  <c r="L499" i="7"/>
  <c r="K499" i="7"/>
  <c r="J499" i="7"/>
  <c r="O495" i="7"/>
  <c r="AH457" i="7" s="1"/>
  <c r="M495" i="7"/>
  <c r="L495" i="7"/>
  <c r="K495" i="7"/>
  <c r="J495" i="7"/>
  <c r="O491" i="7"/>
  <c r="AH456" i="7" s="1"/>
  <c r="M491" i="7"/>
  <c r="L491" i="7"/>
  <c r="K491" i="7"/>
  <c r="J491" i="7"/>
  <c r="O487" i="7"/>
  <c r="AH455" i="7" s="1"/>
  <c r="M487" i="7"/>
  <c r="L487" i="7"/>
  <c r="K487" i="7"/>
  <c r="J487" i="7"/>
  <c r="O483" i="7"/>
  <c r="AH454" i="7" s="1"/>
  <c r="M483" i="7"/>
  <c r="L483" i="7"/>
  <c r="K483" i="7"/>
  <c r="J483" i="7"/>
  <c r="O479" i="7"/>
  <c r="AH453" i="7" s="1"/>
  <c r="M479" i="7"/>
  <c r="L479" i="7"/>
  <c r="K479" i="7"/>
  <c r="J479" i="7"/>
  <c r="O475" i="7"/>
  <c r="AH452" i="7" s="1"/>
  <c r="M475" i="7"/>
  <c r="L475" i="7"/>
  <c r="K475" i="7"/>
  <c r="J475" i="7"/>
  <c r="O471" i="7"/>
  <c r="AH451" i="7" s="1"/>
  <c r="M471" i="7"/>
  <c r="L471" i="7"/>
  <c r="K471" i="7"/>
  <c r="J471" i="7"/>
  <c r="O467" i="7"/>
  <c r="AH450" i="7" s="1"/>
  <c r="M467" i="7"/>
  <c r="L467" i="7"/>
  <c r="K467" i="7"/>
  <c r="J467" i="7"/>
  <c r="O463" i="7"/>
  <c r="AH449" i="7" s="1"/>
  <c r="M463" i="7"/>
  <c r="L463" i="7"/>
  <c r="K463" i="7"/>
  <c r="J463" i="7"/>
  <c r="O459" i="7"/>
  <c r="AH448" i="7" s="1"/>
  <c r="M459" i="7"/>
  <c r="L459" i="7"/>
  <c r="K459" i="7"/>
  <c r="J459" i="7"/>
  <c r="O455" i="7"/>
  <c r="AH447" i="7" s="1"/>
  <c r="M455" i="7"/>
  <c r="L455" i="7"/>
  <c r="K455" i="7"/>
  <c r="J455" i="7"/>
  <c r="O451" i="7"/>
  <c r="AH446" i="7" s="1"/>
  <c r="M451" i="7"/>
  <c r="L451" i="7"/>
  <c r="K451" i="7"/>
  <c r="J451" i="7"/>
  <c r="O447" i="7"/>
  <c r="AH445" i="7" s="1"/>
  <c r="M447" i="7"/>
  <c r="L447" i="7"/>
  <c r="K447" i="7"/>
  <c r="J447" i="7"/>
  <c r="AE30" i="7"/>
  <c r="AE29" i="7"/>
  <c r="AE28" i="7"/>
  <c r="AE27" i="7"/>
  <c r="AE26" i="7"/>
  <c r="AE25" i="7"/>
  <c r="AE24" i="7"/>
  <c r="AE23" i="7"/>
  <c r="AE22" i="7"/>
  <c r="AE21" i="7"/>
  <c r="AE20" i="7"/>
  <c r="AE19" i="7"/>
  <c r="AE18" i="7"/>
  <c r="AE17" i="7"/>
  <c r="AE16" i="7"/>
  <c r="AE15" i="7"/>
  <c r="AE14" i="7"/>
  <c r="AE13" i="7"/>
  <c r="AE12" i="7"/>
  <c r="AE11" i="7"/>
  <c r="AE10" i="7"/>
  <c r="AE9" i="7"/>
  <c r="AE8" i="7"/>
  <c r="F432" i="7" s="1"/>
  <c r="AE7" i="7"/>
  <c r="AE6" i="7"/>
  <c r="AE5" i="7"/>
  <c r="F452" i="7" s="1"/>
  <c r="AE4" i="7"/>
  <c r="AE3" i="7"/>
  <c r="F640" i="7" s="1"/>
  <c r="O443" i="7"/>
  <c r="AH444" i="7" s="1"/>
  <c r="M443" i="7"/>
  <c r="L443" i="7"/>
  <c r="K443" i="7"/>
  <c r="J443" i="7"/>
  <c r="O439" i="7"/>
  <c r="AH323" i="7" s="1"/>
  <c r="M439" i="7"/>
  <c r="L439" i="7"/>
  <c r="K439" i="7"/>
  <c r="J439" i="7"/>
  <c r="O435" i="7"/>
  <c r="AH322" i="7" s="1"/>
  <c r="M435" i="7"/>
  <c r="L435" i="7"/>
  <c r="K435" i="7"/>
  <c r="J435" i="7"/>
  <c r="O431" i="7"/>
  <c r="AH321" i="7" s="1"/>
  <c r="M431" i="7"/>
  <c r="L431" i="7"/>
  <c r="K431" i="7"/>
  <c r="J431" i="7"/>
  <c r="O427" i="7"/>
  <c r="AH320" i="7" s="1"/>
  <c r="M427" i="7"/>
  <c r="L427" i="7"/>
  <c r="K427" i="7"/>
  <c r="J427" i="7"/>
  <c r="O423" i="7"/>
  <c r="AH319" i="7" s="1"/>
  <c r="M423" i="7"/>
  <c r="L423" i="7"/>
  <c r="K423" i="7"/>
  <c r="J423" i="7"/>
  <c r="J419" i="7"/>
  <c r="K419" i="7"/>
  <c r="L419" i="7"/>
  <c r="M419" i="7"/>
  <c r="O419" i="7"/>
  <c r="AH318" i="7" s="1"/>
  <c r="O415" i="7"/>
  <c r="AH317" i="7" s="1"/>
  <c r="M415" i="7"/>
  <c r="L415" i="7"/>
  <c r="K415" i="7"/>
  <c r="J415" i="7"/>
  <c r="O411" i="7"/>
  <c r="AH316" i="7" s="1"/>
  <c r="M411" i="7"/>
  <c r="L411" i="7"/>
  <c r="K411" i="7"/>
  <c r="J411" i="7"/>
  <c r="O407" i="7"/>
  <c r="AH315" i="7" s="1"/>
  <c r="M407" i="7"/>
  <c r="L407" i="7"/>
  <c r="K407" i="7"/>
  <c r="J407" i="7"/>
  <c r="O403" i="7"/>
  <c r="AH314" i="7" s="1"/>
  <c r="M403" i="7"/>
  <c r="L403" i="7"/>
  <c r="K403" i="7"/>
  <c r="J403" i="7"/>
  <c r="O399" i="7"/>
  <c r="AH313" i="7" s="1"/>
  <c r="M399" i="7"/>
  <c r="L399" i="7"/>
  <c r="K399" i="7"/>
  <c r="J399" i="7"/>
  <c r="O395" i="7"/>
  <c r="AH312" i="7" s="1"/>
  <c r="M395" i="7"/>
  <c r="L395" i="7"/>
  <c r="K395" i="7"/>
  <c r="J395" i="7"/>
  <c r="O391" i="7"/>
  <c r="AH311" i="7" s="1"/>
  <c r="M391" i="7"/>
  <c r="L391" i="7"/>
  <c r="K391" i="7"/>
  <c r="J391" i="7"/>
  <c r="O387" i="7"/>
  <c r="AH310" i="7" s="1"/>
  <c r="M387" i="7"/>
  <c r="L387" i="7"/>
  <c r="K387" i="7"/>
  <c r="J387" i="7"/>
  <c r="O383" i="7"/>
  <c r="AH309" i="7" s="1"/>
  <c r="M383" i="7"/>
  <c r="L383" i="7"/>
  <c r="K383" i="7"/>
  <c r="J383" i="7"/>
  <c r="O379" i="7"/>
  <c r="AH308" i="7" s="1"/>
  <c r="M379" i="7"/>
  <c r="L379" i="7"/>
  <c r="K379" i="7"/>
  <c r="J379" i="7"/>
  <c r="O375" i="7"/>
  <c r="AH307" i="7" s="1"/>
  <c r="M375" i="7"/>
  <c r="L375" i="7"/>
  <c r="K375" i="7"/>
  <c r="J375" i="7"/>
  <c r="O371" i="7"/>
  <c r="AH306" i="7" s="1"/>
  <c r="M371" i="7"/>
  <c r="L371" i="7"/>
  <c r="K371" i="7"/>
  <c r="J371" i="7"/>
  <c r="O367" i="7"/>
  <c r="AH305" i="7" s="1"/>
  <c r="M367" i="7"/>
  <c r="L367" i="7"/>
  <c r="K367" i="7"/>
  <c r="J367" i="7"/>
  <c r="F69" i="7"/>
  <c r="F77" i="7"/>
  <c r="F81" i="7"/>
  <c r="F145" i="7"/>
  <c r="O363" i="7"/>
  <c r="AH304" i="7" s="1"/>
  <c r="M363" i="7"/>
  <c r="L363" i="7"/>
  <c r="K363" i="7"/>
  <c r="J363" i="7"/>
  <c r="O359" i="7"/>
  <c r="AH303" i="7" s="1"/>
  <c r="M359" i="7"/>
  <c r="L359" i="7"/>
  <c r="K359" i="7"/>
  <c r="J359" i="7"/>
  <c r="O355" i="7"/>
  <c r="AH302" i="7" s="1"/>
  <c r="M355" i="7"/>
  <c r="L355" i="7"/>
  <c r="K355" i="7"/>
  <c r="J355" i="7"/>
  <c r="O351" i="7"/>
  <c r="AH301" i="7" s="1"/>
  <c r="M351" i="7"/>
  <c r="L351" i="7"/>
  <c r="K351" i="7"/>
  <c r="J351" i="7"/>
  <c r="O347" i="7"/>
  <c r="AH300" i="7" s="1"/>
  <c r="M347" i="7"/>
  <c r="L347" i="7"/>
  <c r="K347" i="7"/>
  <c r="J347" i="7"/>
  <c r="O343" i="7"/>
  <c r="AH299" i="7" s="1"/>
  <c r="M343" i="7"/>
  <c r="L343" i="7"/>
  <c r="K343" i="7"/>
  <c r="J343" i="7"/>
  <c r="O339" i="7"/>
  <c r="AH298" i="7" s="1"/>
  <c r="M339" i="7"/>
  <c r="L339" i="7"/>
  <c r="K339" i="7"/>
  <c r="J339" i="7"/>
  <c r="O335" i="7"/>
  <c r="AH297" i="7" s="1"/>
  <c r="M335" i="7"/>
  <c r="L335" i="7"/>
  <c r="K335" i="7"/>
  <c r="J335" i="7"/>
  <c r="O331" i="7"/>
  <c r="AH296" i="7" s="1"/>
  <c r="M331" i="7"/>
  <c r="L331" i="7"/>
  <c r="K331" i="7"/>
  <c r="J331" i="7"/>
  <c r="O327" i="7"/>
  <c r="AH295" i="7" s="1"/>
  <c r="M327" i="7"/>
  <c r="L327" i="7"/>
  <c r="K327" i="7"/>
  <c r="J327" i="7"/>
  <c r="O323" i="7"/>
  <c r="AH294" i="7" s="1"/>
  <c r="M323" i="7"/>
  <c r="L323" i="7"/>
  <c r="K323" i="7"/>
  <c r="J323" i="7"/>
  <c r="O319" i="7"/>
  <c r="AH293" i="7" s="1"/>
  <c r="M319" i="7"/>
  <c r="L319" i="7"/>
  <c r="K319" i="7"/>
  <c r="J319" i="7"/>
  <c r="O315" i="7"/>
  <c r="AH292" i="7" s="1"/>
  <c r="M315" i="7"/>
  <c r="L315" i="7"/>
  <c r="K315" i="7"/>
  <c r="J315" i="7"/>
  <c r="O311" i="7"/>
  <c r="AH291" i="7" s="1"/>
  <c r="M311" i="7"/>
  <c r="L311" i="7"/>
  <c r="K311" i="7"/>
  <c r="J311" i="7"/>
  <c r="O307" i="7"/>
  <c r="AH290" i="7" s="1"/>
  <c r="M307" i="7"/>
  <c r="L307" i="7"/>
  <c r="K307" i="7"/>
  <c r="J307" i="7"/>
  <c r="O303" i="7"/>
  <c r="AH289" i="7" s="1"/>
  <c r="M303" i="7"/>
  <c r="L303" i="7"/>
  <c r="K303" i="7"/>
  <c r="J303" i="7"/>
  <c r="O299" i="7"/>
  <c r="AH288" i="7" s="1"/>
  <c r="M299" i="7"/>
  <c r="L299" i="7"/>
  <c r="K299" i="7"/>
  <c r="J299" i="7"/>
  <c r="O295" i="7"/>
  <c r="AH287" i="7" s="1"/>
  <c r="M295" i="7"/>
  <c r="L295" i="7"/>
  <c r="K295" i="7"/>
  <c r="J295" i="7"/>
  <c r="O291" i="7"/>
  <c r="AH286" i="7" s="1"/>
  <c r="M291" i="7"/>
  <c r="L291" i="7"/>
  <c r="K291" i="7"/>
  <c r="J291" i="7"/>
  <c r="O287" i="7"/>
  <c r="AH285" i="7" s="1"/>
  <c r="M287" i="7"/>
  <c r="L287" i="7"/>
  <c r="K287" i="7"/>
  <c r="J287" i="7"/>
  <c r="O283" i="7"/>
  <c r="AH284" i="7" s="1"/>
  <c r="M283" i="7"/>
  <c r="L283" i="7"/>
  <c r="K283" i="7"/>
  <c r="J283" i="7"/>
  <c r="O279" i="7"/>
  <c r="M279" i="7"/>
  <c r="L279" i="7"/>
  <c r="K279" i="7"/>
  <c r="J279" i="7"/>
  <c r="J275" i="7"/>
  <c r="K275" i="7"/>
  <c r="L275" i="7"/>
  <c r="M275" i="7"/>
  <c r="O275" i="7"/>
  <c r="AH189" i="7" s="1"/>
  <c r="K271" i="7"/>
  <c r="K267" i="7"/>
  <c r="K263" i="7"/>
  <c r="K259" i="7"/>
  <c r="K255" i="7"/>
  <c r="K251" i="7"/>
  <c r="K247" i="7"/>
  <c r="K243" i="7"/>
  <c r="K239" i="7"/>
  <c r="K235" i="7"/>
  <c r="K231" i="7"/>
  <c r="K227" i="7"/>
  <c r="K223" i="7"/>
  <c r="K219" i="7"/>
  <c r="K215" i="7"/>
  <c r="K211" i="7"/>
  <c r="K207" i="7"/>
  <c r="K203" i="7"/>
  <c r="K199" i="7"/>
  <c r="K195" i="7"/>
  <c r="K191" i="7"/>
  <c r="K187" i="7"/>
  <c r="K183" i="7"/>
  <c r="K179" i="7"/>
  <c r="K175" i="7"/>
  <c r="K171" i="7"/>
  <c r="K167" i="7"/>
  <c r="K163" i="7"/>
  <c r="K159" i="7"/>
  <c r="O271" i="7"/>
  <c r="AH188" i="7" s="1"/>
  <c r="M271" i="7"/>
  <c r="L271" i="7"/>
  <c r="J271" i="7"/>
  <c r="O267" i="7"/>
  <c r="AH187" i="7" s="1"/>
  <c r="M267" i="7"/>
  <c r="L267" i="7"/>
  <c r="J267" i="7"/>
  <c r="F264" i="7"/>
  <c r="O263" i="7"/>
  <c r="AH186" i="7" s="1"/>
  <c r="M263" i="7"/>
  <c r="L263" i="7"/>
  <c r="J263" i="7"/>
  <c r="F260" i="7"/>
  <c r="O259" i="7"/>
  <c r="AH185" i="7" s="1"/>
  <c r="M259" i="7"/>
  <c r="L259" i="7"/>
  <c r="J259" i="7"/>
  <c r="O255" i="7"/>
  <c r="AH184" i="7" s="1"/>
  <c r="M255" i="7"/>
  <c r="L255" i="7"/>
  <c r="J255" i="7"/>
  <c r="O251" i="7"/>
  <c r="AH183" i="7" s="1"/>
  <c r="M251" i="7"/>
  <c r="L251" i="7"/>
  <c r="J251" i="7"/>
  <c r="O247" i="7"/>
  <c r="AH182" i="7" s="1"/>
  <c r="M247" i="7"/>
  <c r="L247" i="7"/>
  <c r="J247" i="7"/>
  <c r="O243" i="7"/>
  <c r="AH181" i="7" s="1"/>
  <c r="M243" i="7"/>
  <c r="L243" i="7"/>
  <c r="J243" i="7"/>
  <c r="F240" i="7"/>
  <c r="O239" i="7"/>
  <c r="AH180" i="7" s="1"/>
  <c r="M239" i="7"/>
  <c r="L239" i="7"/>
  <c r="J239" i="7"/>
  <c r="F236" i="7"/>
  <c r="O235" i="7"/>
  <c r="AH179" i="7" s="1"/>
  <c r="M235" i="7"/>
  <c r="L235" i="7"/>
  <c r="J235" i="7"/>
  <c r="F232" i="7"/>
  <c r="O231" i="7"/>
  <c r="AH178" i="7" s="1"/>
  <c r="M231" i="7"/>
  <c r="L231" i="7"/>
  <c r="J231" i="7"/>
  <c r="O227" i="7"/>
  <c r="AH177" i="7" s="1"/>
  <c r="M227" i="7"/>
  <c r="L227" i="7"/>
  <c r="J227" i="7"/>
  <c r="F224" i="7"/>
  <c r="O223" i="7"/>
  <c r="AH176" i="7" s="1"/>
  <c r="M223" i="7"/>
  <c r="L223" i="7"/>
  <c r="J223" i="7"/>
  <c r="O219" i="7"/>
  <c r="AH175" i="7" s="1"/>
  <c r="M219" i="7"/>
  <c r="L219" i="7"/>
  <c r="J219" i="7"/>
  <c r="F216" i="7"/>
  <c r="O215" i="7"/>
  <c r="AH174" i="7" s="1"/>
  <c r="M215" i="7"/>
  <c r="L215" i="7"/>
  <c r="J215" i="7"/>
  <c r="O211" i="7"/>
  <c r="AH173" i="7" s="1"/>
  <c r="M211" i="7"/>
  <c r="L211" i="7"/>
  <c r="J211" i="7"/>
  <c r="O207" i="7"/>
  <c r="AH172" i="7" s="1"/>
  <c r="M207" i="7"/>
  <c r="L207" i="7"/>
  <c r="J207" i="7"/>
  <c r="O203" i="7"/>
  <c r="AH171" i="7" s="1"/>
  <c r="M203" i="7"/>
  <c r="L203" i="7"/>
  <c r="J203" i="7"/>
  <c r="F200" i="7"/>
  <c r="O199" i="7"/>
  <c r="AH170" i="7" s="1"/>
  <c r="M199" i="7"/>
  <c r="L199" i="7"/>
  <c r="J199" i="7"/>
  <c r="F196" i="7"/>
  <c r="O195" i="7"/>
  <c r="AH169" i="7" s="1"/>
  <c r="M195" i="7"/>
  <c r="L195" i="7"/>
  <c r="J195" i="7"/>
  <c r="F192" i="7"/>
  <c r="O191" i="7"/>
  <c r="AH168" i="7" s="1"/>
  <c r="M191" i="7"/>
  <c r="L191" i="7"/>
  <c r="J191" i="7"/>
  <c r="O187" i="7"/>
  <c r="AH167" i="7" s="1"/>
  <c r="M187" i="7"/>
  <c r="L187" i="7"/>
  <c r="J187" i="7"/>
  <c r="F180" i="7"/>
  <c r="O183" i="7"/>
  <c r="AH166" i="7" s="1"/>
  <c r="M183" i="7"/>
  <c r="L183" i="7"/>
  <c r="J183" i="7"/>
  <c r="O179" i="7"/>
  <c r="AH165" i="7" s="1"/>
  <c r="M179" i="7"/>
  <c r="L179" i="7"/>
  <c r="J179" i="7"/>
  <c r="F176" i="7"/>
  <c r="O175" i="7"/>
  <c r="AH164" i="7" s="1"/>
  <c r="M175" i="7"/>
  <c r="L175" i="7"/>
  <c r="J175" i="7"/>
  <c r="F172" i="7"/>
  <c r="O171" i="7"/>
  <c r="AH163" i="7" s="1"/>
  <c r="M171" i="7"/>
  <c r="L171" i="7"/>
  <c r="J171" i="7"/>
  <c r="F168" i="7"/>
  <c r="O167" i="7"/>
  <c r="AH162" i="7" s="1"/>
  <c r="M167" i="7"/>
  <c r="L167" i="7"/>
  <c r="J167" i="7"/>
  <c r="O163" i="7"/>
  <c r="AH161" i="7" s="1"/>
  <c r="M163" i="7"/>
  <c r="L163" i="7"/>
  <c r="J163" i="7"/>
  <c r="F160" i="7"/>
  <c r="O159" i="7"/>
  <c r="AH160" i="7" s="1"/>
  <c r="M159" i="7"/>
  <c r="L159" i="7"/>
  <c r="J159" i="7"/>
  <c r="D121" i="7"/>
  <c r="K124" i="7"/>
  <c r="J16" i="7"/>
  <c r="K16" i="7"/>
  <c r="L16" i="7"/>
  <c r="M16" i="7"/>
  <c r="O16" i="7"/>
  <c r="AH14" i="7" s="1"/>
  <c r="O152" i="7"/>
  <c r="AH48" i="7" s="1"/>
  <c r="M152" i="7"/>
  <c r="L152" i="7"/>
  <c r="K152" i="7"/>
  <c r="J152" i="7"/>
  <c r="D149" i="7"/>
  <c r="O148" i="7"/>
  <c r="AH47" i="7" s="1"/>
  <c r="M148" i="7"/>
  <c r="L148" i="7"/>
  <c r="K148" i="7"/>
  <c r="J148" i="7"/>
  <c r="D145" i="7"/>
  <c r="O144" i="7"/>
  <c r="AH46" i="7" s="1"/>
  <c r="M144" i="7"/>
  <c r="L144" i="7"/>
  <c r="K144" i="7"/>
  <c r="J144" i="7"/>
  <c r="D141" i="7"/>
  <c r="O140" i="7"/>
  <c r="AH45" i="7" s="1"/>
  <c r="M140" i="7"/>
  <c r="L140" i="7"/>
  <c r="K140" i="7"/>
  <c r="J140" i="7"/>
  <c r="D137" i="7"/>
  <c r="O136" i="7"/>
  <c r="M136" i="7"/>
  <c r="L136" i="7"/>
  <c r="K136" i="7"/>
  <c r="J136" i="7"/>
  <c r="D133" i="7"/>
  <c r="O132" i="7"/>
  <c r="AH43" i="7" s="1"/>
  <c r="M132" i="7"/>
  <c r="L132" i="7"/>
  <c r="K132" i="7"/>
  <c r="J132" i="7"/>
  <c r="D129" i="7"/>
  <c r="O128" i="7"/>
  <c r="AH42" i="7" s="1"/>
  <c r="M128" i="7"/>
  <c r="L128" i="7"/>
  <c r="K128" i="7"/>
  <c r="J128" i="7"/>
  <c r="D125" i="7"/>
  <c r="O124" i="7"/>
  <c r="AH41" i="7" s="1"/>
  <c r="M124" i="7"/>
  <c r="L124" i="7"/>
  <c r="J124" i="7"/>
  <c r="O120" i="7"/>
  <c r="AH40" i="7" s="1"/>
  <c r="M120" i="7"/>
  <c r="L120" i="7"/>
  <c r="K120" i="7"/>
  <c r="J120" i="7"/>
  <c r="D117" i="7"/>
  <c r="O116" i="7"/>
  <c r="AH39" i="7" s="1"/>
  <c r="M116" i="7"/>
  <c r="L116" i="7"/>
  <c r="K116" i="7"/>
  <c r="J116" i="7"/>
  <c r="D113" i="7"/>
  <c r="O112" i="7"/>
  <c r="AH38" i="7" s="1"/>
  <c r="M112" i="7"/>
  <c r="L112" i="7"/>
  <c r="K112" i="7"/>
  <c r="J112" i="7"/>
  <c r="D109" i="7"/>
  <c r="O108" i="7"/>
  <c r="AH37" i="7" s="1"/>
  <c r="M108" i="7"/>
  <c r="L108" i="7"/>
  <c r="K108" i="7"/>
  <c r="J108" i="7"/>
  <c r="D105" i="7"/>
  <c r="O104" i="7"/>
  <c r="AH36" i="7" s="1"/>
  <c r="M104" i="7"/>
  <c r="L104" i="7"/>
  <c r="K104" i="7"/>
  <c r="J104" i="7"/>
  <c r="D101" i="7"/>
  <c r="O100" i="7"/>
  <c r="AH35" i="7" s="1"/>
  <c r="M100" i="7"/>
  <c r="L100" i="7"/>
  <c r="K100" i="7"/>
  <c r="J100" i="7"/>
  <c r="O96" i="7"/>
  <c r="AH34" i="7" s="1"/>
  <c r="M96" i="7"/>
  <c r="L96" i="7"/>
  <c r="K96" i="7"/>
  <c r="J96" i="7"/>
  <c r="O92" i="7"/>
  <c r="AH33" i="7" s="1"/>
  <c r="M92" i="7"/>
  <c r="L92" i="7"/>
  <c r="K92" i="7"/>
  <c r="J92" i="7"/>
  <c r="O88" i="7"/>
  <c r="AH32" i="7" s="1"/>
  <c r="M88" i="7"/>
  <c r="L88" i="7"/>
  <c r="K88" i="7"/>
  <c r="J88" i="7"/>
  <c r="O84" i="7"/>
  <c r="AH31" i="7" s="1"/>
  <c r="M84" i="7"/>
  <c r="L84" i="7"/>
  <c r="K84" i="7"/>
  <c r="J84" i="7"/>
  <c r="D81" i="7"/>
  <c r="O80" i="7"/>
  <c r="AH30" i="7" s="1"/>
  <c r="M80" i="7"/>
  <c r="L80" i="7"/>
  <c r="K80" i="7"/>
  <c r="J80" i="7"/>
  <c r="D77" i="7"/>
  <c r="O76" i="7"/>
  <c r="AH29" i="7" s="1"/>
  <c r="M76" i="7"/>
  <c r="L76" i="7"/>
  <c r="K76" i="7"/>
  <c r="J76" i="7"/>
  <c r="D73" i="7"/>
  <c r="O72" i="7"/>
  <c r="AH28" i="7" s="1"/>
  <c r="M72" i="7"/>
  <c r="L72" i="7"/>
  <c r="K72" i="7"/>
  <c r="J72" i="7"/>
  <c r="D69" i="7"/>
  <c r="O68" i="7"/>
  <c r="AH27" i="7" s="1"/>
  <c r="M68" i="7"/>
  <c r="L68" i="7"/>
  <c r="K68" i="7"/>
  <c r="J68" i="7"/>
  <c r="O64" i="7"/>
  <c r="AH26" i="7" s="1"/>
  <c r="M64" i="7"/>
  <c r="L64" i="7"/>
  <c r="K64" i="7"/>
  <c r="J64" i="7"/>
  <c r="O60" i="7"/>
  <c r="AH25" i="7" s="1"/>
  <c r="M60" i="7"/>
  <c r="L60" i="7"/>
  <c r="K60" i="7"/>
  <c r="J60" i="7"/>
  <c r="O56" i="7"/>
  <c r="M56" i="7"/>
  <c r="L56" i="7"/>
  <c r="K56" i="7"/>
  <c r="J56" i="7"/>
  <c r="O52" i="7"/>
  <c r="AH23" i="7" s="1"/>
  <c r="M52" i="7"/>
  <c r="L52" i="7"/>
  <c r="K52" i="7"/>
  <c r="J52" i="7"/>
  <c r="D49" i="7"/>
  <c r="O48" i="7"/>
  <c r="AH22" i="7" s="1"/>
  <c r="M48" i="7"/>
  <c r="L48" i="7"/>
  <c r="K48" i="7"/>
  <c r="J48" i="7"/>
  <c r="D45" i="7"/>
  <c r="AH44" i="7"/>
  <c r="O44" i="7"/>
  <c r="AH21" i="7" s="1"/>
  <c r="M44" i="7"/>
  <c r="L44" i="7"/>
  <c r="K44" i="7"/>
  <c r="J44" i="7"/>
  <c r="D41" i="7"/>
  <c r="O40" i="7"/>
  <c r="AH20" i="7" s="1"/>
  <c r="M40" i="7"/>
  <c r="L40" i="7"/>
  <c r="K40" i="7"/>
  <c r="J40" i="7"/>
  <c r="D37" i="7"/>
  <c r="O36" i="7"/>
  <c r="AH19" i="7" s="1"/>
  <c r="M36" i="7"/>
  <c r="L36" i="7"/>
  <c r="K36" i="7"/>
  <c r="J36" i="7"/>
  <c r="D33" i="7"/>
  <c r="O32" i="7"/>
  <c r="AH18" i="7" s="1"/>
  <c r="M32" i="7"/>
  <c r="L32" i="7"/>
  <c r="K32" i="7"/>
  <c r="J32" i="7"/>
  <c r="D29" i="7"/>
  <c r="O28" i="7"/>
  <c r="AH17" i="7" s="1"/>
  <c r="M28" i="7"/>
  <c r="L28" i="7"/>
  <c r="K28" i="7"/>
  <c r="J28" i="7"/>
  <c r="D25" i="7"/>
  <c r="AH24" i="7"/>
  <c r="O24" i="7"/>
  <c r="AH16" i="7" s="1"/>
  <c r="M24" i="7"/>
  <c r="L24" i="7"/>
  <c r="K24" i="7"/>
  <c r="J24" i="7"/>
  <c r="D21" i="7"/>
  <c r="O20" i="7"/>
  <c r="AH15" i="7" s="1"/>
  <c r="M20" i="7"/>
  <c r="L20" i="7"/>
  <c r="K20" i="7"/>
  <c r="J20" i="7"/>
  <c r="D17" i="7"/>
  <c r="D13" i="7"/>
  <c r="O12" i="7"/>
  <c r="AH13" i="7" s="1"/>
  <c r="M12" i="7"/>
  <c r="L12" i="7"/>
  <c r="K12" i="7"/>
  <c r="J12" i="7"/>
  <c r="D9" i="7"/>
  <c r="F612" i="7" l="1"/>
  <c r="F628" i="7"/>
  <c r="F564" i="7"/>
  <c r="F572" i="7"/>
  <c r="F576" i="7"/>
  <c r="F316" i="7"/>
  <c r="F532" i="7"/>
  <c r="F580" i="7"/>
  <c r="F624" i="7"/>
  <c r="F352" i="7"/>
  <c r="F21" i="7"/>
  <c r="F743" i="7"/>
  <c r="F755" i="7"/>
  <c r="F763" i="7"/>
  <c r="F739" i="7"/>
  <c r="F779" i="7"/>
  <c r="F783" i="7"/>
  <c r="F735" i="7"/>
  <c r="F751" i="7"/>
  <c r="F775" i="7"/>
  <c r="F759" i="7"/>
  <c r="F731" i="7"/>
  <c r="F771" i="7"/>
  <c r="F747" i="7"/>
  <c r="F767" i="7"/>
  <c r="F592" i="7"/>
  <c r="F280" i="7"/>
  <c r="F396" i="7"/>
  <c r="F596" i="7"/>
  <c r="F548" i="7"/>
  <c r="F720" i="7"/>
  <c r="F716" i="7"/>
  <c r="F724" i="7"/>
  <c r="F560" i="7"/>
  <c r="F636" i="7"/>
  <c r="F708" i="7"/>
  <c r="F712" i="7"/>
  <c r="F141" i="7"/>
  <c r="F37" i="7"/>
  <c r="F528" i="7"/>
  <c r="F137" i="7"/>
  <c r="F17" i="7"/>
  <c r="F228" i="7"/>
  <c r="F248" i="7"/>
  <c r="F133" i="7"/>
  <c r="F13" i="7"/>
  <c r="F552" i="7"/>
  <c r="F584" i="7"/>
  <c r="F620" i="7"/>
  <c r="F208" i="7"/>
  <c r="F256" i="7"/>
  <c r="F101" i="7"/>
  <c r="F9" i="7"/>
  <c r="F644" i="7"/>
  <c r="F704" i="7"/>
  <c r="F684" i="7"/>
  <c r="F692" i="7"/>
  <c r="F688" i="7"/>
  <c r="F676" i="7"/>
  <c r="F668" i="7"/>
  <c r="F656" i="7"/>
  <c r="F696" i="7"/>
  <c r="F672" i="7"/>
  <c r="F648" i="7"/>
  <c r="F652" i="7"/>
  <c r="F660" i="7"/>
  <c r="F700" i="7"/>
  <c r="F680" i="7"/>
  <c r="F664" i="7"/>
  <c r="F556" i="7"/>
  <c r="F588" i="7"/>
  <c r="F608" i="7"/>
  <c r="F616" i="7"/>
  <c r="F184" i="7"/>
  <c r="F204" i="7"/>
  <c r="F73" i="7"/>
  <c r="F568" i="7"/>
  <c r="F600" i="7"/>
  <c r="F604" i="7"/>
  <c r="F632" i="7"/>
  <c r="F288" i="7"/>
  <c r="F328" i="7"/>
  <c r="F364" i="7"/>
  <c r="F392" i="7"/>
  <c r="F524" i="7"/>
  <c r="F360" i="7"/>
  <c r="F296" i="7"/>
  <c r="F332" i="7"/>
  <c r="F376" i="7"/>
  <c r="F404" i="7"/>
  <c r="F520" i="7"/>
  <c r="F284" i="7"/>
  <c r="F300" i="7"/>
  <c r="F336" i="7"/>
  <c r="F388" i="7"/>
  <c r="F416" i="7"/>
  <c r="F508" i="7"/>
  <c r="F516" i="7"/>
  <c r="F320" i="7"/>
  <c r="F304" i="7"/>
  <c r="F340" i="7"/>
  <c r="F372" i="7"/>
  <c r="F512" i="7"/>
  <c r="F544" i="7"/>
  <c r="F428" i="7"/>
  <c r="F308" i="7"/>
  <c r="F344" i="7"/>
  <c r="F412" i="7"/>
  <c r="F540" i="7"/>
  <c r="F380" i="7"/>
  <c r="F312" i="7"/>
  <c r="F348" i="7"/>
  <c r="F424" i="7"/>
  <c r="F500" i="7"/>
  <c r="F504" i="7"/>
  <c r="F536" i="7"/>
  <c r="F472" i="7"/>
  <c r="F456" i="7"/>
  <c r="F164" i="7"/>
  <c r="F212" i="7"/>
  <c r="F244" i="7"/>
  <c r="F276" i="7"/>
  <c r="F113" i="7"/>
  <c r="F49" i="7"/>
  <c r="F460" i="7"/>
  <c r="F464" i="7"/>
  <c r="F480" i="7"/>
  <c r="F109" i="7"/>
  <c r="F45" i="7"/>
  <c r="F156" i="7"/>
  <c r="F188" i="7"/>
  <c r="F220" i="7"/>
  <c r="F252" i="7"/>
  <c r="F105" i="7"/>
  <c r="F41" i="7"/>
  <c r="F292" i="7"/>
  <c r="F324" i="7"/>
  <c r="F356" i="7"/>
  <c r="F368" i="7"/>
  <c r="F384" i="7"/>
  <c r="F400" i="7"/>
  <c r="F420" i="7"/>
  <c r="F436" i="7"/>
  <c r="F496" i="7"/>
  <c r="F476" i="7"/>
  <c r="F440" i="7"/>
  <c r="F492" i="7"/>
  <c r="F468" i="7"/>
  <c r="F484" i="7"/>
  <c r="F488" i="7"/>
  <c r="F448" i="7"/>
  <c r="F444" i="7"/>
  <c r="F272" i="7"/>
  <c r="F129" i="7"/>
  <c r="F97" i="7"/>
  <c r="F65" i="7"/>
  <c r="F33" i="7"/>
  <c r="F125" i="7"/>
  <c r="F93" i="7"/>
  <c r="F61" i="7"/>
  <c r="F29" i="7"/>
  <c r="F121" i="7"/>
  <c r="F89" i="7"/>
  <c r="F57" i="7"/>
  <c r="F25" i="7"/>
  <c r="F268" i="7"/>
  <c r="F149" i="7"/>
  <c r="F117" i="7"/>
  <c r="F85" i="7"/>
  <c r="F53" i="7"/>
  <c r="F408" i="7"/>
  <c r="B3" i="4" l="1"/>
  <c r="D3" i="4"/>
  <c r="M3" i="4"/>
  <c r="B744" i="7" l="1"/>
  <c r="B745" i="7" s="1"/>
  <c r="B746" i="7" s="1"/>
  <c r="C746" i="7" s="1"/>
  <c r="F746" i="7" s="1"/>
  <c r="G746" i="7" s="1"/>
  <c r="N746" i="7" s="1"/>
  <c r="AG738" i="7" s="1"/>
  <c r="AI738" i="7" s="1"/>
  <c r="B784" i="7"/>
  <c r="B785" i="7" s="1"/>
  <c r="B786" i="7" s="1"/>
  <c r="C786" i="7" s="1"/>
  <c r="F786" i="7" s="1"/>
  <c r="G786" i="7" s="1"/>
  <c r="N786" i="7" s="1"/>
  <c r="AG748" i="7" s="1"/>
  <c r="AI748" i="7" s="1"/>
  <c r="B764" i="7"/>
  <c r="B765" i="7" s="1"/>
  <c r="B766" i="7" s="1"/>
  <c r="C766" i="7" s="1"/>
  <c r="F766" i="7" s="1"/>
  <c r="G766" i="7" s="1"/>
  <c r="N766" i="7" s="1"/>
  <c r="AG743" i="7" s="1"/>
  <c r="AI743" i="7" s="1"/>
  <c r="B732" i="7"/>
  <c r="B733" i="7" s="1"/>
  <c r="B734" i="7" s="1"/>
  <c r="C734" i="7" s="1"/>
  <c r="F734" i="7" s="1"/>
  <c r="G734" i="7" s="1"/>
  <c r="N734" i="7" s="1"/>
  <c r="AG735" i="7" s="1"/>
  <c r="B752" i="7"/>
  <c r="B753" i="7" s="1"/>
  <c r="B754" i="7" s="1"/>
  <c r="C754" i="7" s="1"/>
  <c r="F754" i="7" s="1"/>
  <c r="G754" i="7" s="1"/>
  <c r="N754" i="7" s="1"/>
  <c r="AG740" i="7" s="1"/>
  <c r="AI740" i="7" s="1"/>
  <c r="B768" i="7"/>
  <c r="B769" i="7" s="1"/>
  <c r="B770" i="7" s="1"/>
  <c r="C770" i="7" s="1"/>
  <c r="F770" i="7" s="1"/>
  <c r="G770" i="7" s="1"/>
  <c r="N770" i="7" s="1"/>
  <c r="AG744" i="7" s="1"/>
  <c r="AI744" i="7" s="1"/>
  <c r="B736" i="7"/>
  <c r="B737" i="7" s="1"/>
  <c r="B738" i="7" s="1"/>
  <c r="C738" i="7" s="1"/>
  <c r="F738" i="7" s="1"/>
  <c r="G738" i="7" s="1"/>
  <c r="N738" i="7" s="1"/>
  <c r="AG736" i="7" s="1"/>
  <c r="AI736" i="7" s="1"/>
  <c r="B760" i="7"/>
  <c r="B761" i="7" s="1"/>
  <c r="B762" i="7" s="1"/>
  <c r="C762" i="7" s="1"/>
  <c r="F762" i="7" s="1"/>
  <c r="G762" i="7" s="1"/>
  <c r="N762" i="7" s="1"/>
  <c r="AG742" i="7" s="1"/>
  <c r="AI742" i="7" s="1"/>
  <c r="B780" i="7"/>
  <c r="B781" i="7" s="1"/>
  <c r="B782" i="7" s="1"/>
  <c r="C782" i="7" s="1"/>
  <c r="F782" i="7" s="1"/>
  <c r="G782" i="7" s="1"/>
  <c r="N782" i="7" s="1"/>
  <c r="AG747" i="7" s="1"/>
  <c r="AI747" i="7" s="1"/>
  <c r="B740" i="7"/>
  <c r="B741" i="7" s="1"/>
  <c r="B742" i="7" s="1"/>
  <c r="C742" i="7" s="1"/>
  <c r="F742" i="7" s="1"/>
  <c r="G742" i="7" s="1"/>
  <c r="N742" i="7" s="1"/>
  <c r="AG737" i="7" s="1"/>
  <c r="AI737" i="7" s="1"/>
  <c r="B772" i="7"/>
  <c r="B773" i="7" s="1"/>
  <c r="B774" i="7" s="1"/>
  <c r="C774" i="7" s="1"/>
  <c r="F774" i="7" s="1"/>
  <c r="G774" i="7" s="1"/>
  <c r="N774" i="7" s="1"/>
  <c r="AG745" i="7" s="1"/>
  <c r="AI745" i="7" s="1"/>
  <c r="B756" i="7"/>
  <c r="B757" i="7" s="1"/>
  <c r="B758" i="7" s="1"/>
  <c r="C758" i="7" s="1"/>
  <c r="F758" i="7" s="1"/>
  <c r="G758" i="7" s="1"/>
  <c r="N758" i="7" s="1"/>
  <c r="AG741" i="7" s="1"/>
  <c r="AI741" i="7" s="1"/>
  <c r="B776" i="7"/>
  <c r="B777" i="7" s="1"/>
  <c r="B778" i="7" s="1"/>
  <c r="C778" i="7" s="1"/>
  <c r="F778" i="7" s="1"/>
  <c r="G778" i="7" s="1"/>
  <c r="N778" i="7" s="1"/>
  <c r="AG746" i="7" s="1"/>
  <c r="AI746" i="7" s="1"/>
  <c r="B748" i="7"/>
  <c r="B749" i="7" s="1"/>
  <c r="B750" i="7" s="1"/>
  <c r="C750" i="7" s="1"/>
  <c r="F750" i="7" s="1"/>
  <c r="G750" i="7" s="1"/>
  <c r="N750" i="7" s="1"/>
  <c r="AG739" i="7" s="1"/>
  <c r="AI739" i="7" s="1"/>
  <c r="B701" i="7"/>
  <c r="B702" i="7" s="1"/>
  <c r="B703" i="7" s="1"/>
  <c r="C703" i="7" s="1"/>
  <c r="F703" i="7" s="1"/>
  <c r="G703" i="7" s="1"/>
  <c r="N703" i="7" s="1"/>
  <c r="AG659" i="7" s="1"/>
  <c r="AI659" i="7" s="1"/>
  <c r="B713" i="7"/>
  <c r="B714" i="7" s="1"/>
  <c r="B715" i="7" s="1"/>
  <c r="C715" i="7" s="1"/>
  <c r="F715" i="7" s="1"/>
  <c r="G715" i="7" s="1"/>
  <c r="N715" i="7" s="1"/>
  <c r="AG662" i="7" s="1"/>
  <c r="AI662" i="7" s="1"/>
  <c r="B709" i="7"/>
  <c r="B710" i="7" s="1"/>
  <c r="B711" i="7" s="1"/>
  <c r="C711" i="7" s="1"/>
  <c r="F711" i="7" s="1"/>
  <c r="G711" i="7" s="1"/>
  <c r="N711" i="7" s="1"/>
  <c r="AG661" i="7" s="1"/>
  <c r="AI661" i="7" s="1"/>
  <c r="B681" i="7"/>
  <c r="B682" i="7" s="1"/>
  <c r="B683" i="7" s="1"/>
  <c r="C683" i="7" s="1"/>
  <c r="F683" i="7" s="1"/>
  <c r="G683" i="7" s="1"/>
  <c r="N683" i="7" s="1"/>
  <c r="AG654" i="7" s="1"/>
  <c r="AI654" i="7" s="1"/>
  <c r="B665" i="7"/>
  <c r="B666" i="7" s="1"/>
  <c r="B667" i="7" s="1"/>
  <c r="C667" i="7" s="1"/>
  <c r="F667" i="7" s="1"/>
  <c r="G667" i="7" s="1"/>
  <c r="N667" i="7" s="1"/>
  <c r="AG650" i="7" s="1"/>
  <c r="AI650" i="7" s="1"/>
  <c r="B661" i="7"/>
  <c r="B662" i="7" s="1"/>
  <c r="B663" i="7" s="1"/>
  <c r="C663" i="7" s="1"/>
  <c r="F663" i="7" s="1"/>
  <c r="G663" i="7" s="1"/>
  <c r="N663" i="7" s="1"/>
  <c r="AG649" i="7" s="1"/>
  <c r="AI649" i="7" s="1"/>
  <c r="B645" i="7"/>
  <c r="B646" i="7" s="1"/>
  <c r="B647" i="7" s="1"/>
  <c r="C647" i="7" s="1"/>
  <c r="F647" i="7" s="1"/>
  <c r="G647" i="7" s="1"/>
  <c r="N647" i="7" s="1"/>
  <c r="AG645" i="7" s="1"/>
  <c r="AI645" i="7" s="1"/>
  <c r="B705" i="7"/>
  <c r="B706" i="7" s="1"/>
  <c r="B707" i="7" s="1"/>
  <c r="C707" i="7" s="1"/>
  <c r="F707" i="7" s="1"/>
  <c r="G707" i="7" s="1"/>
  <c r="N707" i="7" s="1"/>
  <c r="AG660" i="7" s="1"/>
  <c r="AI660" i="7" s="1"/>
  <c r="B673" i="7"/>
  <c r="B674" i="7" s="1"/>
  <c r="B675" i="7" s="1"/>
  <c r="C675" i="7" s="1"/>
  <c r="F675" i="7" s="1"/>
  <c r="G675" i="7" s="1"/>
  <c r="N675" i="7" s="1"/>
  <c r="AG652" i="7" s="1"/>
  <c r="AI652" i="7" s="1"/>
  <c r="B693" i="7"/>
  <c r="B694" i="7" s="1"/>
  <c r="B695" i="7" s="1"/>
  <c r="C695" i="7" s="1"/>
  <c r="F695" i="7" s="1"/>
  <c r="G695" i="7" s="1"/>
  <c r="N695" i="7" s="1"/>
  <c r="AG657" i="7" s="1"/>
  <c r="AI657" i="7" s="1"/>
  <c r="B677" i="7"/>
  <c r="B678" i="7" s="1"/>
  <c r="B679" i="7" s="1"/>
  <c r="C679" i="7" s="1"/>
  <c r="F679" i="7" s="1"/>
  <c r="G679" i="7" s="1"/>
  <c r="N679" i="7" s="1"/>
  <c r="AG653" i="7" s="1"/>
  <c r="AI653" i="7" s="1"/>
  <c r="B717" i="7"/>
  <c r="B718" i="7" s="1"/>
  <c r="B719" i="7" s="1"/>
  <c r="C719" i="7" s="1"/>
  <c r="F719" i="7" s="1"/>
  <c r="G719" i="7" s="1"/>
  <c r="N719" i="7" s="1"/>
  <c r="AG720" i="7" s="1"/>
  <c r="AI720" i="7" s="1"/>
  <c r="AI724" i="7" s="1"/>
  <c r="B685" i="7"/>
  <c r="B686" i="7" s="1"/>
  <c r="B687" i="7" s="1"/>
  <c r="C687" i="7" s="1"/>
  <c r="F687" i="7" s="1"/>
  <c r="G687" i="7" s="1"/>
  <c r="N687" i="7" s="1"/>
  <c r="AG655" i="7" s="1"/>
  <c r="AI655" i="7" s="1"/>
  <c r="B669" i="7"/>
  <c r="B670" i="7" s="1"/>
  <c r="B671" i="7" s="1"/>
  <c r="C671" i="7" s="1"/>
  <c r="F671" i="7" s="1"/>
  <c r="G671" i="7" s="1"/>
  <c r="N671" i="7" s="1"/>
  <c r="AG651" i="7" s="1"/>
  <c r="AI651" i="7" s="1"/>
  <c r="B653" i="7"/>
  <c r="B654" i="7" s="1"/>
  <c r="B655" i="7" s="1"/>
  <c r="C655" i="7" s="1"/>
  <c r="F655" i="7" s="1"/>
  <c r="G655" i="7" s="1"/>
  <c r="N655" i="7" s="1"/>
  <c r="AG647" i="7" s="1"/>
  <c r="AI647" i="7" s="1"/>
  <c r="B721" i="7"/>
  <c r="B722" i="7" s="1"/>
  <c r="B723" i="7" s="1"/>
  <c r="C723" i="7" s="1"/>
  <c r="F723" i="7" s="1"/>
  <c r="G723" i="7" s="1"/>
  <c r="N723" i="7" s="1"/>
  <c r="AG721" i="7" s="1"/>
  <c r="AI721" i="7" s="1"/>
  <c r="B657" i="7"/>
  <c r="B658" i="7" s="1"/>
  <c r="B659" i="7" s="1"/>
  <c r="C659" i="7" s="1"/>
  <c r="F659" i="7" s="1"/>
  <c r="G659" i="7" s="1"/>
  <c r="N659" i="7" s="1"/>
  <c r="AG648" i="7" s="1"/>
  <c r="AI648" i="7" s="1"/>
  <c r="B649" i="7"/>
  <c r="B650" i="7" s="1"/>
  <c r="B651" i="7" s="1"/>
  <c r="C651" i="7" s="1"/>
  <c r="F651" i="7" s="1"/>
  <c r="G651" i="7" s="1"/>
  <c r="N651" i="7" s="1"/>
  <c r="AG646" i="7" s="1"/>
  <c r="AI646" i="7" s="1"/>
  <c r="B689" i="7"/>
  <c r="B690" i="7" s="1"/>
  <c r="B691" i="7" s="1"/>
  <c r="C691" i="7" s="1"/>
  <c r="F691" i="7" s="1"/>
  <c r="G691" i="7" s="1"/>
  <c r="N691" i="7" s="1"/>
  <c r="AG656" i="7" s="1"/>
  <c r="AI656" i="7" s="1"/>
  <c r="B697" i="7"/>
  <c r="B698" i="7" s="1"/>
  <c r="B699" i="7" s="1"/>
  <c r="C699" i="7" s="1"/>
  <c r="F699" i="7" s="1"/>
  <c r="G699" i="7" s="1"/>
  <c r="N699" i="7" s="1"/>
  <c r="AG658" i="7" s="1"/>
  <c r="AI658" i="7" s="1"/>
  <c r="B641" i="7"/>
  <c r="B642" i="7" s="1"/>
  <c r="B643" i="7" s="1"/>
  <c r="C643" i="7" s="1"/>
  <c r="F643" i="7" s="1"/>
  <c r="G643" i="7" s="1"/>
  <c r="N643" i="7" s="1"/>
  <c r="AG644" i="7" s="1"/>
  <c r="B725" i="7"/>
  <c r="B726" i="7" s="1"/>
  <c r="B727" i="7" s="1"/>
  <c r="C727" i="7" s="1"/>
  <c r="F727" i="7" s="1"/>
  <c r="G727" i="7" s="1"/>
  <c r="N727" i="7" s="1"/>
  <c r="AG722" i="7" s="1"/>
  <c r="AI722" i="7" s="1"/>
  <c r="B629" i="7"/>
  <c r="B630" i="7" s="1"/>
  <c r="B631" i="7" s="1"/>
  <c r="C631" i="7" s="1"/>
  <c r="F631" i="7" s="1"/>
  <c r="G631" i="7" s="1"/>
  <c r="N631" i="7" s="1"/>
  <c r="AG572" i="7" s="1"/>
  <c r="AI572" i="7" s="1"/>
  <c r="B613" i="7"/>
  <c r="B614" i="7" s="1"/>
  <c r="B615" i="7" s="1"/>
  <c r="C615" i="7" s="1"/>
  <c r="F615" i="7" s="1"/>
  <c r="G615" i="7" s="1"/>
  <c r="N615" i="7" s="1"/>
  <c r="AG568" i="7" s="1"/>
  <c r="AI568" i="7" s="1"/>
  <c r="B597" i="7"/>
  <c r="B598" i="7" s="1"/>
  <c r="B599" i="7" s="1"/>
  <c r="C599" i="7" s="1"/>
  <c r="F599" i="7" s="1"/>
  <c r="G599" i="7" s="1"/>
  <c r="N599" i="7" s="1"/>
  <c r="AG564" i="7" s="1"/>
  <c r="AI564" i="7" s="1"/>
  <c r="B581" i="7"/>
  <c r="B582" i="7" s="1"/>
  <c r="B583" i="7" s="1"/>
  <c r="C583" i="7" s="1"/>
  <c r="F583" i="7" s="1"/>
  <c r="G583" i="7" s="1"/>
  <c r="N583" i="7" s="1"/>
  <c r="AG560" i="7" s="1"/>
  <c r="AI560" i="7" s="1"/>
  <c r="B565" i="7"/>
  <c r="B566" i="7" s="1"/>
  <c r="B567" i="7" s="1"/>
  <c r="C567" i="7" s="1"/>
  <c r="F567" i="7" s="1"/>
  <c r="G567" i="7" s="1"/>
  <c r="N567" i="7" s="1"/>
  <c r="AG556" i="7" s="1"/>
  <c r="AI556" i="7" s="1"/>
  <c r="B549" i="7"/>
  <c r="B550" i="7" s="1"/>
  <c r="B551" i="7" s="1"/>
  <c r="C551" i="7" s="1"/>
  <c r="F551" i="7" s="1"/>
  <c r="G551" i="7" s="1"/>
  <c r="N551" i="7" s="1"/>
  <c r="AG552" i="7" s="1"/>
  <c r="B533" i="7"/>
  <c r="B534" i="7" s="1"/>
  <c r="B535" i="7" s="1"/>
  <c r="C535" i="7" s="1"/>
  <c r="F535" i="7" s="1"/>
  <c r="G535" i="7" s="1"/>
  <c r="N535" i="7" s="1"/>
  <c r="AG467" i="7" s="1"/>
  <c r="AI467" i="7" s="1"/>
  <c r="B517" i="7"/>
  <c r="B518" i="7" s="1"/>
  <c r="B519" i="7" s="1"/>
  <c r="C519" i="7" s="1"/>
  <c r="F519" i="7" s="1"/>
  <c r="G519" i="7" s="1"/>
  <c r="N519" i="7" s="1"/>
  <c r="AG463" i="7" s="1"/>
  <c r="AI463" i="7" s="1"/>
  <c r="B501" i="7"/>
  <c r="B502" i="7" s="1"/>
  <c r="B503" i="7" s="1"/>
  <c r="C503" i="7" s="1"/>
  <c r="F503" i="7" s="1"/>
  <c r="G503" i="7" s="1"/>
  <c r="N503" i="7" s="1"/>
  <c r="AG459" i="7" s="1"/>
  <c r="AI459" i="7" s="1"/>
  <c r="B485" i="7"/>
  <c r="B486" i="7" s="1"/>
  <c r="B487" i="7" s="1"/>
  <c r="C487" i="7" s="1"/>
  <c r="F487" i="7" s="1"/>
  <c r="G487" i="7" s="1"/>
  <c r="N487" i="7" s="1"/>
  <c r="AG455" i="7" s="1"/>
  <c r="AI455" i="7" s="1"/>
  <c r="B469" i="7"/>
  <c r="B470" i="7" s="1"/>
  <c r="B471" i="7" s="1"/>
  <c r="C471" i="7" s="1"/>
  <c r="F471" i="7" s="1"/>
  <c r="G471" i="7" s="1"/>
  <c r="N471" i="7" s="1"/>
  <c r="AG451" i="7" s="1"/>
  <c r="AI451" i="7" s="1"/>
  <c r="B453" i="7"/>
  <c r="B454" i="7" s="1"/>
  <c r="B455" i="7" s="1"/>
  <c r="C455" i="7" s="1"/>
  <c r="F455" i="7" s="1"/>
  <c r="G455" i="7" s="1"/>
  <c r="N455" i="7" s="1"/>
  <c r="AG447" i="7" s="1"/>
  <c r="AI447" i="7" s="1"/>
  <c r="B633" i="7"/>
  <c r="B634" i="7" s="1"/>
  <c r="B635" i="7" s="1"/>
  <c r="C635" i="7" s="1"/>
  <c r="F635" i="7" s="1"/>
  <c r="G635" i="7" s="1"/>
  <c r="N635" i="7" s="1"/>
  <c r="AG573" i="7" s="1"/>
  <c r="AI573" i="7" s="1"/>
  <c r="B617" i="7"/>
  <c r="B618" i="7" s="1"/>
  <c r="B619" i="7" s="1"/>
  <c r="C619" i="7" s="1"/>
  <c r="F619" i="7" s="1"/>
  <c r="G619" i="7" s="1"/>
  <c r="N619" i="7" s="1"/>
  <c r="AG569" i="7" s="1"/>
  <c r="AI569" i="7" s="1"/>
  <c r="B601" i="7"/>
  <c r="B602" i="7" s="1"/>
  <c r="B603" i="7" s="1"/>
  <c r="C603" i="7" s="1"/>
  <c r="F603" i="7" s="1"/>
  <c r="G603" i="7" s="1"/>
  <c r="N603" i="7" s="1"/>
  <c r="AG565" i="7" s="1"/>
  <c r="AI565" i="7" s="1"/>
  <c r="B585" i="7"/>
  <c r="B586" i="7" s="1"/>
  <c r="B587" i="7" s="1"/>
  <c r="C587" i="7" s="1"/>
  <c r="F587" i="7" s="1"/>
  <c r="G587" i="7" s="1"/>
  <c r="N587" i="7" s="1"/>
  <c r="AG561" i="7" s="1"/>
  <c r="AI561" i="7" s="1"/>
  <c r="B569" i="7"/>
  <c r="B570" i="7" s="1"/>
  <c r="B571" i="7" s="1"/>
  <c r="C571" i="7" s="1"/>
  <c r="F571" i="7" s="1"/>
  <c r="G571" i="7" s="1"/>
  <c r="N571" i="7" s="1"/>
  <c r="AG557" i="7" s="1"/>
  <c r="AI557" i="7" s="1"/>
  <c r="B553" i="7"/>
  <c r="B554" i="7" s="1"/>
  <c r="B555" i="7" s="1"/>
  <c r="C555" i="7" s="1"/>
  <c r="F555" i="7" s="1"/>
  <c r="G555" i="7" s="1"/>
  <c r="N555" i="7" s="1"/>
  <c r="AG553" i="7" s="1"/>
  <c r="AI553" i="7" s="1"/>
  <c r="B537" i="7"/>
  <c r="B538" i="7" s="1"/>
  <c r="B539" i="7" s="1"/>
  <c r="C539" i="7" s="1"/>
  <c r="F539" i="7" s="1"/>
  <c r="G539" i="7" s="1"/>
  <c r="N539" i="7" s="1"/>
  <c r="AG468" i="7" s="1"/>
  <c r="AI468" i="7" s="1"/>
  <c r="B521" i="7"/>
  <c r="B522" i="7" s="1"/>
  <c r="B523" i="7" s="1"/>
  <c r="C523" i="7" s="1"/>
  <c r="F523" i="7" s="1"/>
  <c r="G523" i="7" s="1"/>
  <c r="N523" i="7" s="1"/>
  <c r="AG464" i="7" s="1"/>
  <c r="AI464" i="7" s="1"/>
  <c r="B505" i="7"/>
  <c r="B506" i="7" s="1"/>
  <c r="B507" i="7" s="1"/>
  <c r="C507" i="7" s="1"/>
  <c r="F507" i="7" s="1"/>
  <c r="G507" i="7" s="1"/>
  <c r="N507" i="7" s="1"/>
  <c r="AG460" i="7" s="1"/>
  <c r="AI460" i="7" s="1"/>
  <c r="B489" i="7"/>
  <c r="B490" i="7" s="1"/>
  <c r="B491" i="7" s="1"/>
  <c r="C491" i="7" s="1"/>
  <c r="F491" i="7" s="1"/>
  <c r="G491" i="7" s="1"/>
  <c r="N491" i="7" s="1"/>
  <c r="AG456" i="7" s="1"/>
  <c r="AI456" i="7" s="1"/>
  <c r="B473" i="7"/>
  <c r="B474" i="7" s="1"/>
  <c r="B475" i="7" s="1"/>
  <c r="C475" i="7" s="1"/>
  <c r="F475" i="7" s="1"/>
  <c r="G475" i="7" s="1"/>
  <c r="N475" i="7" s="1"/>
  <c r="AG452" i="7" s="1"/>
  <c r="AI452" i="7" s="1"/>
  <c r="B457" i="7"/>
  <c r="B458" i="7" s="1"/>
  <c r="B459" i="7" s="1"/>
  <c r="C459" i="7" s="1"/>
  <c r="F459" i="7" s="1"/>
  <c r="G459" i="7" s="1"/>
  <c r="N459" i="7" s="1"/>
  <c r="AG448" i="7" s="1"/>
  <c r="AI448" i="7" s="1"/>
  <c r="B637" i="7"/>
  <c r="B638" i="7" s="1"/>
  <c r="B639" i="7" s="1"/>
  <c r="C639" i="7" s="1"/>
  <c r="F639" i="7" s="1"/>
  <c r="G639" i="7" s="1"/>
  <c r="N639" i="7" s="1"/>
  <c r="AG574" i="7" s="1"/>
  <c r="AI574" i="7" s="1"/>
  <c r="B621" i="7"/>
  <c r="B622" i="7" s="1"/>
  <c r="B623" i="7" s="1"/>
  <c r="C623" i="7" s="1"/>
  <c r="F623" i="7" s="1"/>
  <c r="G623" i="7" s="1"/>
  <c r="N623" i="7" s="1"/>
  <c r="AG570" i="7" s="1"/>
  <c r="AI570" i="7" s="1"/>
  <c r="B605" i="7"/>
  <c r="B606" i="7" s="1"/>
  <c r="B607" i="7" s="1"/>
  <c r="C607" i="7" s="1"/>
  <c r="F607" i="7" s="1"/>
  <c r="G607" i="7" s="1"/>
  <c r="N607" i="7" s="1"/>
  <c r="AG566" i="7" s="1"/>
  <c r="AI566" i="7" s="1"/>
  <c r="B589" i="7"/>
  <c r="B590" i="7" s="1"/>
  <c r="B591" i="7" s="1"/>
  <c r="C591" i="7" s="1"/>
  <c r="F591" i="7" s="1"/>
  <c r="G591" i="7" s="1"/>
  <c r="N591" i="7" s="1"/>
  <c r="AG562" i="7" s="1"/>
  <c r="AI562" i="7" s="1"/>
  <c r="B573" i="7"/>
  <c r="B574" i="7" s="1"/>
  <c r="B575" i="7" s="1"/>
  <c r="C575" i="7" s="1"/>
  <c r="F575" i="7" s="1"/>
  <c r="G575" i="7" s="1"/>
  <c r="N575" i="7" s="1"/>
  <c r="AG558" i="7" s="1"/>
  <c r="AI558" i="7" s="1"/>
  <c r="B557" i="7"/>
  <c r="B558" i="7" s="1"/>
  <c r="B559" i="7" s="1"/>
  <c r="C559" i="7" s="1"/>
  <c r="F559" i="7" s="1"/>
  <c r="G559" i="7" s="1"/>
  <c r="N559" i="7" s="1"/>
  <c r="AG554" i="7" s="1"/>
  <c r="AI554" i="7" s="1"/>
  <c r="B541" i="7"/>
  <c r="B542" i="7" s="1"/>
  <c r="B543" i="7" s="1"/>
  <c r="C543" i="7" s="1"/>
  <c r="F543" i="7" s="1"/>
  <c r="G543" i="7" s="1"/>
  <c r="N543" i="7" s="1"/>
  <c r="AG469" i="7" s="1"/>
  <c r="AI469" i="7" s="1"/>
  <c r="B525" i="7"/>
  <c r="B526" i="7" s="1"/>
  <c r="B527" i="7" s="1"/>
  <c r="C527" i="7" s="1"/>
  <c r="F527" i="7" s="1"/>
  <c r="G527" i="7" s="1"/>
  <c r="N527" i="7" s="1"/>
  <c r="AG465" i="7" s="1"/>
  <c r="AI465" i="7" s="1"/>
  <c r="B509" i="7"/>
  <c r="B510" i="7" s="1"/>
  <c r="B511" i="7" s="1"/>
  <c r="C511" i="7" s="1"/>
  <c r="F511" i="7" s="1"/>
  <c r="G511" i="7" s="1"/>
  <c r="N511" i="7" s="1"/>
  <c r="AG461" i="7" s="1"/>
  <c r="AI461" i="7" s="1"/>
  <c r="B493" i="7"/>
  <c r="B494" i="7" s="1"/>
  <c r="B495" i="7" s="1"/>
  <c r="C495" i="7" s="1"/>
  <c r="F495" i="7" s="1"/>
  <c r="G495" i="7" s="1"/>
  <c r="N495" i="7" s="1"/>
  <c r="AG457" i="7" s="1"/>
  <c r="AI457" i="7" s="1"/>
  <c r="B477" i="7"/>
  <c r="B478" i="7" s="1"/>
  <c r="B479" i="7" s="1"/>
  <c r="C479" i="7" s="1"/>
  <c r="F479" i="7" s="1"/>
  <c r="G479" i="7" s="1"/>
  <c r="N479" i="7" s="1"/>
  <c r="AG453" i="7" s="1"/>
  <c r="AI453" i="7" s="1"/>
  <c r="B461" i="7"/>
  <c r="B462" i="7" s="1"/>
  <c r="B463" i="7" s="1"/>
  <c r="C463" i="7" s="1"/>
  <c r="F463" i="7" s="1"/>
  <c r="G463" i="7" s="1"/>
  <c r="N463" i="7" s="1"/>
  <c r="AG449" i="7" s="1"/>
  <c r="AI449" i="7" s="1"/>
  <c r="B445" i="7"/>
  <c r="B446" i="7" s="1"/>
  <c r="B447" i="7" s="1"/>
  <c r="C447" i="7" s="1"/>
  <c r="F447" i="7" s="1"/>
  <c r="G447" i="7" s="1"/>
  <c r="N447" i="7" s="1"/>
  <c r="AG445" i="7" s="1"/>
  <c r="AI445" i="7" s="1"/>
  <c r="B625" i="7"/>
  <c r="B626" i="7" s="1"/>
  <c r="B627" i="7" s="1"/>
  <c r="C627" i="7" s="1"/>
  <c r="F627" i="7" s="1"/>
  <c r="G627" i="7" s="1"/>
  <c r="N627" i="7" s="1"/>
  <c r="AG571" i="7" s="1"/>
  <c r="AI571" i="7" s="1"/>
  <c r="B609" i="7"/>
  <c r="B610" i="7" s="1"/>
  <c r="B611" i="7" s="1"/>
  <c r="C611" i="7" s="1"/>
  <c r="F611" i="7" s="1"/>
  <c r="G611" i="7" s="1"/>
  <c r="N611" i="7" s="1"/>
  <c r="AG567" i="7" s="1"/>
  <c r="AI567" i="7" s="1"/>
  <c r="B593" i="7"/>
  <c r="B594" i="7" s="1"/>
  <c r="B595" i="7" s="1"/>
  <c r="C595" i="7" s="1"/>
  <c r="F595" i="7" s="1"/>
  <c r="G595" i="7" s="1"/>
  <c r="N595" i="7" s="1"/>
  <c r="AG563" i="7" s="1"/>
  <c r="AI563" i="7" s="1"/>
  <c r="B577" i="7"/>
  <c r="B578" i="7" s="1"/>
  <c r="B579" i="7" s="1"/>
  <c r="C579" i="7" s="1"/>
  <c r="F579" i="7" s="1"/>
  <c r="G579" i="7" s="1"/>
  <c r="N579" i="7" s="1"/>
  <c r="AG559" i="7" s="1"/>
  <c r="AI559" i="7" s="1"/>
  <c r="B561" i="7"/>
  <c r="B562" i="7" s="1"/>
  <c r="B563" i="7" s="1"/>
  <c r="C563" i="7" s="1"/>
  <c r="F563" i="7" s="1"/>
  <c r="G563" i="7" s="1"/>
  <c r="N563" i="7" s="1"/>
  <c r="AG555" i="7" s="1"/>
  <c r="AI555" i="7" s="1"/>
  <c r="B545" i="7"/>
  <c r="B546" i="7" s="1"/>
  <c r="B547" i="7" s="1"/>
  <c r="C547" i="7" s="1"/>
  <c r="F547" i="7" s="1"/>
  <c r="G547" i="7" s="1"/>
  <c r="N547" i="7" s="1"/>
  <c r="AG470" i="7" s="1"/>
  <c r="AI470" i="7" s="1"/>
  <c r="B529" i="7"/>
  <c r="B530" i="7" s="1"/>
  <c r="B531" i="7" s="1"/>
  <c r="C531" i="7" s="1"/>
  <c r="F531" i="7" s="1"/>
  <c r="G531" i="7" s="1"/>
  <c r="N531" i="7" s="1"/>
  <c r="AG466" i="7" s="1"/>
  <c r="AI466" i="7" s="1"/>
  <c r="B513" i="7"/>
  <c r="B514" i="7" s="1"/>
  <c r="B515" i="7" s="1"/>
  <c r="C515" i="7" s="1"/>
  <c r="F515" i="7" s="1"/>
  <c r="G515" i="7" s="1"/>
  <c r="N515" i="7" s="1"/>
  <c r="AG462" i="7" s="1"/>
  <c r="AI462" i="7" s="1"/>
  <c r="B497" i="7"/>
  <c r="B498" i="7" s="1"/>
  <c r="B499" i="7" s="1"/>
  <c r="C499" i="7" s="1"/>
  <c r="F499" i="7" s="1"/>
  <c r="G499" i="7" s="1"/>
  <c r="N499" i="7" s="1"/>
  <c r="AG458" i="7" s="1"/>
  <c r="AI458" i="7" s="1"/>
  <c r="B481" i="7"/>
  <c r="B482" i="7" s="1"/>
  <c r="B483" i="7" s="1"/>
  <c r="C483" i="7" s="1"/>
  <c r="F483" i="7" s="1"/>
  <c r="G483" i="7" s="1"/>
  <c r="N483" i="7" s="1"/>
  <c r="AG454" i="7" s="1"/>
  <c r="AI454" i="7" s="1"/>
  <c r="B465" i="7"/>
  <c r="B466" i="7" s="1"/>
  <c r="B467" i="7" s="1"/>
  <c r="C467" i="7" s="1"/>
  <c r="F467" i="7" s="1"/>
  <c r="G467" i="7" s="1"/>
  <c r="N467" i="7" s="1"/>
  <c r="AG450" i="7" s="1"/>
  <c r="AI450" i="7" s="1"/>
  <c r="B449" i="7"/>
  <c r="B450" i="7" s="1"/>
  <c r="B451" i="7" s="1"/>
  <c r="C451" i="7" s="1"/>
  <c r="F451" i="7" s="1"/>
  <c r="G451" i="7" s="1"/>
  <c r="N451" i="7" s="1"/>
  <c r="AG446" i="7" s="1"/>
  <c r="AI446" i="7" s="1"/>
  <c r="B10" i="7"/>
  <c r="B11" i="7" s="1"/>
  <c r="B425" i="7"/>
  <c r="B426" i="7" s="1"/>
  <c r="B427" i="7" s="1"/>
  <c r="C427" i="7" s="1"/>
  <c r="F427" i="7" s="1"/>
  <c r="G427" i="7" s="1"/>
  <c r="N427" i="7" s="1"/>
  <c r="AG320" i="7" s="1"/>
  <c r="AI320" i="7" s="1"/>
  <c r="B389" i="7"/>
  <c r="B390" i="7" s="1"/>
  <c r="B391" i="7" s="1"/>
  <c r="C391" i="7" s="1"/>
  <c r="F391" i="7" s="1"/>
  <c r="G391" i="7" s="1"/>
  <c r="N391" i="7" s="1"/>
  <c r="AG311" i="7" s="1"/>
  <c r="AI311" i="7" s="1"/>
  <c r="B357" i="7"/>
  <c r="B358" i="7" s="1"/>
  <c r="B359" i="7" s="1"/>
  <c r="C359" i="7" s="1"/>
  <c r="F359" i="7" s="1"/>
  <c r="G359" i="7" s="1"/>
  <c r="N359" i="7" s="1"/>
  <c r="AG303" i="7" s="1"/>
  <c r="AI303" i="7" s="1"/>
  <c r="B289" i="7"/>
  <c r="B290" i="7" s="1"/>
  <c r="B291" i="7" s="1"/>
  <c r="C291" i="7" s="1"/>
  <c r="F291" i="7" s="1"/>
  <c r="G291" i="7" s="1"/>
  <c r="N291" i="7" s="1"/>
  <c r="AG286" i="7" s="1"/>
  <c r="AI286" i="7" s="1"/>
  <c r="B225" i="7"/>
  <c r="B226" i="7" s="1"/>
  <c r="B227" i="7" s="1"/>
  <c r="C227" i="7" s="1"/>
  <c r="F227" i="7" s="1"/>
  <c r="G227" i="7" s="1"/>
  <c r="N227" i="7" s="1"/>
  <c r="AG177" i="7" s="1"/>
  <c r="AI177" i="7" s="1"/>
  <c r="B209" i="7"/>
  <c r="B210" i="7" s="1"/>
  <c r="B211" i="7" s="1"/>
  <c r="C211" i="7" s="1"/>
  <c r="F211" i="7" s="1"/>
  <c r="G211" i="7" s="1"/>
  <c r="N211" i="7" s="1"/>
  <c r="AG173" i="7" s="1"/>
  <c r="AI173" i="7" s="1"/>
  <c r="B193" i="7"/>
  <c r="B194" i="7" s="1"/>
  <c r="B195" i="7" s="1"/>
  <c r="C195" i="7" s="1"/>
  <c r="F195" i="7" s="1"/>
  <c r="G195" i="7" s="1"/>
  <c r="N195" i="7" s="1"/>
  <c r="AG169" i="7" s="1"/>
  <c r="AI169" i="7" s="1"/>
  <c r="B177" i="7"/>
  <c r="B178" i="7" s="1"/>
  <c r="B179" i="7" s="1"/>
  <c r="C179" i="7" s="1"/>
  <c r="F179" i="7" s="1"/>
  <c r="G179" i="7" s="1"/>
  <c r="N179" i="7" s="1"/>
  <c r="AG165" i="7" s="1"/>
  <c r="AI165" i="7" s="1"/>
  <c r="B58" i="7"/>
  <c r="B59" i="7" s="1"/>
  <c r="B60" i="7" s="1"/>
  <c r="C60" i="7" s="1"/>
  <c r="F60" i="7" s="1"/>
  <c r="G60" i="7" s="1"/>
  <c r="N60" i="7" s="1"/>
  <c r="AG25" i="7" s="1"/>
  <c r="B305" i="7"/>
  <c r="B306" i="7" s="1"/>
  <c r="B307" i="7" s="1"/>
  <c r="C307" i="7" s="1"/>
  <c r="F307" i="7" s="1"/>
  <c r="G307" i="7" s="1"/>
  <c r="N307" i="7" s="1"/>
  <c r="AG290" i="7" s="1"/>
  <c r="AI290" i="7" s="1"/>
  <c r="B409" i="7"/>
  <c r="B410" i="7" s="1"/>
  <c r="B411" i="7" s="1"/>
  <c r="C411" i="7" s="1"/>
  <c r="F411" i="7" s="1"/>
  <c r="G411" i="7" s="1"/>
  <c r="N411" i="7" s="1"/>
  <c r="AG316" i="7" s="1"/>
  <c r="AI316" i="7" s="1"/>
  <c r="B393" i="7"/>
  <c r="B394" i="7" s="1"/>
  <c r="B395" i="7" s="1"/>
  <c r="C395" i="7" s="1"/>
  <c r="F395" i="7" s="1"/>
  <c r="G395" i="7" s="1"/>
  <c r="N395" i="7" s="1"/>
  <c r="AG312" i="7" s="1"/>
  <c r="AI312" i="7" s="1"/>
  <c r="B341" i="7"/>
  <c r="B342" i="7" s="1"/>
  <c r="B343" i="7" s="1"/>
  <c r="C343" i="7" s="1"/>
  <c r="F343" i="7" s="1"/>
  <c r="G343" i="7" s="1"/>
  <c r="N343" i="7" s="1"/>
  <c r="AG299" i="7" s="1"/>
  <c r="AI299" i="7" s="1"/>
  <c r="B325" i="7"/>
  <c r="B326" i="7" s="1"/>
  <c r="B327" i="7" s="1"/>
  <c r="C327" i="7" s="1"/>
  <c r="F327" i="7" s="1"/>
  <c r="G327" i="7" s="1"/>
  <c r="N327" i="7" s="1"/>
  <c r="AG295" i="7" s="1"/>
  <c r="AI295" i="7" s="1"/>
  <c r="B309" i="7"/>
  <c r="B310" i="7" s="1"/>
  <c r="B311" i="7" s="1"/>
  <c r="C311" i="7" s="1"/>
  <c r="F311" i="7" s="1"/>
  <c r="G311" i="7" s="1"/>
  <c r="N311" i="7" s="1"/>
  <c r="AG291" i="7" s="1"/>
  <c r="AI291" i="7" s="1"/>
  <c r="B293" i="7"/>
  <c r="B294" i="7" s="1"/>
  <c r="B295" i="7" s="1"/>
  <c r="C295" i="7" s="1"/>
  <c r="F295" i="7" s="1"/>
  <c r="G295" i="7" s="1"/>
  <c r="N295" i="7" s="1"/>
  <c r="AG287" i="7" s="1"/>
  <c r="AI287" i="7" s="1"/>
  <c r="B261" i="7"/>
  <c r="B262" i="7" s="1"/>
  <c r="B263" i="7" s="1"/>
  <c r="C263" i="7" s="1"/>
  <c r="F263" i="7" s="1"/>
  <c r="G263" i="7" s="1"/>
  <c r="N263" i="7" s="1"/>
  <c r="AG186" i="7" s="1"/>
  <c r="AI186" i="7" s="1"/>
  <c r="B245" i="7"/>
  <c r="B246" i="7" s="1"/>
  <c r="B247" i="7" s="1"/>
  <c r="C247" i="7" s="1"/>
  <c r="F247" i="7" s="1"/>
  <c r="G247" i="7" s="1"/>
  <c r="N247" i="7" s="1"/>
  <c r="AG182" i="7" s="1"/>
  <c r="AI182" i="7" s="1"/>
  <c r="B54" i="7"/>
  <c r="B55" i="7" s="1"/>
  <c r="B56" i="7" s="1"/>
  <c r="C56" i="7" s="1"/>
  <c r="F56" i="7" s="1"/>
  <c r="G56" i="7" s="1"/>
  <c r="N56" i="7" s="1"/>
  <c r="AG24" i="7" s="1"/>
  <c r="B185" i="7"/>
  <c r="B186" i="7" s="1"/>
  <c r="B187" i="7" s="1"/>
  <c r="C187" i="7" s="1"/>
  <c r="F187" i="7" s="1"/>
  <c r="G187" i="7" s="1"/>
  <c r="N187" i="7" s="1"/>
  <c r="AG167" i="7" s="1"/>
  <c r="AI167" i="7" s="1"/>
  <c r="B257" i="7"/>
  <c r="B258" i="7" s="1"/>
  <c r="B259" i="7" s="1"/>
  <c r="C259" i="7" s="1"/>
  <c r="F259" i="7" s="1"/>
  <c r="G259" i="7" s="1"/>
  <c r="N259" i="7" s="1"/>
  <c r="AG185" i="7" s="1"/>
  <c r="AI185" i="7" s="1"/>
  <c r="B429" i="7"/>
  <c r="B430" i="7" s="1"/>
  <c r="B431" i="7" s="1"/>
  <c r="C431" i="7" s="1"/>
  <c r="F431" i="7" s="1"/>
  <c r="G431" i="7" s="1"/>
  <c r="N431" i="7" s="1"/>
  <c r="AG321" i="7" s="1"/>
  <c r="AI321" i="7" s="1"/>
  <c r="B397" i="7"/>
  <c r="B398" i="7" s="1"/>
  <c r="B399" i="7" s="1"/>
  <c r="C399" i="7" s="1"/>
  <c r="F399" i="7" s="1"/>
  <c r="G399" i="7" s="1"/>
  <c r="N399" i="7" s="1"/>
  <c r="AG313" i="7" s="1"/>
  <c r="AI313" i="7" s="1"/>
  <c r="B365" i="7"/>
  <c r="B366" i="7" s="1"/>
  <c r="B367" i="7" s="1"/>
  <c r="C367" i="7" s="1"/>
  <c r="F367" i="7" s="1"/>
  <c r="G367" i="7" s="1"/>
  <c r="N367" i="7" s="1"/>
  <c r="AG305" i="7" s="1"/>
  <c r="AI305" i="7" s="1"/>
  <c r="B361" i="7"/>
  <c r="B362" i="7" s="1"/>
  <c r="B363" i="7" s="1"/>
  <c r="C363" i="7" s="1"/>
  <c r="F363" i="7" s="1"/>
  <c r="G363" i="7" s="1"/>
  <c r="N363" i="7" s="1"/>
  <c r="AG304" i="7" s="1"/>
  <c r="AI304" i="7" s="1"/>
  <c r="B229" i="7"/>
  <c r="B230" i="7" s="1"/>
  <c r="B231" i="7" s="1"/>
  <c r="C231" i="7" s="1"/>
  <c r="F231" i="7" s="1"/>
  <c r="G231" i="7" s="1"/>
  <c r="N231" i="7" s="1"/>
  <c r="AG178" i="7" s="1"/>
  <c r="AI178" i="7" s="1"/>
  <c r="B213" i="7"/>
  <c r="B214" i="7" s="1"/>
  <c r="B215" i="7" s="1"/>
  <c r="C215" i="7" s="1"/>
  <c r="F215" i="7" s="1"/>
  <c r="G215" i="7" s="1"/>
  <c r="N215" i="7" s="1"/>
  <c r="AG174" i="7" s="1"/>
  <c r="AI174" i="7" s="1"/>
  <c r="B197" i="7"/>
  <c r="B198" i="7" s="1"/>
  <c r="B199" i="7" s="1"/>
  <c r="C199" i="7" s="1"/>
  <c r="F199" i="7" s="1"/>
  <c r="G199" i="7" s="1"/>
  <c r="N199" i="7" s="1"/>
  <c r="AG170" i="7" s="1"/>
  <c r="AI170" i="7" s="1"/>
  <c r="B98" i="7"/>
  <c r="B99" i="7" s="1"/>
  <c r="B100" i="7" s="1"/>
  <c r="C100" i="7" s="1"/>
  <c r="F100" i="7" s="1"/>
  <c r="G100" i="7" s="1"/>
  <c r="N100" i="7" s="1"/>
  <c r="AG35" i="7" s="1"/>
  <c r="B90" i="7"/>
  <c r="B91" i="7" s="1"/>
  <c r="B92" i="7" s="1"/>
  <c r="C92" i="7" s="1"/>
  <c r="F92" i="7" s="1"/>
  <c r="G92" i="7" s="1"/>
  <c r="N92" i="7" s="1"/>
  <c r="AG33" i="7" s="1"/>
  <c r="B433" i="7"/>
  <c r="B434" i="7" s="1"/>
  <c r="B435" i="7" s="1"/>
  <c r="C435" i="7" s="1"/>
  <c r="F435" i="7" s="1"/>
  <c r="G435" i="7" s="1"/>
  <c r="N435" i="7" s="1"/>
  <c r="AG322" i="7" s="1"/>
  <c r="AI322" i="7" s="1"/>
  <c r="B401" i="7"/>
  <c r="B402" i="7" s="1"/>
  <c r="B403" i="7" s="1"/>
  <c r="C403" i="7" s="1"/>
  <c r="F403" i="7" s="1"/>
  <c r="G403" i="7" s="1"/>
  <c r="N403" i="7" s="1"/>
  <c r="AG314" i="7" s="1"/>
  <c r="AI314" i="7" s="1"/>
  <c r="B369" i="7"/>
  <c r="B370" i="7" s="1"/>
  <c r="B371" i="7" s="1"/>
  <c r="C371" i="7" s="1"/>
  <c r="F371" i="7" s="1"/>
  <c r="G371" i="7" s="1"/>
  <c r="N371" i="7" s="1"/>
  <c r="AG306" i="7" s="1"/>
  <c r="AI306" i="7" s="1"/>
  <c r="B345" i="7"/>
  <c r="B346" i="7" s="1"/>
  <c r="B347" i="7" s="1"/>
  <c r="C347" i="7" s="1"/>
  <c r="F347" i="7" s="1"/>
  <c r="G347" i="7" s="1"/>
  <c r="N347" i="7" s="1"/>
  <c r="AG300" i="7" s="1"/>
  <c r="AI300" i="7" s="1"/>
  <c r="B329" i="7"/>
  <c r="B330" i="7" s="1"/>
  <c r="B331" i="7" s="1"/>
  <c r="C331" i="7" s="1"/>
  <c r="F331" i="7" s="1"/>
  <c r="G331" i="7" s="1"/>
  <c r="N331" i="7" s="1"/>
  <c r="AG296" i="7" s="1"/>
  <c r="AI296" i="7" s="1"/>
  <c r="B313" i="7"/>
  <c r="B314" i="7" s="1"/>
  <c r="B315" i="7" s="1"/>
  <c r="C315" i="7" s="1"/>
  <c r="F315" i="7" s="1"/>
  <c r="G315" i="7" s="1"/>
  <c r="N315" i="7" s="1"/>
  <c r="AG292" i="7" s="1"/>
  <c r="AI292" i="7" s="1"/>
  <c r="B297" i="7"/>
  <c r="B298" i="7" s="1"/>
  <c r="B299" i="7" s="1"/>
  <c r="C299" i="7" s="1"/>
  <c r="F299" i="7" s="1"/>
  <c r="G299" i="7" s="1"/>
  <c r="N299" i="7" s="1"/>
  <c r="AG288" i="7" s="1"/>
  <c r="AI288" i="7" s="1"/>
  <c r="B265" i="7"/>
  <c r="B266" i="7" s="1"/>
  <c r="B267" i="7" s="1"/>
  <c r="C267" i="7" s="1"/>
  <c r="F267" i="7" s="1"/>
  <c r="G267" i="7" s="1"/>
  <c r="N267" i="7" s="1"/>
  <c r="AG187" i="7" s="1"/>
  <c r="AI187" i="7" s="1"/>
  <c r="B249" i="7"/>
  <c r="B250" i="7" s="1"/>
  <c r="B251" i="7" s="1"/>
  <c r="C251" i="7" s="1"/>
  <c r="F251" i="7" s="1"/>
  <c r="G251" i="7" s="1"/>
  <c r="N251" i="7" s="1"/>
  <c r="AG183" i="7" s="1"/>
  <c r="AI183" i="7" s="1"/>
  <c r="B233" i="7"/>
  <c r="B234" i="7" s="1"/>
  <c r="B235" i="7" s="1"/>
  <c r="C235" i="7" s="1"/>
  <c r="F235" i="7" s="1"/>
  <c r="G235" i="7" s="1"/>
  <c r="N235" i="7" s="1"/>
  <c r="AG179" i="7" s="1"/>
  <c r="AI179" i="7" s="1"/>
  <c r="B181" i="7"/>
  <c r="B182" i="7" s="1"/>
  <c r="B183" i="7" s="1"/>
  <c r="C183" i="7" s="1"/>
  <c r="F183" i="7" s="1"/>
  <c r="G183" i="7" s="1"/>
  <c r="N183" i="7" s="1"/>
  <c r="AG166" i="7" s="1"/>
  <c r="AI166" i="7" s="1"/>
  <c r="B165" i="7"/>
  <c r="B166" i="7" s="1"/>
  <c r="B167" i="7" s="1"/>
  <c r="C167" i="7" s="1"/>
  <c r="F167" i="7" s="1"/>
  <c r="G167" i="7" s="1"/>
  <c r="N167" i="7" s="1"/>
  <c r="AG162" i="7" s="1"/>
  <c r="AI162" i="7" s="1"/>
  <c r="B94" i="7"/>
  <c r="B95" i="7" s="1"/>
  <c r="B96" i="7" s="1"/>
  <c r="C96" i="7" s="1"/>
  <c r="F96" i="7" s="1"/>
  <c r="G96" i="7" s="1"/>
  <c r="N96" i="7" s="1"/>
  <c r="AG34" i="7" s="1"/>
  <c r="B169" i="7"/>
  <c r="B170" i="7" s="1"/>
  <c r="B171" i="7" s="1"/>
  <c r="C171" i="7" s="1"/>
  <c r="F171" i="7" s="1"/>
  <c r="G171" i="7" s="1"/>
  <c r="N171" i="7" s="1"/>
  <c r="AG163" i="7" s="1"/>
  <c r="AI163" i="7" s="1"/>
  <c r="B385" i="7"/>
  <c r="B386" i="7" s="1"/>
  <c r="B387" i="7" s="1"/>
  <c r="C387" i="7" s="1"/>
  <c r="F387" i="7" s="1"/>
  <c r="G387" i="7" s="1"/>
  <c r="N387" i="7" s="1"/>
  <c r="AG310" i="7" s="1"/>
  <c r="AI310" i="7" s="1"/>
  <c r="B277" i="7"/>
  <c r="B278" i="7" s="1"/>
  <c r="B279" i="7" s="1"/>
  <c r="C279" i="7" s="1"/>
  <c r="F279" i="7" s="1"/>
  <c r="G279" i="7" s="1"/>
  <c r="N279" i="7" s="1"/>
  <c r="B421" i="7"/>
  <c r="B422" i="7" s="1"/>
  <c r="B423" i="7" s="1"/>
  <c r="C423" i="7" s="1"/>
  <c r="F423" i="7" s="1"/>
  <c r="G423" i="7" s="1"/>
  <c r="N423" i="7" s="1"/>
  <c r="AG319" i="7" s="1"/>
  <c r="AI319" i="7" s="1"/>
  <c r="B405" i="7"/>
  <c r="B406" i="7" s="1"/>
  <c r="B407" i="7" s="1"/>
  <c r="C407" i="7" s="1"/>
  <c r="F407" i="7" s="1"/>
  <c r="G407" i="7" s="1"/>
  <c r="N407" i="7" s="1"/>
  <c r="AG315" i="7" s="1"/>
  <c r="AI315" i="7" s="1"/>
  <c r="B373" i="7"/>
  <c r="B374" i="7" s="1"/>
  <c r="B375" i="7" s="1"/>
  <c r="C375" i="7" s="1"/>
  <c r="F375" i="7" s="1"/>
  <c r="G375" i="7" s="1"/>
  <c r="N375" i="7" s="1"/>
  <c r="AG307" i="7" s="1"/>
  <c r="AI307" i="7" s="1"/>
  <c r="B349" i="7"/>
  <c r="B350" i="7" s="1"/>
  <c r="B351" i="7" s="1"/>
  <c r="C351" i="7" s="1"/>
  <c r="F351" i="7" s="1"/>
  <c r="G351" i="7" s="1"/>
  <c r="N351" i="7" s="1"/>
  <c r="AG301" i="7" s="1"/>
  <c r="AI301" i="7" s="1"/>
  <c r="B281" i="7"/>
  <c r="B282" i="7" s="1"/>
  <c r="B283" i="7" s="1"/>
  <c r="C283" i="7" s="1"/>
  <c r="F283" i="7" s="1"/>
  <c r="G283" i="7" s="1"/>
  <c r="N283" i="7" s="1"/>
  <c r="AG284" i="7" s="1"/>
  <c r="AI284" i="7" s="1"/>
  <c r="B217" i="7"/>
  <c r="B218" i="7" s="1"/>
  <c r="B219" i="7" s="1"/>
  <c r="C219" i="7" s="1"/>
  <c r="F219" i="7" s="1"/>
  <c r="G219" i="7" s="1"/>
  <c r="N219" i="7" s="1"/>
  <c r="AG175" i="7" s="1"/>
  <c r="AI175" i="7" s="1"/>
  <c r="B201" i="7"/>
  <c r="B202" i="7" s="1"/>
  <c r="B203" i="7" s="1"/>
  <c r="C203" i="7" s="1"/>
  <c r="F203" i="7" s="1"/>
  <c r="G203" i="7" s="1"/>
  <c r="N203" i="7" s="1"/>
  <c r="AG171" i="7" s="1"/>
  <c r="AI171" i="7" s="1"/>
  <c r="B161" i="7"/>
  <c r="B162" i="7" s="1"/>
  <c r="B163" i="7" s="1"/>
  <c r="C163" i="7" s="1"/>
  <c r="F163" i="7" s="1"/>
  <c r="G163" i="7" s="1"/>
  <c r="N163" i="7" s="1"/>
  <c r="AG161" i="7" s="1"/>
  <c r="AI161" i="7" s="1"/>
  <c r="B441" i="7"/>
  <c r="B442" i="7" s="1"/>
  <c r="B443" i="7" s="1"/>
  <c r="C443" i="7" s="1"/>
  <c r="F443" i="7" s="1"/>
  <c r="G443" i="7" s="1"/>
  <c r="N443" i="7" s="1"/>
  <c r="AG444" i="7" s="1"/>
  <c r="B437" i="7"/>
  <c r="B438" i="7" s="1"/>
  <c r="B439" i="7" s="1"/>
  <c r="C439" i="7" s="1"/>
  <c r="F439" i="7" s="1"/>
  <c r="G439" i="7" s="1"/>
  <c r="N439" i="7" s="1"/>
  <c r="AG323" i="7" s="1"/>
  <c r="AI323" i="7" s="1"/>
  <c r="B413" i="7"/>
  <c r="B414" i="7" s="1"/>
  <c r="B415" i="7" s="1"/>
  <c r="C415" i="7" s="1"/>
  <c r="F415" i="7" s="1"/>
  <c r="G415" i="7" s="1"/>
  <c r="N415" i="7" s="1"/>
  <c r="AG317" i="7" s="1"/>
  <c r="AI317" i="7" s="1"/>
  <c r="B377" i="7"/>
  <c r="B378" i="7" s="1"/>
  <c r="B379" i="7" s="1"/>
  <c r="C379" i="7" s="1"/>
  <c r="F379" i="7" s="1"/>
  <c r="G379" i="7" s="1"/>
  <c r="N379" i="7" s="1"/>
  <c r="AG308" i="7" s="1"/>
  <c r="AI308" i="7" s="1"/>
  <c r="B333" i="7"/>
  <c r="B334" i="7" s="1"/>
  <c r="B335" i="7" s="1"/>
  <c r="C335" i="7" s="1"/>
  <c r="F335" i="7" s="1"/>
  <c r="G335" i="7" s="1"/>
  <c r="N335" i="7" s="1"/>
  <c r="AG297" i="7" s="1"/>
  <c r="AI297" i="7" s="1"/>
  <c r="B317" i="7"/>
  <c r="B318" i="7" s="1"/>
  <c r="B319" i="7" s="1"/>
  <c r="C319" i="7" s="1"/>
  <c r="F319" i="7" s="1"/>
  <c r="G319" i="7" s="1"/>
  <c r="N319" i="7" s="1"/>
  <c r="AG293" i="7" s="1"/>
  <c r="AI293" i="7" s="1"/>
  <c r="B301" i="7"/>
  <c r="B302" i="7" s="1"/>
  <c r="B303" i="7" s="1"/>
  <c r="C303" i="7" s="1"/>
  <c r="F303" i="7" s="1"/>
  <c r="G303" i="7" s="1"/>
  <c r="N303" i="7" s="1"/>
  <c r="AG289" i="7" s="1"/>
  <c r="AI289" i="7" s="1"/>
  <c r="B269" i="7"/>
  <c r="B270" i="7" s="1"/>
  <c r="B271" i="7" s="1"/>
  <c r="C271" i="7" s="1"/>
  <c r="F271" i="7" s="1"/>
  <c r="G271" i="7" s="1"/>
  <c r="N271" i="7" s="1"/>
  <c r="AG188" i="7" s="1"/>
  <c r="AI188" i="7" s="1"/>
  <c r="B253" i="7"/>
  <c r="B254" i="7" s="1"/>
  <c r="B255" i="7" s="1"/>
  <c r="C255" i="7" s="1"/>
  <c r="F255" i="7" s="1"/>
  <c r="G255" i="7" s="1"/>
  <c r="N255" i="7" s="1"/>
  <c r="AG184" i="7" s="1"/>
  <c r="AI184" i="7" s="1"/>
  <c r="B237" i="7"/>
  <c r="B238" i="7" s="1"/>
  <c r="B239" i="7" s="1"/>
  <c r="C239" i="7" s="1"/>
  <c r="F239" i="7" s="1"/>
  <c r="G239" i="7" s="1"/>
  <c r="N239" i="7" s="1"/>
  <c r="AG180" i="7" s="1"/>
  <c r="AI180" i="7" s="1"/>
  <c r="B157" i="7"/>
  <c r="B158" i="7" s="1"/>
  <c r="B159" i="7" s="1"/>
  <c r="C159" i="7" s="1"/>
  <c r="F159" i="7" s="1"/>
  <c r="G159" i="7" s="1"/>
  <c r="N159" i="7" s="1"/>
  <c r="AG160" i="7" s="1"/>
  <c r="AI160" i="7" s="1"/>
  <c r="B86" i="7"/>
  <c r="B87" i="7" s="1"/>
  <c r="B88" i="7" s="1"/>
  <c r="C88" i="7" s="1"/>
  <c r="F88" i="7" s="1"/>
  <c r="G88" i="7" s="1"/>
  <c r="N88" i="7" s="1"/>
  <c r="AG32" i="7" s="1"/>
  <c r="B337" i="7"/>
  <c r="B338" i="7" s="1"/>
  <c r="B339" i="7" s="1"/>
  <c r="C339" i="7" s="1"/>
  <c r="F339" i="7" s="1"/>
  <c r="G339" i="7" s="1"/>
  <c r="N339" i="7" s="1"/>
  <c r="AG298" i="7" s="1"/>
  <c r="AI298" i="7" s="1"/>
  <c r="B241" i="7"/>
  <c r="B242" i="7" s="1"/>
  <c r="B243" i="7" s="1"/>
  <c r="C243" i="7" s="1"/>
  <c r="F243" i="7" s="1"/>
  <c r="G243" i="7" s="1"/>
  <c r="N243" i="7" s="1"/>
  <c r="AG181" i="7" s="1"/>
  <c r="AI181" i="7" s="1"/>
  <c r="B381" i="7"/>
  <c r="B382" i="7" s="1"/>
  <c r="B383" i="7" s="1"/>
  <c r="C383" i="7" s="1"/>
  <c r="F383" i="7" s="1"/>
  <c r="G383" i="7" s="1"/>
  <c r="N383" i="7" s="1"/>
  <c r="AG309" i="7" s="1"/>
  <c r="AI309" i="7" s="1"/>
  <c r="B353" i="7"/>
  <c r="B354" i="7" s="1"/>
  <c r="B355" i="7" s="1"/>
  <c r="C355" i="7" s="1"/>
  <c r="F355" i="7" s="1"/>
  <c r="G355" i="7" s="1"/>
  <c r="N355" i="7" s="1"/>
  <c r="AG302" i="7" s="1"/>
  <c r="AI302" i="7" s="1"/>
  <c r="B285" i="7"/>
  <c r="B286" i="7" s="1"/>
  <c r="B287" i="7" s="1"/>
  <c r="C287" i="7" s="1"/>
  <c r="F287" i="7" s="1"/>
  <c r="G287" i="7" s="1"/>
  <c r="N287" i="7" s="1"/>
  <c r="AG285" i="7" s="1"/>
  <c r="AI285" i="7" s="1"/>
  <c r="B221" i="7"/>
  <c r="B222" i="7" s="1"/>
  <c r="B223" i="7" s="1"/>
  <c r="C223" i="7" s="1"/>
  <c r="F223" i="7" s="1"/>
  <c r="G223" i="7" s="1"/>
  <c r="N223" i="7" s="1"/>
  <c r="AG176" i="7" s="1"/>
  <c r="AI176" i="7" s="1"/>
  <c r="B205" i="7"/>
  <c r="B206" i="7" s="1"/>
  <c r="B207" i="7" s="1"/>
  <c r="C207" i="7" s="1"/>
  <c r="F207" i="7" s="1"/>
  <c r="G207" i="7" s="1"/>
  <c r="N207" i="7" s="1"/>
  <c r="AG172" i="7" s="1"/>
  <c r="AI172" i="7" s="1"/>
  <c r="B189" i="7"/>
  <c r="B190" i="7" s="1"/>
  <c r="B191" i="7" s="1"/>
  <c r="C191" i="7" s="1"/>
  <c r="F191" i="7" s="1"/>
  <c r="G191" i="7" s="1"/>
  <c r="N191" i="7" s="1"/>
  <c r="AG168" i="7" s="1"/>
  <c r="AI168" i="7" s="1"/>
  <c r="B173" i="7"/>
  <c r="B174" i="7" s="1"/>
  <c r="B175" i="7" s="1"/>
  <c r="C175" i="7" s="1"/>
  <c r="F175" i="7" s="1"/>
  <c r="G175" i="7" s="1"/>
  <c r="N175" i="7" s="1"/>
  <c r="AG164" i="7" s="1"/>
  <c r="AI164" i="7" s="1"/>
  <c r="B66" i="7"/>
  <c r="B67" i="7" s="1"/>
  <c r="B68" i="7" s="1"/>
  <c r="C68" i="7" s="1"/>
  <c r="F68" i="7" s="1"/>
  <c r="G68" i="7" s="1"/>
  <c r="N68" i="7" s="1"/>
  <c r="AG27" i="7" s="1"/>
  <c r="B417" i="7"/>
  <c r="B418" i="7" s="1"/>
  <c r="B419" i="7" s="1"/>
  <c r="C419" i="7" s="1"/>
  <c r="F419" i="7" s="1"/>
  <c r="G419" i="7" s="1"/>
  <c r="N419" i="7" s="1"/>
  <c r="AG318" i="7" s="1"/>
  <c r="AI318" i="7" s="1"/>
  <c r="B321" i="7"/>
  <c r="B322" i="7" s="1"/>
  <c r="B323" i="7" s="1"/>
  <c r="C323" i="7" s="1"/>
  <c r="F323" i="7" s="1"/>
  <c r="G323" i="7" s="1"/>
  <c r="N323" i="7" s="1"/>
  <c r="AG294" i="7" s="1"/>
  <c r="AI294" i="7" s="1"/>
  <c r="B273" i="7"/>
  <c r="B274" i="7" s="1"/>
  <c r="B275" i="7" s="1"/>
  <c r="C275" i="7" s="1"/>
  <c r="F275" i="7" s="1"/>
  <c r="G275" i="7" s="1"/>
  <c r="N275" i="7" s="1"/>
  <c r="AG189" i="7" s="1"/>
  <c r="AI189" i="7" s="1"/>
  <c r="B62" i="7"/>
  <c r="B63" i="7" s="1"/>
  <c r="B64" i="7" s="1"/>
  <c r="C64" i="7" s="1"/>
  <c r="F64" i="7" s="1"/>
  <c r="G64" i="7" s="1"/>
  <c r="N64" i="7" s="1"/>
  <c r="AG26" i="7" s="1"/>
  <c r="B14" i="7"/>
  <c r="B15" i="7" s="1"/>
  <c r="B16" i="7" s="1"/>
  <c r="C16" i="7" s="1"/>
  <c r="F16" i="7" s="1"/>
  <c r="G16" i="7" s="1"/>
  <c r="N16" i="7" s="1"/>
  <c r="AG14" i="7" s="1"/>
  <c r="B106" i="7"/>
  <c r="B107" i="7" s="1"/>
  <c r="B108" i="7" s="1"/>
  <c r="C108" i="7" s="1"/>
  <c r="F108" i="7" s="1"/>
  <c r="G108" i="7" s="1"/>
  <c r="N108" i="7" s="1"/>
  <c r="AG37" i="7" s="1"/>
  <c r="B34" i="7"/>
  <c r="B35" i="7" s="1"/>
  <c r="B36" i="7" s="1"/>
  <c r="C36" i="7" s="1"/>
  <c r="F36" i="7" s="1"/>
  <c r="G36" i="7" s="1"/>
  <c r="N36" i="7" s="1"/>
  <c r="AG19" i="7" s="1"/>
  <c r="B114" i="7"/>
  <c r="B115" i="7" s="1"/>
  <c r="B116" i="7" s="1"/>
  <c r="C116" i="7" s="1"/>
  <c r="F116" i="7" s="1"/>
  <c r="G116" i="7" s="1"/>
  <c r="N116" i="7" s="1"/>
  <c r="AG39" i="7" s="1"/>
  <c r="B70" i="7"/>
  <c r="B71" i="7" s="1"/>
  <c r="B72" i="7" s="1"/>
  <c r="C72" i="7" s="1"/>
  <c r="F72" i="7" s="1"/>
  <c r="G72" i="7" s="1"/>
  <c r="N72" i="7" s="1"/>
  <c r="AG28" i="7" s="1"/>
  <c r="B78" i="7"/>
  <c r="B79" i="7" s="1"/>
  <c r="B80" i="7" s="1"/>
  <c r="C80" i="7" s="1"/>
  <c r="F80" i="7" s="1"/>
  <c r="G80" i="7" s="1"/>
  <c r="N80" i="7" s="1"/>
  <c r="AG30" i="7" s="1"/>
  <c r="B12" i="7"/>
  <c r="C12" i="7" s="1"/>
  <c r="F12" i="7" s="1"/>
  <c r="B126" i="7"/>
  <c r="B127" i="7" s="1"/>
  <c r="B128" i="7" s="1"/>
  <c r="C128" i="7" s="1"/>
  <c r="F128" i="7" s="1"/>
  <c r="G128" i="7" s="1"/>
  <c r="N128" i="7" s="1"/>
  <c r="AG42" i="7" s="1"/>
  <c r="B110" i="7"/>
  <c r="B111" i="7" s="1"/>
  <c r="B112" i="7" s="1"/>
  <c r="C112" i="7" s="1"/>
  <c r="F112" i="7" s="1"/>
  <c r="G112" i="7" s="1"/>
  <c r="N112" i="7" s="1"/>
  <c r="AG38" i="7" s="1"/>
  <c r="B102" i="7"/>
  <c r="B103" i="7" s="1"/>
  <c r="B104" i="7" s="1"/>
  <c r="C104" i="7" s="1"/>
  <c r="F104" i="7" s="1"/>
  <c r="G104" i="7" s="1"/>
  <c r="N104" i="7" s="1"/>
  <c r="AG36" i="7" s="1"/>
  <c r="B30" i="7"/>
  <c r="B31" i="7" s="1"/>
  <c r="B32" i="7" s="1"/>
  <c r="C32" i="7" s="1"/>
  <c r="F32" i="7" s="1"/>
  <c r="G32" i="7" s="1"/>
  <c r="N32" i="7" s="1"/>
  <c r="AG18" i="7" s="1"/>
  <c r="B142" i="7"/>
  <c r="B143" i="7" s="1"/>
  <c r="B144" i="7" s="1"/>
  <c r="C144" i="7" s="1"/>
  <c r="F144" i="7" s="1"/>
  <c r="G144" i="7" s="1"/>
  <c r="N144" i="7" s="1"/>
  <c r="AG46" i="7" s="1"/>
  <c r="B134" i="7"/>
  <c r="B135" i="7" s="1"/>
  <c r="B136" i="7" s="1"/>
  <c r="C136" i="7" s="1"/>
  <c r="F136" i="7" s="1"/>
  <c r="G136" i="7" s="1"/>
  <c r="N136" i="7" s="1"/>
  <c r="AG44" i="7" s="1"/>
  <c r="B138" i="7"/>
  <c r="B139" i="7" s="1"/>
  <c r="B140" i="7" s="1"/>
  <c r="C140" i="7" s="1"/>
  <c r="F140" i="7" s="1"/>
  <c r="G140" i="7" s="1"/>
  <c r="N140" i="7" s="1"/>
  <c r="AG45" i="7" s="1"/>
  <c r="B118" i="7"/>
  <c r="B119" i="7" s="1"/>
  <c r="B120" i="7" s="1"/>
  <c r="C120" i="7" s="1"/>
  <c r="F120" i="7" s="1"/>
  <c r="G120" i="7" s="1"/>
  <c r="N120" i="7" s="1"/>
  <c r="AG40" i="7" s="1"/>
  <c r="B38" i="7"/>
  <c r="B39" i="7" s="1"/>
  <c r="B40" i="7" s="1"/>
  <c r="C40" i="7" s="1"/>
  <c r="F40" i="7" s="1"/>
  <c r="G40" i="7" s="1"/>
  <c r="N40" i="7" s="1"/>
  <c r="AG20" i="7" s="1"/>
  <c r="B122" i="7"/>
  <c r="B123" i="7" s="1"/>
  <c r="B124" i="7" s="1"/>
  <c r="C124" i="7" s="1"/>
  <c r="F124" i="7" s="1"/>
  <c r="G124" i="7" s="1"/>
  <c r="N124" i="7" s="1"/>
  <c r="AG41" i="7" s="1"/>
  <c r="B74" i="7"/>
  <c r="B75" i="7" s="1"/>
  <c r="B76" i="7" s="1"/>
  <c r="C76" i="7" s="1"/>
  <c r="F76" i="7" s="1"/>
  <c r="G76" i="7" s="1"/>
  <c r="N76" i="7" s="1"/>
  <c r="AG29" i="7" s="1"/>
  <c r="B18" i="7"/>
  <c r="B19" i="7" s="1"/>
  <c r="B20" i="7" s="1"/>
  <c r="C20" i="7" s="1"/>
  <c r="F20" i="7" s="1"/>
  <c r="G20" i="7" s="1"/>
  <c r="N20" i="7" s="1"/>
  <c r="AG15" i="7" s="1"/>
  <c r="B130" i="7"/>
  <c r="B131" i="7" s="1"/>
  <c r="B132" i="7" s="1"/>
  <c r="C132" i="7" s="1"/>
  <c r="F132" i="7" s="1"/>
  <c r="G132" i="7" s="1"/>
  <c r="N132" i="7" s="1"/>
  <c r="AG43" i="7" s="1"/>
  <c r="B42" i="7"/>
  <c r="B43" i="7" s="1"/>
  <c r="B44" i="7" s="1"/>
  <c r="C44" i="7" s="1"/>
  <c r="F44" i="7" s="1"/>
  <c r="G44" i="7" s="1"/>
  <c r="N44" i="7" s="1"/>
  <c r="AG21" i="7" s="1"/>
  <c r="B22" i="7"/>
  <c r="B23" i="7" s="1"/>
  <c r="B24" i="7" s="1"/>
  <c r="C24" i="7" s="1"/>
  <c r="F24" i="7" s="1"/>
  <c r="G24" i="7" s="1"/>
  <c r="N24" i="7" s="1"/>
  <c r="AG16" i="7" s="1"/>
  <c r="B26" i="7"/>
  <c r="B27" i="7" s="1"/>
  <c r="B28" i="7" s="1"/>
  <c r="C28" i="7" s="1"/>
  <c r="F28" i="7" s="1"/>
  <c r="G28" i="7" s="1"/>
  <c r="N28" i="7" s="1"/>
  <c r="AG17" i="7" s="1"/>
  <c r="B146" i="7"/>
  <c r="B147" i="7" s="1"/>
  <c r="B148" i="7" s="1"/>
  <c r="C148" i="7" s="1"/>
  <c r="F148" i="7" s="1"/>
  <c r="G148" i="7" s="1"/>
  <c r="N148" i="7" s="1"/>
  <c r="AG47" i="7" s="1"/>
  <c r="B46" i="7"/>
  <c r="B47" i="7" s="1"/>
  <c r="B48" i="7" s="1"/>
  <c r="C48" i="7" s="1"/>
  <c r="F48" i="7" s="1"/>
  <c r="G48" i="7" s="1"/>
  <c r="N48" i="7" s="1"/>
  <c r="AG22" i="7" s="1"/>
  <c r="B150" i="7"/>
  <c r="B151" i="7" s="1"/>
  <c r="B152" i="7" s="1"/>
  <c r="C152" i="7" s="1"/>
  <c r="F152" i="7" s="1"/>
  <c r="G152" i="7" s="1"/>
  <c r="N152" i="7" s="1"/>
  <c r="AG48" i="7" s="1"/>
  <c r="B82" i="7"/>
  <c r="B83" i="7" s="1"/>
  <c r="B84" i="7" s="1"/>
  <c r="C84" i="7" s="1"/>
  <c r="F84" i="7" s="1"/>
  <c r="G84" i="7" s="1"/>
  <c r="N84" i="7" s="1"/>
  <c r="AG31" i="7" s="1"/>
  <c r="B50" i="7"/>
  <c r="B51" i="7" s="1"/>
  <c r="B52" i="7" s="1"/>
  <c r="C52" i="7" s="1"/>
  <c r="F52" i="7" s="1"/>
  <c r="G52" i="7" s="1"/>
  <c r="N52" i="7" s="1"/>
  <c r="AG23" i="7" s="1"/>
  <c r="FM35" i="3"/>
  <c r="FM34" i="3"/>
  <c r="FM33" i="3"/>
  <c r="FM32" i="3"/>
  <c r="FM31" i="3"/>
  <c r="FM30" i="3"/>
  <c r="FM29" i="3"/>
  <c r="FM28" i="3"/>
  <c r="FM27" i="3"/>
  <c r="FM26" i="3"/>
  <c r="FM25" i="3"/>
  <c r="FM24" i="3"/>
  <c r="FM23" i="3"/>
  <c r="FM22" i="3"/>
  <c r="FM21" i="3"/>
  <c r="FM20" i="3"/>
  <c r="FM19" i="3"/>
  <c r="FM18" i="3"/>
  <c r="FM17" i="3"/>
  <c r="FM16" i="3"/>
  <c r="FM15" i="3"/>
  <c r="FM14" i="3"/>
  <c r="FM13" i="3"/>
  <c r="FM12" i="3"/>
  <c r="FM7" i="3"/>
  <c r="FL35" i="3"/>
  <c r="FL34" i="3"/>
  <c r="FL33" i="3"/>
  <c r="FL32" i="3"/>
  <c r="FL31" i="3"/>
  <c r="FL30" i="3"/>
  <c r="FL29" i="3"/>
  <c r="FL28" i="3"/>
  <c r="FL27" i="3"/>
  <c r="FL26" i="3"/>
  <c r="FL25" i="3"/>
  <c r="FL24" i="3"/>
  <c r="FL23" i="3"/>
  <c r="FL22" i="3"/>
  <c r="FL21" i="3"/>
  <c r="FL20" i="3"/>
  <c r="FL19" i="3"/>
  <c r="FL18" i="3"/>
  <c r="FL17" i="3"/>
  <c r="FL16" i="3"/>
  <c r="FL15" i="3"/>
  <c r="FL14" i="3"/>
  <c r="FL13" i="3"/>
  <c r="FL12" i="3"/>
  <c r="FL7" i="3"/>
  <c r="FK35" i="3"/>
  <c r="FK34" i="3"/>
  <c r="FK33" i="3"/>
  <c r="FK32" i="3"/>
  <c r="FK31" i="3"/>
  <c r="FK30" i="3"/>
  <c r="FK29" i="3"/>
  <c r="FK28" i="3"/>
  <c r="FK27" i="3"/>
  <c r="FK26" i="3"/>
  <c r="FK25" i="3"/>
  <c r="FK24" i="3"/>
  <c r="FK23" i="3"/>
  <c r="FK22" i="3"/>
  <c r="FK21" i="3"/>
  <c r="FK20" i="3"/>
  <c r="FK19" i="3"/>
  <c r="FK18" i="3"/>
  <c r="FK17" i="3"/>
  <c r="FK16" i="3"/>
  <c r="FK15" i="3"/>
  <c r="FK14" i="3"/>
  <c r="FK13" i="3"/>
  <c r="FK12" i="3"/>
  <c r="FK7" i="3"/>
  <c r="FJ35" i="3"/>
  <c r="FJ34" i="3"/>
  <c r="FJ33" i="3"/>
  <c r="FJ32" i="3"/>
  <c r="FJ31" i="3"/>
  <c r="FJ30" i="3"/>
  <c r="FJ29" i="3"/>
  <c r="FJ28" i="3"/>
  <c r="FJ27" i="3"/>
  <c r="FJ26" i="3"/>
  <c r="FJ25" i="3"/>
  <c r="FJ24" i="3"/>
  <c r="FJ23" i="3"/>
  <c r="FJ22" i="3"/>
  <c r="FJ21" i="3"/>
  <c r="FJ20" i="3"/>
  <c r="FJ19" i="3"/>
  <c r="FJ18" i="3"/>
  <c r="FJ17" i="3"/>
  <c r="FJ16" i="3"/>
  <c r="FJ15" i="3"/>
  <c r="FJ14" i="3"/>
  <c r="FJ13" i="3"/>
  <c r="FJ12" i="3"/>
  <c r="FJ7" i="3"/>
  <c r="FI35" i="3"/>
  <c r="FI34" i="3"/>
  <c r="FI33" i="3"/>
  <c r="FI32" i="3"/>
  <c r="FI31" i="3"/>
  <c r="FI30" i="3"/>
  <c r="FI29" i="3"/>
  <c r="FI28" i="3"/>
  <c r="FI27" i="3"/>
  <c r="FI26" i="3"/>
  <c r="FI25" i="3"/>
  <c r="FI24" i="3"/>
  <c r="FI23" i="3"/>
  <c r="FI22" i="3"/>
  <c r="FI21" i="3"/>
  <c r="FI20" i="3"/>
  <c r="FI19" i="3"/>
  <c r="FI18" i="3"/>
  <c r="FI17" i="3"/>
  <c r="FI16" i="3"/>
  <c r="FI15" i="3"/>
  <c r="FI14" i="3"/>
  <c r="FI13" i="3"/>
  <c r="FI12" i="3"/>
  <c r="FI7" i="3"/>
  <c r="FH35" i="3"/>
  <c r="FH34" i="3"/>
  <c r="FH33" i="3"/>
  <c r="FH32" i="3"/>
  <c r="FH31" i="3"/>
  <c r="FH30" i="3"/>
  <c r="FH29" i="3"/>
  <c r="FH28" i="3"/>
  <c r="FH27" i="3"/>
  <c r="FH26" i="3"/>
  <c r="FH25" i="3"/>
  <c r="FH24" i="3"/>
  <c r="FH23" i="3"/>
  <c r="FH22" i="3"/>
  <c r="FH21" i="3"/>
  <c r="FH20" i="3"/>
  <c r="FH19" i="3"/>
  <c r="FH18" i="3"/>
  <c r="FH17" i="3"/>
  <c r="FH16" i="3"/>
  <c r="FH15" i="3"/>
  <c r="FH14" i="3"/>
  <c r="FH13" i="3"/>
  <c r="FH12" i="3"/>
  <c r="FH7" i="3"/>
  <c r="AI552" i="7" l="1"/>
  <c r="AH576" i="7"/>
  <c r="AG576" i="7"/>
  <c r="AI576" i="7"/>
  <c r="AI735" i="7"/>
  <c r="AI750" i="7" s="1"/>
  <c r="AG750" i="7"/>
  <c r="AH750" i="7"/>
  <c r="AI644" i="7"/>
  <c r="AI664" i="7" s="1"/>
  <c r="AG664" i="7"/>
  <c r="AH664" i="7"/>
  <c r="G12" i="7"/>
  <c r="N12" i="7" s="1"/>
  <c r="AG13" i="7" s="1"/>
  <c r="AG472" i="7"/>
  <c r="AH472" i="7"/>
  <c r="AI444" i="7"/>
  <c r="AI472" i="7" s="1"/>
  <c r="AI325" i="7"/>
  <c r="AI191" i="7"/>
  <c r="AH325" i="7"/>
  <c r="AG325" i="7"/>
  <c r="AH191" i="7"/>
  <c r="AG191" i="7"/>
  <c r="G4" i="4"/>
  <c r="AH51" i="7" l="1"/>
  <c r="AG51" i="7"/>
  <c r="J4" i="4"/>
  <c r="B2" i="6"/>
  <c r="A2" i="6" s="1"/>
  <c r="D2" i="6"/>
  <c r="C3" i="6"/>
  <c r="C4" i="6" s="1"/>
  <c r="C5" i="6" l="1"/>
  <c r="D4" i="6"/>
  <c r="B4" i="6"/>
  <c r="A4" i="6" s="1"/>
  <c r="B3" i="6"/>
  <c r="A3" i="6" s="1"/>
  <c r="D3" i="6"/>
  <c r="F30" i="5"/>
  <c r="F29" i="5"/>
  <c r="F28" i="5"/>
  <c r="F27" i="5"/>
  <c r="F26" i="5"/>
  <c r="F25" i="5"/>
  <c r="F23" i="5"/>
  <c r="F22" i="5"/>
  <c r="F21" i="5"/>
  <c r="F20" i="5"/>
  <c r="F19" i="5"/>
  <c r="F18" i="5"/>
  <c r="F17" i="5"/>
  <c r="F16" i="5"/>
  <c r="F15" i="5"/>
  <c r="F14" i="5"/>
  <c r="F13" i="5"/>
  <c r="F12" i="5"/>
  <c r="F11" i="5"/>
  <c r="F10" i="5"/>
  <c r="F9" i="5"/>
  <c r="F8" i="5"/>
  <c r="F7" i="5"/>
  <c r="F6" i="5"/>
  <c r="F5" i="5"/>
  <c r="F3" i="5"/>
  <c r="F2" i="5"/>
  <c r="F4" i="5"/>
  <c r="C6" i="6" l="1"/>
  <c r="D5" i="6"/>
  <c r="B5" i="6"/>
  <c r="A5" i="6" s="1"/>
  <c r="T11" i="3"/>
  <c r="S11" i="3"/>
  <c r="Q11" i="3"/>
  <c r="O11" i="3"/>
  <c r="K11" i="3"/>
  <c r="G11" i="3"/>
  <c r="D11" i="3"/>
  <c r="C11" i="3"/>
  <c r="A8" i="3"/>
  <c r="A9" i="3" s="1"/>
  <c r="A10" i="3" l="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U11" i="3"/>
  <c r="V11" i="3"/>
  <c r="C7" i="6"/>
  <c r="D6" i="6"/>
  <c r="B6" i="6"/>
  <c r="A6" i="6" s="1"/>
  <c r="AF11" i="3" l="1"/>
  <c r="X11" i="3"/>
  <c r="AE11" i="3"/>
  <c r="AD11" i="3"/>
  <c r="AC11" i="3"/>
  <c r="AB11" i="3"/>
  <c r="Y11" i="3"/>
  <c r="AA11" i="3"/>
  <c r="CM41" i="3" s="1"/>
  <c r="W11" i="3"/>
  <c r="Z11" i="3"/>
  <c r="F11" i="3"/>
  <c r="FO11" i="3" s="1"/>
  <c r="C8" i="6"/>
  <c r="B7" i="6"/>
  <c r="A7" i="6" s="1"/>
  <c r="D7" i="6"/>
  <c r="A6" i="5" l="1"/>
  <c r="B11" i="3"/>
  <c r="C9" i="6"/>
  <c r="B8" i="6"/>
  <c r="A8" i="6" s="1"/>
  <c r="D8" i="6"/>
  <c r="C10" i="6" l="1"/>
  <c r="D9" i="6"/>
  <c r="B9" i="6"/>
  <c r="A9" i="6" s="1"/>
  <c r="C11" i="6" l="1"/>
  <c r="D10" i="6"/>
  <c r="B10" i="6"/>
  <c r="A10" i="6" s="1"/>
  <c r="Q31" i="3"/>
  <c r="C12" i="6" l="1"/>
  <c r="B11" i="6"/>
  <c r="A11" i="6" s="1"/>
  <c r="D11" i="6"/>
  <c r="Q21" i="3"/>
  <c r="Q8" i="3"/>
  <c r="C13" i="6" l="1"/>
  <c r="D12" i="6"/>
  <c r="B12" i="6"/>
  <c r="A12" i="6" s="1"/>
  <c r="C14" i="6" l="1"/>
  <c r="D13" i="6"/>
  <c r="B13" i="6"/>
  <c r="A13" i="6" s="1"/>
  <c r="H23" i="5"/>
  <c r="H24" i="5" s="1"/>
  <c r="G23" i="5"/>
  <c r="S28" i="3" s="1"/>
  <c r="G24" i="5"/>
  <c r="S29" i="3" s="1"/>
  <c r="I23" i="5"/>
  <c r="T28" i="3" s="1"/>
  <c r="D27" i="3"/>
  <c r="S27" i="3"/>
  <c r="T27" i="3"/>
  <c r="H16" i="5"/>
  <c r="D21" i="3" s="1"/>
  <c r="G16" i="5"/>
  <c r="S21" i="3" s="1"/>
  <c r="I16" i="5"/>
  <c r="I17" i="5" s="1"/>
  <c r="D20" i="3"/>
  <c r="S20" i="3"/>
  <c r="T20" i="3"/>
  <c r="H12" i="5"/>
  <c r="H13" i="5" s="1"/>
  <c r="G12" i="5"/>
  <c r="S17" i="3" s="1"/>
  <c r="I12" i="5"/>
  <c r="I13" i="5" s="1"/>
  <c r="T17" i="3"/>
  <c r="D16" i="3"/>
  <c r="S16" i="3"/>
  <c r="T16" i="3"/>
  <c r="H8" i="5"/>
  <c r="D13" i="3" s="1"/>
  <c r="H9" i="5"/>
  <c r="D14" i="3" s="1"/>
  <c r="G8" i="5"/>
  <c r="G9" i="5" s="1"/>
  <c r="G10" i="5" s="1"/>
  <c r="S15" i="3" s="1"/>
  <c r="I8" i="5"/>
  <c r="I9" i="5" s="1"/>
  <c r="S14" i="3"/>
  <c r="D12" i="3"/>
  <c r="S12" i="3"/>
  <c r="T12" i="3"/>
  <c r="H5" i="5"/>
  <c r="D10" i="3" s="1"/>
  <c r="G5" i="5"/>
  <c r="I5" i="5"/>
  <c r="T10" i="3" s="1"/>
  <c r="D9" i="3"/>
  <c r="T9" i="3"/>
  <c r="H3" i="5"/>
  <c r="D8" i="3" s="1"/>
  <c r="V8" i="3" s="1"/>
  <c r="G3" i="5"/>
  <c r="S8" i="3" s="1"/>
  <c r="I3" i="5"/>
  <c r="T8" i="3" s="1"/>
  <c r="D7" i="3"/>
  <c r="V7" i="3" s="1"/>
  <c r="S7" i="3"/>
  <c r="T7" i="3"/>
  <c r="T3" i="4"/>
  <c r="Q35" i="3"/>
  <c r="Q34" i="3"/>
  <c r="Q33" i="3"/>
  <c r="Q32" i="3"/>
  <c r="Q30" i="3"/>
  <c r="Q29" i="3"/>
  <c r="Q28" i="3"/>
  <c r="Q27" i="3"/>
  <c r="Q26" i="3"/>
  <c r="Q25" i="3"/>
  <c r="Q24" i="3"/>
  <c r="Q23" i="3"/>
  <c r="Q22" i="3"/>
  <c r="Q20" i="3"/>
  <c r="Q19" i="3"/>
  <c r="Q18" i="3"/>
  <c r="Q17" i="3"/>
  <c r="Q16" i="3"/>
  <c r="Q15" i="3"/>
  <c r="Q14" i="3"/>
  <c r="Q13" i="3"/>
  <c r="Q12" i="3"/>
  <c r="Q10" i="3"/>
  <c r="Q9" i="3"/>
  <c r="O19" i="3"/>
  <c r="O18" i="3"/>
  <c r="O17" i="3"/>
  <c r="O16" i="3"/>
  <c r="O15" i="3"/>
  <c r="O14" i="3"/>
  <c r="O13" i="3"/>
  <c r="O12" i="3"/>
  <c r="O10" i="3"/>
  <c r="O9" i="3"/>
  <c r="O8" i="3"/>
  <c r="O7" i="3"/>
  <c r="K35" i="3"/>
  <c r="K34" i="3"/>
  <c r="K33" i="3"/>
  <c r="K32" i="3"/>
  <c r="K31" i="3"/>
  <c r="K30" i="3"/>
  <c r="K29" i="3"/>
  <c r="K28" i="3"/>
  <c r="K27" i="3"/>
  <c r="K26" i="3"/>
  <c r="K25" i="3"/>
  <c r="K24" i="3"/>
  <c r="K23" i="3"/>
  <c r="K22" i="3"/>
  <c r="K21" i="3"/>
  <c r="K20" i="3"/>
  <c r="K19" i="3"/>
  <c r="K18" i="3"/>
  <c r="K17" i="3"/>
  <c r="K16" i="3"/>
  <c r="K15" i="3"/>
  <c r="K14" i="3"/>
  <c r="K13" i="3"/>
  <c r="K12" i="3"/>
  <c r="K10" i="3"/>
  <c r="K9" i="3"/>
  <c r="K8" i="3"/>
  <c r="K7" i="3"/>
  <c r="A3" i="4"/>
  <c r="L3" i="4" s="1"/>
  <c r="H3" i="4"/>
  <c r="DM7" i="3" s="1"/>
  <c r="G35" i="3"/>
  <c r="C35" i="3"/>
  <c r="G34" i="3"/>
  <c r="C34" i="3"/>
  <c r="G33" i="3"/>
  <c r="C33" i="3"/>
  <c r="G32" i="3"/>
  <c r="C32" i="3"/>
  <c r="G31" i="3"/>
  <c r="C31" i="3"/>
  <c r="G30" i="3"/>
  <c r="C30" i="3"/>
  <c r="G29" i="3"/>
  <c r="C29" i="3"/>
  <c r="G28" i="3"/>
  <c r="C28" i="3"/>
  <c r="G27" i="3"/>
  <c r="C27" i="3"/>
  <c r="G26" i="3"/>
  <c r="C26" i="3"/>
  <c r="G25" i="3"/>
  <c r="C25" i="3"/>
  <c r="G24" i="3"/>
  <c r="C24" i="3"/>
  <c r="G23" i="3"/>
  <c r="C23" i="3"/>
  <c r="G22" i="3"/>
  <c r="C22" i="3"/>
  <c r="G21" i="3"/>
  <c r="C21" i="3"/>
  <c r="G20" i="3"/>
  <c r="C20" i="3"/>
  <c r="G19" i="3"/>
  <c r="C19" i="3"/>
  <c r="G18" i="3"/>
  <c r="C18" i="3"/>
  <c r="G17" i="3"/>
  <c r="C17" i="3"/>
  <c r="G16" i="3"/>
  <c r="C16" i="3"/>
  <c r="G15" i="3"/>
  <c r="C15" i="3"/>
  <c r="G14" i="3"/>
  <c r="C14" i="3"/>
  <c r="G13" i="3"/>
  <c r="C13" i="3"/>
  <c r="G12" i="3"/>
  <c r="C12" i="3"/>
  <c r="G10" i="3"/>
  <c r="C10" i="3"/>
  <c r="G9" i="3"/>
  <c r="C9" i="3"/>
  <c r="G8" i="3"/>
  <c r="C8" i="3"/>
  <c r="G7" i="3"/>
  <c r="C7" i="3"/>
  <c r="H17" i="5" l="1"/>
  <c r="D22" i="3" s="1"/>
  <c r="G25" i="5"/>
  <c r="AB7" i="3"/>
  <c r="AA7" i="3"/>
  <c r="CM37" i="3" s="1"/>
  <c r="DM37" i="3" s="1"/>
  <c r="W7" i="3"/>
  <c r="AC7" i="3"/>
  <c r="Z7" i="3"/>
  <c r="Y7" i="3"/>
  <c r="AF7" i="3"/>
  <c r="X7" i="3"/>
  <c r="AE7" i="3"/>
  <c r="AD7" i="3"/>
  <c r="D28" i="3"/>
  <c r="V28" i="3" s="1"/>
  <c r="I24" i="5"/>
  <c r="U22" i="3"/>
  <c r="V22" i="3"/>
  <c r="U21" i="3"/>
  <c r="V21" i="3"/>
  <c r="U14" i="3"/>
  <c r="V14" i="3"/>
  <c r="U10" i="3"/>
  <c r="V10" i="3"/>
  <c r="U13" i="3"/>
  <c r="V13" i="3"/>
  <c r="U27" i="3"/>
  <c r="V27" i="3"/>
  <c r="U9" i="3"/>
  <c r="V9" i="3"/>
  <c r="U20" i="3"/>
  <c r="V20" i="3"/>
  <c r="U28" i="3"/>
  <c r="DP28" i="3" s="1"/>
  <c r="U12" i="3"/>
  <c r="V12" i="3"/>
  <c r="U16" i="3"/>
  <c r="V16" i="3"/>
  <c r="DI27" i="3"/>
  <c r="DO27" i="3"/>
  <c r="DN10" i="3"/>
  <c r="DJ11" i="3"/>
  <c r="DJ41" i="3" s="1"/>
  <c r="DN11" i="3"/>
  <c r="DN41" i="3" s="1"/>
  <c r="DL11" i="3"/>
  <c r="DL41" i="3" s="1"/>
  <c r="DM12" i="3"/>
  <c r="DJ12" i="3"/>
  <c r="DK13" i="3"/>
  <c r="DL27" i="3"/>
  <c r="DP11" i="3"/>
  <c r="DP41" i="3" s="1"/>
  <c r="DQ11" i="3"/>
  <c r="DQ41" i="3" s="1"/>
  <c r="DP27" i="3"/>
  <c r="DN27" i="3"/>
  <c r="DK27" i="3"/>
  <c r="DK11" i="3"/>
  <c r="DK41" i="3" s="1"/>
  <c r="DL12" i="3"/>
  <c r="DQ12" i="3"/>
  <c r="DQ10" i="3"/>
  <c r="DO11" i="3"/>
  <c r="DO41" i="3" s="1"/>
  <c r="DN12" i="3"/>
  <c r="DI12" i="3"/>
  <c r="DR27" i="3"/>
  <c r="DL10" i="3"/>
  <c r="DM11" i="3"/>
  <c r="DM41" i="3" s="1"/>
  <c r="DO12" i="3"/>
  <c r="DK12" i="3"/>
  <c r="DQ27" i="3"/>
  <c r="DR9" i="3"/>
  <c r="DP9" i="3"/>
  <c r="DO20" i="3"/>
  <c r="DM27" i="3"/>
  <c r="DO9" i="3"/>
  <c r="DJ27" i="3"/>
  <c r="DL9" i="3"/>
  <c r="DR11" i="3"/>
  <c r="DR41" i="3" s="1"/>
  <c r="DP12" i="3"/>
  <c r="DQ9" i="3"/>
  <c r="DN9" i="3"/>
  <c r="DK9" i="3"/>
  <c r="DI11" i="3"/>
  <c r="DI41" i="3" s="1"/>
  <c r="DI9" i="3"/>
  <c r="DQ20" i="3"/>
  <c r="DR14" i="3"/>
  <c r="DP14" i="3"/>
  <c r="DN14" i="3"/>
  <c r="DO7" i="3"/>
  <c r="DO37" i="3" s="1"/>
  <c r="DJ9" i="3"/>
  <c r="DR21" i="3"/>
  <c r="DJ14" i="3"/>
  <c r="DQ7" i="3"/>
  <c r="DQ37" i="3" s="1"/>
  <c r="DL7" i="3"/>
  <c r="DL37" i="3" s="1"/>
  <c r="DJ21" i="3"/>
  <c r="DL14" i="3"/>
  <c r="DR16" i="3"/>
  <c r="DP16" i="3"/>
  <c r="DO21" i="3"/>
  <c r="DM21" i="3"/>
  <c r="DN7" i="3"/>
  <c r="DN37" i="3" s="1"/>
  <c r="DR7" i="3"/>
  <c r="DR37" i="3" s="1"/>
  <c r="DJ16" i="3"/>
  <c r="DL20" i="3"/>
  <c r="DQ21" i="3"/>
  <c r="DQ14" i="3"/>
  <c r="DO14" i="3"/>
  <c r="DP7" i="3"/>
  <c r="DP37" i="3" s="1"/>
  <c r="DK7" i="3"/>
  <c r="DK37" i="3" s="1"/>
  <c r="DM16" i="3"/>
  <c r="DL21" i="3"/>
  <c r="DI21" i="3"/>
  <c r="DK14" i="3"/>
  <c r="DI14" i="3"/>
  <c r="DI7" i="3"/>
  <c r="DI37" i="3" s="1"/>
  <c r="DO16" i="3"/>
  <c r="DP21" i="3"/>
  <c r="DM14" i="3"/>
  <c r="DQ16" i="3"/>
  <c r="DM9" i="3"/>
  <c r="DI16" i="3"/>
  <c r="DL22" i="3"/>
  <c r="DN21" i="3"/>
  <c r="DN16" i="3"/>
  <c r="DJ20" i="3"/>
  <c r="DK21" i="3"/>
  <c r="DJ7" i="3"/>
  <c r="DJ37" i="3" s="1"/>
  <c r="DK16" i="3"/>
  <c r="DL16" i="3"/>
  <c r="BL11" i="3"/>
  <c r="BR11" i="3"/>
  <c r="BT11" i="3"/>
  <c r="BK11" i="3"/>
  <c r="BP11" i="3"/>
  <c r="BQ11" i="3"/>
  <c r="BS11" i="3"/>
  <c r="BN11" i="3"/>
  <c r="BO11" i="3"/>
  <c r="BM11" i="3"/>
  <c r="I3" i="4"/>
  <c r="J3" i="4"/>
  <c r="EK7" i="3" s="1"/>
  <c r="EK37" i="3" s="1"/>
  <c r="K3" i="4"/>
  <c r="G3" i="4"/>
  <c r="F3" i="4"/>
  <c r="CO7" i="3" s="1"/>
  <c r="CO37" i="3" s="1"/>
  <c r="C15" i="6"/>
  <c r="D14" i="6"/>
  <c r="B14" i="6"/>
  <c r="A14" i="6" s="1"/>
  <c r="BT14" i="3"/>
  <c r="BT7" i="3"/>
  <c r="BT9" i="3"/>
  <c r="BT12" i="3"/>
  <c r="BT21" i="3"/>
  <c r="BT16" i="3"/>
  <c r="BT27" i="3"/>
  <c r="BO9" i="3"/>
  <c r="BM9" i="3"/>
  <c r="BN9" i="3"/>
  <c r="BK9" i="3"/>
  <c r="BQ9" i="3"/>
  <c r="BS9" i="3"/>
  <c r="BR9" i="3"/>
  <c r="CL9" i="3" s="1"/>
  <c r="BL9" i="3"/>
  <c r="BP9" i="3"/>
  <c r="BO21" i="3"/>
  <c r="BN21" i="3"/>
  <c r="BL21" i="3"/>
  <c r="BQ21" i="3"/>
  <c r="BP21" i="3"/>
  <c r="BS21" i="3"/>
  <c r="BM21" i="3"/>
  <c r="BK21" i="3"/>
  <c r="BR21" i="3"/>
  <c r="BN20" i="3"/>
  <c r="BK20" i="3"/>
  <c r="BS7" i="3"/>
  <c r="BR7" i="3"/>
  <c r="CL7" i="3" s="1"/>
  <c r="BQ7" i="3"/>
  <c r="BM7" i="3"/>
  <c r="BL7" i="3"/>
  <c r="BP7" i="3"/>
  <c r="BO7" i="3"/>
  <c r="BK7" i="3"/>
  <c r="BU7" i="3" s="1"/>
  <c r="BN7" i="3"/>
  <c r="CH7" i="3" s="1"/>
  <c r="BK12" i="3"/>
  <c r="BS12" i="3"/>
  <c r="BL12" i="3"/>
  <c r="BR12" i="3"/>
  <c r="BN12" i="3"/>
  <c r="BQ12" i="3"/>
  <c r="BP12" i="3"/>
  <c r="BM12" i="3"/>
  <c r="BO12" i="3"/>
  <c r="BL28" i="3"/>
  <c r="BP22" i="3"/>
  <c r="BS10" i="3"/>
  <c r="BO10" i="3"/>
  <c r="BM16" i="3"/>
  <c r="BL16" i="3"/>
  <c r="BS16" i="3"/>
  <c r="BK16" i="3"/>
  <c r="BR16" i="3"/>
  <c r="BN16" i="3"/>
  <c r="BQ16" i="3"/>
  <c r="BP16" i="3"/>
  <c r="BO16" i="3"/>
  <c r="BQ14" i="3"/>
  <c r="BL14" i="3"/>
  <c r="BP14" i="3"/>
  <c r="BS14" i="3"/>
  <c r="BR14" i="3"/>
  <c r="BO14" i="3"/>
  <c r="BN14" i="3"/>
  <c r="BM14" i="3"/>
  <c r="BK14" i="3"/>
  <c r="BS13" i="3"/>
  <c r="BS27" i="3"/>
  <c r="BK27" i="3"/>
  <c r="BR27" i="3"/>
  <c r="BM27" i="3"/>
  <c r="BQ27" i="3"/>
  <c r="BP27" i="3"/>
  <c r="BL27" i="3"/>
  <c r="BO27" i="3"/>
  <c r="BN27" i="3"/>
  <c r="F10" i="3"/>
  <c r="FO10" i="3" s="1"/>
  <c r="F16" i="3"/>
  <c r="FO16" i="3" s="1"/>
  <c r="I18" i="5"/>
  <c r="T23" i="3" s="1"/>
  <c r="T22" i="3"/>
  <c r="U3" i="4"/>
  <c r="V3" i="4" s="1"/>
  <c r="F21" i="3"/>
  <c r="FO21" i="3" s="1"/>
  <c r="F7" i="3"/>
  <c r="F14" i="3"/>
  <c r="FO14" i="3" s="1"/>
  <c r="F12" i="3"/>
  <c r="FO12" i="3" s="1"/>
  <c r="F13" i="3"/>
  <c r="FO13" i="3" s="1"/>
  <c r="T21" i="3"/>
  <c r="F27" i="3"/>
  <c r="FO27" i="3" s="1"/>
  <c r="G13" i="5"/>
  <c r="S18" i="3" s="1"/>
  <c r="I19" i="5"/>
  <c r="I20" i="5" s="1"/>
  <c r="D17" i="3"/>
  <c r="V17" i="3" s="1"/>
  <c r="T13" i="3"/>
  <c r="G17" i="5"/>
  <c r="S13" i="3"/>
  <c r="H18" i="5"/>
  <c r="H19" i="5" s="1"/>
  <c r="U8" i="3"/>
  <c r="DJ8" i="3" s="1"/>
  <c r="I10" i="5"/>
  <c r="T15" i="3" s="1"/>
  <c r="T14" i="3"/>
  <c r="Z3" i="4"/>
  <c r="Y3" i="4"/>
  <c r="H10" i="5"/>
  <c r="D15" i="3" s="1"/>
  <c r="V15" i="3" s="1"/>
  <c r="I14" i="5"/>
  <c r="T19" i="3" s="1"/>
  <c r="T18" i="3"/>
  <c r="G14" i="5"/>
  <c r="S19" i="3" s="1"/>
  <c r="D29" i="3"/>
  <c r="V29" i="3" s="1"/>
  <c r="H25" i="5"/>
  <c r="I25" i="5"/>
  <c r="T29" i="3"/>
  <c r="D18" i="3"/>
  <c r="V18" i="3" s="1"/>
  <c r="H14" i="5"/>
  <c r="D19" i="3" s="1"/>
  <c r="V19" i="3" s="1"/>
  <c r="G26" i="5"/>
  <c r="S30" i="3"/>
  <c r="DJ28" i="3" l="1"/>
  <c r="AD13" i="3"/>
  <c r="AC13" i="3"/>
  <c r="AE13" i="3"/>
  <c r="AB13" i="3"/>
  <c r="AA13" i="3"/>
  <c r="CM43" i="3" s="1"/>
  <c r="W13" i="3"/>
  <c r="Z13" i="3"/>
  <c r="Y13" i="3"/>
  <c r="AF13" i="3"/>
  <c r="X13" i="3"/>
  <c r="DR51" i="3"/>
  <c r="DK43" i="3"/>
  <c r="EC22" i="3"/>
  <c r="EN22" i="3"/>
  <c r="BP13" i="3"/>
  <c r="BL22" i="3"/>
  <c r="BS28" i="3"/>
  <c r="DO22" i="3"/>
  <c r="DM22" i="3"/>
  <c r="DJ22" i="3"/>
  <c r="DI13" i="3"/>
  <c r="DI43" i="3" s="1"/>
  <c r="DK57" i="3"/>
  <c r="BK13" i="3"/>
  <c r="CE13" i="3" s="1"/>
  <c r="BS22" i="3"/>
  <c r="BQ22" i="3"/>
  <c r="BN28" i="3"/>
  <c r="BT28" i="3"/>
  <c r="DP22" i="3"/>
  <c r="DL28" i="3"/>
  <c r="DL58" i="3" s="1"/>
  <c r="DM13" i="3"/>
  <c r="DM43" i="3" s="1"/>
  <c r="DR20" i="3"/>
  <c r="DR50" i="3" s="1"/>
  <c r="AE20" i="3"/>
  <c r="AF20" i="3"/>
  <c r="AD20" i="3"/>
  <c r="AC20" i="3"/>
  <c r="AB20" i="3"/>
  <c r="W20" i="3"/>
  <c r="AA20" i="3"/>
  <c r="CM50" i="3" s="1"/>
  <c r="Z20" i="3"/>
  <c r="X20" i="3"/>
  <c r="Y20" i="3"/>
  <c r="CX10" i="3"/>
  <c r="AF10" i="3"/>
  <c r="W10" i="3"/>
  <c r="AC10" i="3"/>
  <c r="AD10" i="3"/>
  <c r="AB10" i="3"/>
  <c r="CO10" i="3"/>
  <c r="AA10" i="3"/>
  <c r="CW10" i="3"/>
  <c r="Z10" i="3"/>
  <c r="Y10" i="3"/>
  <c r="X10" i="3"/>
  <c r="AE10" i="3"/>
  <c r="DI39" i="3"/>
  <c r="AE28" i="3"/>
  <c r="AD28" i="3"/>
  <c r="AC28" i="3"/>
  <c r="AB28" i="3"/>
  <c r="X28" i="3"/>
  <c r="AA28" i="3"/>
  <c r="CM58" i="3" s="1"/>
  <c r="DP58" i="3" s="1"/>
  <c r="W28" i="3"/>
  <c r="AF28" i="3"/>
  <c r="Z28" i="3"/>
  <c r="Y28" i="3"/>
  <c r="BL13" i="3"/>
  <c r="BK22" i="3"/>
  <c r="BM28" i="3"/>
  <c r="BK28" i="3"/>
  <c r="DJ50" i="3"/>
  <c r="DM39" i="3"/>
  <c r="DQ44" i="3"/>
  <c r="DR22" i="3"/>
  <c r="DI22" i="3"/>
  <c r="DI28" i="3"/>
  <c r="DI58" i="3" s="1"/>
  <c r="DM28" i="3"/>
  <c r="DM58" i="3" s="1"/>
  <c r="DP57" i="3"/>
  <c r="F28" i="3"/>
  <c r="FO28" i="3" s="1"/>
  <c r="BN13" i="3"/>
  <c r="BR22" i="3"/>
  <c r="BP28" i="3"/>
  <c r="DN46" i="3"/>
  <c r="DQ46" i="3"/>
  <c r="DI51" i="3"/>
  <c r="DO39" i="3"/>
  <c r="DQ28" i="3"/>
  <c r="DQ58" i="3" s="1"/>
  <c r="DJ13" i="3"/>
  <c r="DJ43" i="3" s="1"/>
  <c r="DP13" i="3"/>
  <c r="DP43" i="3" s="1"/>
  <c r="AA16" i="3"/>
  <c r="CM46" i="3" s="1"/>
  <c r="DI46" i="3" s="1"/>
  <c r="W16" i="3"/>
  <c r="Z16" i="3"/>
  <c r="Y16" i="3"/>
  <c r="AF16" i="3"/>
  <c r="X16" i="3"/>
  <c r="AE16" i="3"/>
  <c r="AB16" i="3"/>
  <c r="AD16" i="3"/>
  <c r="AC16" i="3"/>
  <c r="Z9" i="3"/>
  <c r="Y9" i="3"/>
  <c r="AF9" i="3"/>
  <c r="X9" i="3"/>
  <c r="AE9" i="3"/>
  <c r="AD9" i="3"/>
  <c r="AC9" i="3"/>
  <c r="AA9" i="3"/>
  <c r="CM39" i="3" s="1"/>
  <c r="DL39" i="3" s="1"/>
  <c r="W9" i="3"/>
  <c r="AB9" i="3"/>
  <c r="AC14" i="3"/>
  <c r="AB14" i="3"/>
  <c r="W14" i="3"/>
  <c r="AA14" i="3"/>
  <c r="CM44" i="3" s="1"/>
  <c r="DL44" i="3" s="1"/>
  <c r="Z14" i="3"/>
  <c r="AD14" i="3"/>
  <c r="Y14" i="3"/>
  <c r="AF14" i="3"/>
  <c r="X14" i="3"/>
  <c r="AE14" i="3"/>
  <c r="BR13" i="3"/>
  <c r="BO13" i="3"/>
  <c r="BM22" i="3"/>
  <c r="BO28" i="3"/>
  <c r="BT22" i="3"/>
  <c r="DQ22" i="3"/>
  <c r="DM44" i="3"/>
  <c r="DL51" i="3"/>
  <c r="DL50" i="3"/>
  <c r="DK22" i="3"/>
  <c r="DQ39" i="3"/>
  <c r="DR13" i="3"/>
  <c r="DR43" i="3" s="1"/>
  <c r="DQ13" i="3"/>
  <c r="DQ43" i="3" s="1"/>
  <c r="DR57" i="3"/>
  <c r="DK28" i="3"/>
  <c r="DK58" i="3" s="1"/>
  <c r="DK8" i="3"/>
  <c r="CO8" i="3"/>
  <c r="AA8" i="3"/>
  <c r="CM38" i="3" s="1"/>
  <c r="DJ38" i="3" s="1"/>
  <c r="W8" i="3"/>
  <c r="Z8" i="3"/>
  <c r="Y8" i="3"/>
  <c r="AF8" i="3"/>
  <c r="X8" i="3"/>
  <c r="AB8" i="3"/>
  <c r="AE8" i="3"/>
  <c r="AD8" i="3"/>
  <c r="AC8" i="3"/>
  <c r="F22" i="3"/>
  <c r="FO22" i="3" s="1"/>
  <c r="BQ13" i="3"/>
  <c r="BN22" i="3"/>
  <c r="BQ28" i="3"/>
  <c r="CK28" i="3" s="1"/>
  <c r="BT13" i="3"/>
  <c r="DL46" i="3"/>
  <c r="DM46" i="3"/>
  <c r="DR28" i="3"/>
  <c r="DR58" i="3" s="1"/>
  <c r="DO28" i="3"/>
  <c r="DO58" i="3" s="1"/>
  <c r="DN22" i="3"/>
  <c r="DR44" i="3"/>
  <c r="DM57" i="3"/>
  <c r="DL13" i="3"/>
  <c r="DL43" i="3" s="1"/>
  <c r="DO13" i="3"/>
  <c r="DO43" i="3" s="1"/>
  <c r="DN28" i="3"/>
  <c r="DN58" i="3" s="1"/>
  <c r="DR12" i="3"/>
  <c r="AE12" i="3"/>
  <c r="AF12" i="3"/>
  <c r="AD12" i="3"/>
  <c r="AC12" i="3"/>
  <c r="AB12" i="3"/>
  <c r="AA12" i="3"/>
  <c r="CM42" i="3" s="1"/>
  <c r="DJ42" i="3" s="1"/>
  <c r="W12" i="3"/>
  <c r="Z12" i="3"/>
  <c r="Y12" i="3"/>
  <c r="X12" i="3"/>
  <c r="AF27" i="3"/>
  <c r="X27" i="3"/>
  <c r="AE27" i="3"/>
  <c r="AD27" i="3"/>
  <c r="AC27" i="3"/>
  <c r="AB27" i="3"/>
  <c r="AA27" i="3"/>
  <c r="CM57" i="3" s="1"/>
  <c r="DO57" i="3" s="1"/>
  <c r="W27" i="3"/>
  <c r="Y27" i="3"/>
  <c r="Z27" i="3"/>
  <c r="AD21" i="3"/>
  <c r="AC21" i="3"/>
  <c r="AB21" i="3"/>
  <c r="AA21" i="3"/>
  <c r="CM51" i="3" s="1"/>
  <c r="DK51" i="3" s="1"/>
  <c r="W21" i="3"/>
  <c r="Z21" i="3"/>
  <c r="AE21" i="3"/>
  <c r="Y21" i="3"/>
  <c r="AF21" i="3"/>
  <c r="X21" i="3"/>
  <c r="DR46" i="3"/>
  <c r="BM13" i="3"/>
  <c r="BO22" i="3"/>
  <c r="BR28" i="3"/>
  <c r="DK46" i="3"/>
  <c r="DM8" i="3"/>
  <c r="DM38" i="3" s="1"/>
  <c r="DO46" i="3"/>
  <c r="DJ46" i="3"/>
  <c r="DP46" i="3"/>
  <c r="DJ44" i="3"/>
  <c r="DQ50" i="3"/>
  <c r="DO50" i="3"/>
  <c r="DN13" i="3"/>
  <c r="DN43" i="3" s="1"/>
  <c r="DL57" i="3"/>
  <c r="DP8" i="3"/>
  <c r="DP38" i="3" s="1"/>
  <c r="DN8" i="3"/>
  <c r="DN38" i="3" s="1"/>
  <c r="BM10" i="3"/>
  <c r="BP10" i="3"/>
  <c r="BQ20" i="3"/>
  <c r="CK20" i="3" s="1"/>
  <c r="DR10" i="3"/>
  <c r="DK10" i="3"/>
  <c r="F9" i="3"/>
  <c r="FO9" i="3" s="1"/>
  <c r="DP20" i="3"/>
  <c r="DP50" i="3" s="1"/>
  <c r="BR10" i="3"/>
  <c r="BQ10" i="3"/>
  <c r="BR20" i="3"/>
  <c r="DM20" i="3"/>
  <c r="DM50" i="3" s="1"/>
  <c r="DM10" i="3"/>
  <c r="BK10" i="3"/>
  <c r="CE10" i="3" s="1"/>
  <c r="BL10" i="3"/>
  <c r="CF10" i="3" s="1"/>
  <c r="BO20" i="3"/>
  <c r="BL20" i="3"/>
  <c r="BT10" i="3"/>
  <c r="BT20" i="3"/>
  <c r="DN20" i="3"/>
  <c r="DN50" i="3" s="1"/>
  <c r="DR8" i="3"/>
  <c r="DR38" i="3" s="1"/>
  <c r="DO8" i="3"/>
  <c r="DO38" i="3" s="1"/>
  <c r="DK20" i="3"/>
  <c r="DK50" i="3" s="1"/>
  <c r="DO10" i="3"/>
  <c r="DL8" i="3"/>
  <c r="DL38" i="3" s="1"/>
  <c r="BN10" i="3"/>
  <c r="BM20" i="3"/>
  <c r="BS20" i="3"/>
  <c r="DQ8" i="3"/>
  <c r="DQ38" i="3" s="1"/>
  <c r="DI20" i="3"/>
  <c r="DI50" i="3" s="1"/>
  <c r="DP10" i="3"/>
  <c r="DI10" i="3"/>
  <c r="F20" i="3"/>
  <c r="FO20" i="3" s="1"/>
  <c r="BP20" i="3"/>
  <c r="DI8" i="3"/>
  <c r="DI38" i="3" s="1"/>
  <c r="DJ10" i="3"/>
  <c r="DG27" i="3"/>
  <c r="DG57" i="3" s="1"/>
  <c r="DD27" i="3"/>
  <c r="DD57" i="3" s="1"/>
  <c r="DA28" i="3"/>
  <c r="DA58" i="3" s="1"/>
  <c r="DF28" i="3"/>
  <c r="DF58" i="3" s="1"/>
  <c r="DC28" i="3"/>
  <c r="DC58" i="3" s="1"/>
  <c r="DC12" i="3"/>
  <c r="DE12" i="3"/>
  <c r="CZ13" i="3"/>
  <c r="CZ43" i="3" s="1"/>
  <c r="DC13" i="3"/>
  <c r="DC43" i="3" s="1"/>
  <c r="DC27" i="3"/>
  <c r="DC57" i="3" s="1"/>
  <c r="DA27" i="3"/>
  <c r="DA57" i="3" s="1"/>
  <c r="CY27" i="3"/>
  <c r="CY57" i="3" s="1"/>
  <c r="DH10" i="3"/>
  <c r="DE10" i="3"/>
  <c r="DD11" i="3"/>
  <c r="DD41" i="3" s="1"/>
  <c r="DE13" i="3"/>
  <c r="DE43" i="3" s="1"/>
  <c r="DH28" i="3"/>
  <c r="DH58" i="3" s="1"/>
  <c r="DE28" i="3"/>
  <c r="DE58" i="3" s="1"/>
  <c r="CY28" i="3"/>
  <c r="CY58" i="3" s="1"/>
  <c r="DH11" i="3"/>
  <c r="DH41" i="3" s="1"/>
  <c r="DG11" i="3"/>
  <c r="DG41" i="3" s="1"/>
  <c r="DA11" i="3"/>
  <c r="DA41" i="3" s="1"/>
  <c r="DG12" i="3"/>
  <c r="DD12" i="3"/>
  <c r="CY13" i="3"/>
  <c r="CY43" i="3" s="1"/>
  <c r="DF27" i="3"/>
  <c r="DF57" i="3" s="1"/>
  <c r="DB27" i="3"/>
  <c r="DB57" i="3" s="1"/>
  <c r="DH27" i="3"/>
  <c r="DH57" i="3" s="1"/>
  <c r="DB28" i="3"/>
  <c r="DB58" i="3" s="1"/>
  <c r="DG10" i="3"/>
  <c r="CZ11" i="3"/>
  <c r="CZ41" i="3" s="1"/>
  <c r="CY11" i="3"/>
  <c r="CY41" i="3" s="1"/>
  <c r="DB12" i="3"/>
  <c r="DG13" i="3"/>
  <c r="DG43" i="3" s="1"/>
  <c r="CZ27" i="3"/>
  <c r="CZ57" i="3" s="1"/>
  <c r="DE27" i="3"/>
  <c r="DE57" i="3" s="1"/>
  <c r="DD28" i="3"/>
  <c r="DD58" i="3" s="1"/>
  <c r="DD10" i="3"/>
  <c r="DE11" i="3"/>
  <c r="DE41" i="3" s="1"/>
  <c r="DF11" i="3"/>
  <c r="DF41" i="3" s="1"/>
  <c r="DB13" i="3"/>
  <c r="DB43" i="3" s="1"/>
  <c r="DG28" i="3"/>
  <c r="DG58" i="3" s="1"/>
  <c r="CZ10" i="3"/>
  <c r="CZ12" i="3"/>
  <c r="DF12" i="3"/>
  <c r="DA10" i="3"/>
  <c r="DB11" i="3"/>
  <c r="DB41" i="3" s="1"/>
  <c r="DH12" i="3"/>
  <c r="DC10" i="3"/>
  <c r="DF10" i="3"/>
  <c r="CY12" i="3"/>
  <c r="CY42" i="3" s="1"/>
  <c r="DF13" i="3"/>
  <c r="DF43" i="3" s="1"/>
  <c r="DC11" i="3"/>
  <c r="DC41" i="3" s="1"/>
  <c r="DD9" i="3"/>
  <c r="DD39" i="3" s="1"/>
  <c r="CY9" i="3"/>
  <c r="CY39" i="3" s="1"/>
  <c r="DD20" i="3"/>
  <c r="DD50" i="3" s="1"/>
  <c r="DB10" i="3"/>
  <c r="DG9" i="3"/>
  <c r="DG39" i="3" s="1"/>
  <c r="CZ28" i="3"/>
  <c r="CZ58" i="3" s="1"/>
  <c r="DA9" i="3"/>
  <c r="DA39" i="3" s="1"/>
  <c r="DD13" i="3"/>
  <c r="DD43" i="3" s="1"/>
  <c r="CZ9" i="3"/>
  <c r="CZ39" i="3" s="1"/>
  <c r="DF9" i="3"/>
  <c r="DF39" i="3" s="1"/>
  <c r="DC9" i="3"/>
  <c r="DC39" i="3" s="1"/>
  <c r="DB20" i="3"/>
  <c r="DB50" i="3" s="1"/>
  <c r="CZ20" i="3"/>
  <c r="CZ50" i="3" s="1"/>
  <c r="CY10" i="3"/>
  <c r="DH20" i="3"/>
  <c r="DH50" i="3" s="1"/>
  <c r="DH21" i="3"/>
  <c r="DH51" i="3" s="1"/>
  <c r="DE21" i="3"/>
  <c r="DE51" i="3" s="1"/>
  <c r="DB21" i="3"/>
  <c r="DB51" i="3" s="1"/>
  <c r="DG14" i="3"/>
  <c r="DG44" i="3" s="1"/>
  <c r="CY14" i="3"/>
  <c r="CY44" i="3" s="1"/>
  <c r="DF22" i="3"/>
  <c r="DA22" i="3"/>
  <c r="CY22" i="3"/>
  <c r="DD7" i="3"/>
  <c r="DD37" i="3" s="1"/>
  <c r="CZ21" i="3"/>
  <c r="CZ51" i="3" s="1"/>
  <c r="DB14" i="3"/>
  <c r="DB44" i="3" s="1"/>
  <c r="CZ14" i="3"/>
  <c r="CZ44" i="3" s="1"/>
  <c r="DC22" i="3"/>
  <c r="DG7" i="3"/>
  <c r="DG37" i="3" s="1"/>
  <c r="DH16" i="3"/>
  <c r="DH46" i="3" s="1"/>
  <c r="DH13" i="3"/>
  <c r="DH43" i="3" s="1"/>
  <c r="DH9" i="3"/>
  <c r="DH39" i="3" s="1"/>
  <c r="DC20" i="3"/>
  <c r="DC50" i="3" s="1"/>
  <c r="CY21" i="3"/>
  <c r="CY51" i="3" s="1"/>
  <c r="DD14" i="3"/>
  <c r="DD44" i="3" s="1"/>
  <c r="DA14" i="3"/>
  <c r="DA44" i="3" s="1"/>
  <c r="DH22" i="3"/>
  <c r="DE22" i="3"/>
  <c r="DF7" i="3"/>
  <c r="DF37" i="3" s="1"/>
  <c r="CZ16" i="3"/>
  <c r="CZ46" i="3" s="1"/>
  <c r="DG20" i="3"/>
  <c r="DG50" i="3" s="1"/>
  <c r="DD21" i="3"/>
  <c r="DD51" i="3" s="1"/>
  <c r="DF14" i="3"/>
  <c r="DF44" i="3" s="1"/>
  <c r="DH14" i="3"/>
  <c r="DH44" i="3" s="1"/>
  <c r="CZ22" i="3"/>
  <c r="CY7" i="3"/>
  <c r="CY37" i="3" s="1"/>
  <c r="DB16" i="3"/>
  <c r="DB46" i="3" s="1"/>
  <c r="CY16" i="3"/>
  <c r="CY46" i="3" s="1"/>
  <c r="DA13" i="3"/>
  <c r="DA43" i="3" s="1"/>
  <c r="DA21" i="3"/>
  <c r="DA51" i="3" s="1"/>
  <c r="DG21" i="3"/>
  <c r="DG51" i="3" s="1"/>
  <c r="DB22" i="3"/>
  <c r="DC7" i="3"/>
  <c r="DC37" i="3" s="1"/>
  <c r="DD16" i="3"/>
  <c r="DD46" i="3" s="1"/>
  <c r="DE9" i="3"/>
  <c r="DE39" i="3" s="1"/>
  <c r="DA20" i="3"/>
  <c r="DA50" i="3" s="1"/>
  <c r="DF20" i="3"/>
  <c r="DF50" i="3" s="1"/>
  <c r="DD22" i="3"/>
  <c r="CZ7" i="3"/>
  <c r="CZ37" i="3" s="1"/>
  <c r="DG16" i="3"/>
  <c r="DG46" i="3" s="1"/>
  <c r="DA12" i="3"/>
  <c r="DA42" i="3" s="1"/>
  <c r="DE20" i="3"/>
  <c r="DE50" i="3" s="1"/>
  <c r="CY20" i="3"/>
  <c r="CY50" i="3" s="1"/>
  <c r="DC21" i="3"/>
  <c r="DC51" i="3" s="1"/>
  <c r="DE16" i="3"/>
  <c r="DE46" i="3" s="1"/>
  <c r="DF16" i="3"/>
  <c r="DF46" i="3" s="1"/>
  <c r="DF8" i="3"/>
  <c r="DF38" i="3" s="1"/>
  <c r="DB7" i="3"/>
  <c r="DB37" i="3" s="1"/>
  <c r="DA16" i="3"/>
  <c r="DA46" i="3" s="1"/>
  <c r="DE14" i="3"/>
  <c r="DE44" i="3" s="1"/>
  <c r="DC14" i="3"/>
  <c r="DC44" i="3" s="1"/>
  <c r="DG22" i="3"/>
  <c r="DA8" i="3"/>
  <c r="DA38" i="3" s="1"/>
  <c r="DB9" i="3"/>
  <c r="DB39" i="3" s="1"/>
  <c r="DC16" i="3"/>
  <c r="DC46" i="3" s="1"/>
  <c r="DB8" i="3"/>
  <c r="DB38" i="3" s="1"/>
  <c r="DH8" i="3"/>
  <c r="DH38" i="3" s="1"/>
  <c r="CY8" i="3"/>
  <c r="CY38" i="3" s="1"/>
  <c r="DC8" i="3"/>
  <c r="DC38" i="3" s="1"/>
  <c r="CZ8" i="3"/>
  <c r="CZ38" i="3" s="1"/>
  <c r="DG8" i="3"/>
  <c r="DG38" i="3" s="1"/>
  <c r="DH7" i="3"/>
  <c r="DH37" i="3" s="1"/>
  <c r="DF21" i="3"/>
  <c r="DF51" i="3" s="1"/>
  <c r="DE7" i="3"/>
  <c r="DE37" i="3" s="1"/>
  <c r="DE8" i="3"/>
  <c r="DE38" i="3" s="1"/>
  <c r="DA7" i="3"/>
  <c r="DA37" i="3" s="1"/>
  <c r="DD8" i="3"/>
  <c r="DD38" i="3" s="1"/>
  <c r="EF27" i="3"/>
  <c r="EF57" i="3" s="1"/>
  <c r="EE28" i="3"/>
  <c r="EE58" i="3" s="1"/>
  <c r="EC10" i="3"/>
  <c r="EC11" i="3"/>
  <c r="EC41" i="3" s="1"/>
  <c r="EI11" i="3"/>
  <c r="EI41" i="3" s="1"/>
  <c r="EE12" i="3"/>
  <c r="EE42" i="3" s="1"/>
  <c r="EK13" i="3"/>
  <c r="EK43" i="3" s="1"/>
  <c r="EH27" i="3"/>
  <c r="EH57" i="3" s="1"/>
  <c r="EK27" i="3"/>
  <c r="EK57" i="3" s="1"/>
  <c r="EC27" i="3"/>
  <c r="EC57" i="3" s="1"/>
  <c r="EC28" i="3"/>
  <c r="EC58" i="3" s="1"/>
  <c r="EJ10" i="3"/>
  <c r="EC12" i="3"/>
  <c r="EG13" i="3"/>
  <c r="EG43" i="3" s="1"/>
  <c r="EG28" i="3"/>
  <c r="EG58" i="3" s="1"/>
  <c r="EJ28" i="3"/>
  <c r="EJ58" i="3" s="1"/>
  <c r="EF10" i="3"/>
  <c r="ED10" i="3"/>
  <c r="ED11" i="3"/>
  <c r="ED41" i="3" s="1"/>
  <c r="EI12" i="3"/>
  <c r="EK12" i="3"/>
  <c r="EE13" i="3"/>
  <c r="EE43" i="3" s="1"/>
  <c r="EE27" i="3"/>
  <c r="EE57" i="3" s="1"/>
  <c r="EJ27" i="3"/>
  <c r="EJ57" i="3" s="1"/>
  <c r="EL28" i="3"/>
  <c r="EL58" i="3" s="1"/>
  <c r="EE10" i="3"/>
  <c r="ED12" i="3"/>
  <c r="EH12" i="3"/>
  <c r="EI13" i="3"/>
  <c r="EI43" i="3" s="1"/>
  <c r="EG27" i="3"/>
  <c r="EG57" i="3" s="1"/>
  <c r="EL27" i="3"/>
  <c r="EL57" i="3" s="1"/>
  <c r="EF28" i="3"/>
  <c r="EF58" i="3" s="1"/>
  <c r="ED28" i="3"/>
  <c r="ED58" i="3" s="1"/>
  <c r="EH28" i="3"/>
  <c r="EH58" i="3" s="1"/>
  <c r="EK10" i="3"/>
  <c r="EF11" i="3"/>
  <c r="EF41" i="3" s="1"/>
  <c r="EJ11" i="3"/>
  <c r="EJ41" i="3" s="1"/>
  <c r="EL13" i="3"/>
  <c r="EL43" i="3" s="1"/>
  <c r="ED27" i="3"/>
  <c r="ED57" i="3" s="1"/>
  <c r="EI27" i="3"/>
  <c r="EI57" i="3" s="1"/>
  <c r="EF12" i="3"/>
  <c r="EG12" i="3"/>
  <c r="ED13" i="3"/>
  <c r="ED43" i="3" s="1"/>
  <c r="EH13" i="3"/>
  <c r="EH43" i="3" s="1"/>
  <c r="EK28" i="3"/>
  <c r="EK58" i="3" s="1"/>
  <c r="EI10" i="3"/>
  <c r="EG9" i="3"/>
  <c r="EG39" i="3" s="1"/>
  <c r="EL9" i="3"/>
  <c r="EL39" i="3" s="1"/>
  <c r="EI28" i="3"/>
  <c r="EI58" i="3" s="1"/>
  <c r="EL11" i="3"/>
  <c r="EL41" i="3" s="1"/>
  <c r="EC13" i="3"/>
  <c r="EC43" i="3" s="1"/>
  <c r="EF9" i="3"/>
  <c r="EF39" i="3" s="1"/>
  <c r="EF20" i="3"/>
  <c r="EF50" i="3" s="1"/>
  <c r="EH20" i="3"/>
  <c r="EH50" i="3" s="1"/>
  <c r="EF21" i="3"/>
  <c r="EF51" i="3" s="1"/>
  <c r="ED21" i="3"/>
  <c r="ED51" i="3" s="1"/>
  <c r="EH11" i="3"/>
  <c r="EH41" i="3" s="1"/>
  <c r="EJ9" i="3"/>
  <c r="EJ39" i="3" s="1"/>
  <c r="ED9" i="3"/>
  <c r="ED39" i="3" s="1"/>
  <c r="EG10" i="3"/>
  <c r="EH10" i="3"/>
  <c r="EE11" i="3"/>
  <c r="EE41" i="3" s="1"/>
  <c r="EJ12" i="3"/>
  <c r="EJ42" i="3" s="1"/>
  <c r="EK9" i="3"/>
  <c r="EK39" i="3" s="1"/>
  <c r="EE9" i="3"/>
  <c r="EE39" i="3" s="1"/>
  <c r="EI9" i="3"/>
  <c r="EI39" i="3" s="1"/>
  <c r="EE20" i="3"/>
  <c r="EE50" i="3" s="1"/>
  <c r="EK11" i="3"/>
  <c r="EK41" i="3" s="1"/>
  <c r="EF13" i="3"/>
  <c r="EF43" i="3" s="1"/>
  <c r="EH9" i="3"/>
  <c r="EH39" i="3" s="1"/>
  <c r="EC20" i="3"/>
  <c r="EC50" i="3" s="1"/>
  <c r="EJ20" i="3"/>
  <c r="EJ50" i="3" s="1"/>
  <c r="EC21" i="3"/>
  <c r="EC51" i="3" s="1"/>
  <c r="EK14" i="3"/>
  <c r="EK44" i="3" s="1"/>
  <c r="EF22" i="3"/>
  <c r="EF7" i="3"/>
  <c r="EF37" i="3" s="1"/>
  <c r="EH16" i="3"/>
  <c r="EH46" i="3" s="1"/>
  <c r="EE16" i="3"/>
  <c r="EE46" i="3" s="1"/>
  <c r="EG11" i="3"/>
  <c r="EG41" i="3" s="1"/>
  <c r="EI20" i="3"/>
  <c r="EI50" i="3" s="1"/>
  <c r="ED20" i="3"/>
  <c r="ED50" i="3" s="1"/>
  <c r="EK21" i="3"/>
  <c r="EK51" i="3" s="1"/>
  <c r="EG14" i="3"/>
  <c r="EG44" i="3" s="1"/>
  <c r="EE22" i="3"/>
  <c r="EK22" i="3"/>
  <c r="EJ7" i="3"/>
  <c r="EJ37" i="3" s="1"/>
  <c r="EJ16" i="3"/>
  <c r="EJ46" i="3" s="1"/>
  <c r="EC16" i="3"/>
  <c r="EC46" i="3" s="1"/>
  <c r="EG16" i="3"/>
  <c r="EG46" i="3" s="1"/>
  <c r="EJ21" i="3"/>
  <c r="EJ51" i="3" s="1"/>
  <c r="EJ14" i="3"/>
  <c r="EJ44" i="3" s="1"/>
  <c r="EE14" i="3"/>
  <c r="EE44" i="3" s="1"/>
  <c r="EH22" i="3"/>
  <c r="EE7" i="3"/>
  <c r="EE37" i="3" s="1"/>
  <c r="EC7" i="3"/>
  <c r="EC37" i="3" s="1"/>
  <c r="EH7" i="3"/>
  <c r="EH37" i="3" s="1"/>
  <c r="EJ13" i="3"/>
  <c r="EJ43" i="3" s="1"/>
  <c r="EF14" i="3"/>
  <c r="EF44" i="3" s="1"/>
  <c r="EL20" i="3"/>
  <c r="EL50" i="3" s="1"/>
  <c r="EE21" i="3"/>
  <c r="EE51" i="3" s="1"/>
  <c r="EC14" i="3"/>
  <c r="EC44" i="3" s="1"/>
  <c r="EJ22" i="3"/>
  <c r="EI7" i="3"/>
  <c r="EI37" i="3" s="1"/>
  <c r="EL16" i="3"/>
  <c r="EL46" i="3" s="1"/>
  <c r="EL12" i="3"/>
  <c r="EL42" i="3" s="1"/>
  <c r="EK20" i="3"/>
  <c r="EK50" i="3" s="1"/>
  <c r="EI21" i="3"/>
  <c r="EI51" i="3" s="1"/>
  <c r="EG21" i="3"/>
  <c r="EG51" i="3" s="1"/>
  <c r="EL14" i="3"/>
  <c r="EL44" i="3" s="1"/>
  <c r="EL22" i="3"/>
  <c r="EG7" i="3"/>
  <c r="EG37" i="3" s="1"/>
  <c r="EI16" i="3"/>
  <c r="EI46" i="3" s="1"/>
  <c r="EF16" i="3"/>
  <c r="EF46" i="3" s="1"/>
  <c r="ED16" i="3"/>
  <c r="ED46" i="3" s="1"/>
  <c r="EL10" i="3"/>
  <c r="EC9" i="3"/>
  <c r="EC39" i="3" s="1"/>
  <c r="EL21" i="3"/>
  <c r="EL51" i="3" s="1"/>
  <c r="EG22" i="3"/>
  <c r="ED7" i="3"/>
  <c r="ED37" i="3" s="1"/>
  <c r="EI8" i="3"/>
  <c r="EI38" i="3" s="1"/>
  <c r="EF8" i="3"/>
  <c r="EF38" i="3" s="1"/>
  <c r="EG8" i="3"/>
  <c r="EG38" i="3" s="1"/>
  <c r="EK8" i="3"/>
  <c r="EK38" i="3" s="1"/>
  <c r="EH21" i="3"/>
  <c r="EH51" i="3" s="1"/>
  <c r="EG20" i="3"/>
  <c r="EG50" i="3" s="1"/>
  <c r="ED14" i="3"/>
  <c r="ED44" i="3" s="1"/>
  <c r="EI14" i="3"/>
  <c r="EI44" i="3" s="1"/>
  <c r="ED22" i="3"/>
  <c r="EL7" i="3"/>
  <c r="EL37" i="3" s="1"/>
  <c r="EH8" i="3"/>
  <c r="EH38" i="3" s="1"/>
  <c r="EL8" i="3"/>
  <c r="EL38" i="3" s="1"/>
  <c r="EH14" i="3"/>
  <c r="EH44" i="3" s="1"/>
  <c r="EK16" i="3"/>
  <c r="EK46" i="3" s="1"/>
  <c r="EJ8" i="3"/>
  <c r="EJ38" i="3" s="1"/>
  <c r="ED8" i="3"/>
  <c r="ED38" i="3" s="1"/>
  <c r="EC8" i="3"/>
  <c r="EC38" i="3" s="1"/>
  <c r="EI22" i="3"/>
  <c r="EE8" i="3"/>
  <c r="EE38" i="3" s="1"/>
  <c r="X3" i="4"/>
  <c r="DU28" i="3"/>
  <c r="DU58" i="3" s="1"/>
  <c r="EA28" i="3"/>
  <c r="EA58" i="3" s="1"/>
  <c r="DY10" i="3"/>
  <c r="DT11" i="3"/>
  <c r="DT41" i="3" s="1"/>
  <c r="DZ11" i="3"/>
  <c r="DZ41" i="3" s="1"/>
  <c r="DS12" i="3"/>
  <c r="DS42" i="3" s="1"/>
  <c r="DY13" i="3"/>
  <c r="DY43" i="3" s="1"/>
  <c r="DX27" i="3"/>
  <c r="DX57" i="3" s="1"/>
  <c r="DV10" i="3"/>
  <c r="DV11" i="3"/>
  <c r="DV41" i="3" s="1"/>
  <c r="DW11" i="3"/>
  <c r="EA13" i="3"/>
  <c r="EA43" i="3" s="1"/>
  <c r="DV13" i="3"/>
  <c r="DV43" i="3" s="1"/>
  <c r="DZ27" i="3"/>
  <c r="DZ57" i="3" s="1"/>
  <c r="DU27" i="3"/>
  <c r="DU57" i="3" s="1"/>
  <c r="DW27" i="3"/>
  <c r="DW28" i="3"/>
  <c r="DZ28" i="3"/>
  <c r="DZ58" i="3" s="1"/>
  <c r="EA10" i="3"/>
  <c r="DS13" i="3"/>
  <c r="DS43" i="3" s="1"/>
  <c r="DX13" i="3"/>
  <c r="DX43" i="3" s="1"/>
  <c r="DT28" i="3"/>
  <c r="DT58" i="3" s="1"/>
  <c r="DS28" i="3"/>
  <c r="DS58" i="3" s="1"/>
  <c r="DW10" i="3"/>
  <c r="DU11" i="3"/>
  <c r="DU41" i="3" s="1"/>
  <c r="EA11" i="3"/>
  <c r="EA41" i="3" s="1"/>
  <c r="DT12" i="3"/>
  <c r="DT42" i="3" s="1"/>
  <c r="EB13" i="3"/>
  <c r="EB43" i="3" s="1"/>
  <c r="DU13" i="3"/>
  <c r="DU43" i="3" s="1"/>
  <c r="EB27" i="3"/>
  <c r="EB57" i="3" s="1"/>
  <c r="DZ10" i="3"/>
  <c r="DS11" i="3"/>
  <c r="DS41" i="3" s="1"/>
  <c r="DU12" i="3"/>
  <c r="DU42" i="3" s="1"/>
  <c r="DY12" i="3"/>
  <c r="DY42" i="3" s="1"/>
  <c r="DT13" i="3"/>
  <c r="DT43" i="3" s="1"/>
  <c r="DZ13" i="3"/>
  <c r="DZ43" i="3" s="1"/>
  <c r="DW13" i="3"/>
  <c r="DW43" i="3" s="1"/>
  <c r="DY27" i="3"/>
  <c r="DY57" i="3" s="1"/>
  <c r="DT27" i="3"/>
  <c r="DT57" i="3" s="1"/>
  <c r="DS27" i="3"/>
  <c r="DS57" i="3" s="1"/>
  <c r="DX28" i="3"/>
  <c r="DX58" i="3" s="1"/>
  <c r="DV28" i="3"/>
  <c r="DV58" i="3" s="1"/>
  <c r="EB10" i="3"/>
  <c r="DX11" i="3"/>
  <c r="DX41" i="3" s="1"/>
  <c r="DV12" i="3"/>
  <c r="DV42" i="3" s="1"/>
  <c r="EB12" i="3"/>
  <c r="EB42" i="3" s="1"/>
  <c r="DS9" i="3"/>
  <c r="DS39" i="3" s="1"/>
  <c r="DY20" i="3"/>
  <c r="DY50" i="3" s="1"/>
  <c r="DT20" i="3"/>
  <c r="DT50" i="3" s="1"/>
  <c r="DV20" i="3"/>
  <c r="DV50" i="3" s="1"/>
  <c r="EB21" i="3"/>
  <c r="EB51" i="3" s="1"/>
  <c r="DZ21" i="3"/>
  <c r="DZ51" i="3" s="1"/>
  <c r="EA27" i="3"/>
  <c r="EA57" i="3" s="1"/>
  <c r="EB28" i="3"/>
  <c r="EB58" i="3" s="1"/>
  <c r="EB11" i="3"/>
  <c r="EB41" i="3" s="1"/>
  <c r="EA12" i="3"/>
  <c r="EA42" i="3" s="1"/>
  <c r="DU10" i="3"/>
  <c r="DZ12" i="3"/>
  <c r="DZ42" i="3" s="1"/>
  <c r="DZ9" i="3"/>
  <c r="DZ39" i="3" s="1"/>
  <c r="DT10" i="3"/>
  <c r="DX12" i="3"/>
  <c r="DX42" i="3" s="1"/>
  <c r="EB9" i="3"/>
  <c r="EB39" i="3" s="1"/>
  <c r="DY28" i="3"/>
  <c r="DY58" i="3" s="1"/>
  <c r="DX10" i="3"/>
  <c r="DX9" i="3"/>
  <c r="DX39" i="3" s="1"/>
  <c r="DY9" i="3"/>
  <c r="DY39" i="3" s="1"/>
  <c r="EA22" i="3"/>
  <c r="DW7" i="3"/>
  <c r="DS7" i="3"/>
  <c r="DS37" i="3" s="1"/>
  <c r="DX20" i="3"/>
  <c r="DX50" i="3" s="1"/>
  <c r="DZ14" i="3"/>
  <c r="DZ44" i="3" s="1"/>
  <c r="DZ16" i="3"/>
  <c r="DZ46" i="3" s="1"/>
  <c r="DV16" i="3"/>
  <c r="DV46" i="3" s="1"/>
  <c r="DW9" i="3"/>
  <c r="EA20" i="3"/>
  <c r="EA50" i="3" s="1"/>
  <c r="DS20" i="3"/>
  <c r="DS50" i="3" s="1"/>
  <c r="DX21" i="3"/>
  <c r="DX51" i="3" s="1"/>
  <c r="DY21" i="3"/>
  <c r="DY51" i="3" s="1"/>
  <c r="DS21" i="3"/>
  <c r="DS51" i="3" s="1"/>
  <c r="DU22" i="3"/>
  <c r="DX22" i="3"/>
  <c r="DT7" i="3"/>
  <c r="DT37" i="3" s="1"/>
  <c r="DY7" i="3"/>
  <c r="DY37" i="3" s="1"/>
  <c r="EB16" i="3"/>
  <c r="EB46" i="3" s="1"/>
  <c r="DW16" i="3"/>
  <c r="DY11" i="3"/>
  <c r="DY41" i="3" s="1"/>
  <c r="DV9" i="3"/>
  <c r="DV39" i="3" s="1"/>
  <c r="DW20" i="3"/>
  <c r="DW50" i="3" s="1"/>
  <c r="DT21" i="3"/>
  <c r="DT51" i="3" s="1"/>
  <c r="DW14" i="3"/>
  <c r="DU14" i="3"/>
  <c r="DU44" i="3" s="1"/>
  <c r="DW22" i="3"/>
  <c r="DZ22" i="3"/>
  <c r="DV7" i="3"/>
  <c r="DV37" i="3" s="1"/>
  <c r="DS16" i="3"/>
  <c r="DS46" i="3" s="1"/>
  <c r="DV27" i="3"/>
  <c r="DV57" i="3" s="1"/>
  <c r="DU9" i="3"/>
  <c r="DU39" i="3" s="1"/>
  <c r="DY14" i="3"/>
  <c r="DY44" i="3" s="1"/>
  <c r="DS22" i="3"/>
  <c r="EA7" i="3"/>
  <c r="EA37" i="3" s="1"/>
  <c r="DU16" i="3"/>
  <c r="DU46" i="3" s="1"/>
  <c r="DT9" i="3"/>
  <c r="DT39" i="3" s="1"/>
  <c r="DW21" i="3"/>
  <c r="DW51" i="3" s="1"/>
  <c r="EA14" i="3"/>
  <c r="EA44" i="3" s="1"/>
  <c r="EB7" i="3"/>
  <c r="EB37" i="3" s="1"/>
  <c r="DY16" i="3"/>
  <c r="DY46" i="3" s="1"/>
  <c r="EA9" i="3"/>
  <c r="EA39" i="3" s="1"/>
  <c r="DU20" i="3"/>
  <c r="DU50" i="3" s="1"/>
  <c r="DZ20" i="3"/>
  <c r="DZ50" i="3" s="1"/>
  <c r="DS14" i="3"/>
  <c r="DS44" i="3" s="1"/>
  <c r="DU8" i="3"/>
  <c r="DU38" i="3" s="1"/>
  <c r="DT8" i="3"/>
  <c r="DT38" i="3" s="1"/>
  <c r="DV21" i="3"/>
  <c r="DV51" i="3" s="1"/>
  <c r="DY22" i="3"/>
  <c r="DU7" i="3"/>
  <c r="DU37" i="3" s="1"/>
  <c r="DV8" i="3"/>
  <c r="DV38" i="3" s="1"/>
  <c r="DS10" i="3"/>
  <c r="EA21" i="3"/>
  <c r="EA51" i="3" s="1"/>
  <c r="EA16" i="3"/>
  <c r="EA46" i="3" s="1"/>
  <c r="DW8" i="3"/>
  <c r="DW38" i="3" s="1"/>
  <c r="DY8" i="3"/>
  <c r="DY38" i="3" s="1"/>
  <c r="EA8" i="3"/>
  <c r="EA38" i="3" s="1"/>
  <c r="DS8" i="3"/>
  <c r="DS38" i="3" s="1"/>
  <c r="DW12" i="3"/>
  <c r="DW42" i="3" s="1"/>
  <c r="DX14" i="3"/>
  <c r="DX44" i="3" s="1"/>
  <c r="DZ7" i="3"/>
  <c r="DZ37" i="3" s="1"/>
  <c r="DU21" i="3"/>
  <c r="DU51" i="3" s="1"/>
  <c r="EB22" i="3"/>
  <c r="DX16" i="3"/>
  <c r="DX46" i="3" s="1"/>
  <c r="EB20" i="3"/>
  <c r="EB50" i="3" s="1"/>
  <c r="DV14" i="3"/>
  <c r="DV44" i="3" s="1"/>
  <c r="DV22" i="3"/>
  <c r="DT16" i="3"/>
  <c r="DT46" i="3" s="1"/>
  <c r="DX8" i="3"/>
  <c r="DX38" i="3" s="1"/>
  <c r="EB14" i="3"/>
  <c r="EB44" i="3" s="1"/>
  <c r="DT22" i="3"/>
  <c r="DX7" i="3"/>
  <c r="DX37" i="3" s="1"/>
  <c r="DT14" i="3"/>
  <c r="DT44" i="3" s="1"/>
  <c r="EB8" i="3"/>
  <c r="EB38" i="3" s="1"/>
  <c r="DZ8" i="3"/>
  <c r="DZ38" i="3" s="1"/>
  <c r="EU27" i="3"/>
  <c r="EU57" i="3" s="1"/>
  <c r="EP27" i="3"/>
  <c r="EP57" i="3" s="1"/>
  <c r="ET28" i="3"/>
  <c r="ET58" i="3" s="1"/>
  <c r="ET10" i="3"/>
  <c r="EP10" i="3"/>
  <c r="EV12" i="3"/>
  <c r="EV42" i="3" s="1"/>
  <c r="ET12" i="3"/>
  <c r="ET42" i="3" s="1"/>
  <c r="EM13" i="3"/>
  <c r="EM28" i="3"/>
  <c r="EM58" i="3" s="1"/>
  <c r="EO28" i="3"/>
  <c r="EO58" i="3" s="1"/>
  <c r="EU28" i="3"/>
  <c r="EU58" i="3" s="1"/>
  <c r="EM10" i="3"/>
  <c r="EN10" i="3"/>
  <c r="ET11" i="3"/>
  <c r="ET41" i="3" s="1"/>
  <c r="EQ11" i="3"/>
  <c r="EQ41" i="3" s="1"/>
  <c r="EN12" i="3"/>
  <c r="EN42" i="3" s="1"/>
  <c r="EM12" i="3"/>
  <c r="EM42" i="3" s="1"/>
  <c r="ER13" i="3"/>
  <c r="ER43" i="3" s="1"/>
  <c r="EO13" i="3"/>
  <c r="EO43" i="3" s="1"/>
  <c r="ER27" i="3"/>
  <c r="ER57" i="3" s="1"/>
  <c r="EV27" i="3"/>
  <c r="EV57" i="3" s="1"/>
  <c r="EO10" i="3"/>
  <c r="EM11" i="3"/>
  <c r="EP11" i="3"/>
  <c r="EP41" i="3" s="1"/>
  <c r="EQ12" i="3"/>
  <c r="EQ42" i="3" s="1"/>
  <c r="EV13" i="3"/>
  <c r="EV43" i="3" s="1"/>
  <c r="ES13" i="3"/>
  <c r="ES43" i="3" s="1"/>
  <c r="ET27" i="3"/>
  <c r="ET57" i="3" s="1"/>
  <c r="EO27" i="3"/>
  <c r="EO57" i="3" s="1"/>
  <c r="EM27" i="3"/>
  <c r="EM57" i="3" s="1"/>
  <c r="EQ27" i="3"/>
  <c r="EQ57" i="3" s="1"/>
  <c r="ES28" i="3"/>
  <c r="ES58" i="3" s="1"/>
  <c r="ES11" i="3"/>
  <c r="ES41" i="3" s="1"/>
  <c r="EO11" i="3"/>
  <c r="EO41" i="3" s="1"/>
  <c r="EQ13" i="3"/>
  <c r="EQ43" i="3" s="1"/>
  <c r="EN27" i="3"/>
  <c r="EV28" i="3"/>
  <c r="EV58" i="3" s="1"/>
  <c r="ER10" i="3"/>
  <c r="EV10" i="3"/>
  <c r="ES12" i="3"/>
  <c r="ES42" i="3" s="1"/>
  <c r="EP12" i="3"/>
  <c r="EP42" i="3" s="1"/>
  <c r="EU13" i="3"/>
  <c r="EU43" i="3" s="1"/>
  <c r="EP28" i="3"/>
  <c r="EP58" i="3" s="1"/>
  <c r="EN28" i="3"/>
  <c r="EN58" i="3" s="1"/>
  <c r="EU10" i="3"/>
  <c r="EQ10" i="3"/>
  <c r="ER11" i="3"/>
  <c r="ER41" i="3" s="1"/>
  <c r="EV11" i="3"/>
  <c r="EV41" i="3" s="1"/>
  <c r="EU11" i="3"/>
  <c r="EU41" i="3" s="1"/>
  <c r="EO12" i="3"/>
  <c r="EO42" i="3" s="1"/>
  <c r="EQ20" i="3"/>
  <c r="EQ50" i="3" s="1"/>
  <c r="EQ21" i="3"/>
  <c r="EQ51" i="3" s="1"/>
  <c r="EQ9" i="3"/>
  <c r="EQ39" i="3" s="1"/>
  <c r="EP20" i="3"/>
  <c r="EP50" i="3" s="1"/>
  <c r="EN20" i="3"/>
  <c r="EV21" i="3"/>
  <c r="EV51" i="3" s="1"/>
  <c r="ER12" i="3"/>
  <c r="ER42" i="3" s="1"/>
  <c r="EP13" i="3"/>
  <c r="EP43" i="3" s="1"/>
  <c r="ET9" i="3"/>
  <c r="ET39" i="3" s="1"/>
  <c r="ET13" i="3"/>
  <c r="ET43" i="3" s="1"/>
  <c r="ET20" i="3"/>
  <c r="ET50" i="3" s="1"/>
  <c r="EO20" i="3"/>
  <c r="EO50" i="3" s="1"/>
  <c r="ES27" i="3"/>
  <c r="ES57" i="3" s="1"/>
  <c r="ER28" i="3"/>
  <c r="ER58" i="3" s="1"/>
  <c r="ES10" i="3"/>
  <c r="EU12" i="3"/>
  <c r="EU42" i="3" s="1"/>
  <c r="EV9" i="3"/>
  <c r="EV39" i="3" s="1"/>
  <c r="ES9" i="3"/>
  <c r="ES39" i="3" s="1"/>
  <c r="EO9" i="3"/>
  <c r="EO39" i="3" s="1"/>
  <c r="EM20" i="3"/>
  <c r="EM50" i="3" s="1"/>
  <c r="EO21" i="3"/>
  <c r="EO51" i="3" s="1"/>
  <c r="EU21" i="3"/>
  <c r="EU51" i="3" s="1"/>
  <c r="ES20" i="3"/>
  <c r="ES50" i="3" s="1"/>
  <c r="EV20" i="3"/>
  <c r="EV50" i="3" s="1"/>
  <c r="EP21" i="3"/>
  <c r="EP51" i="3" s="1"/>
  <c r="ET21" i="3"/>
  <c r="ET51" i="3" s="1"/>
  <c r="EM14" i="3"/>
  <c r="ER22" i="3"/>
  <c r="EP22" i="3"/>
  <c r="ER7" i="3"/>
  <c r="ER37" i="3" s="1"/>
  <c r="EO16" i="3"/>
  <c r="EO46" i="3" s="1"/>
  <c r="EN13" i="3"/>
  <c r="EN43" i="3" s="1"/>
  <c r="ES21" i="3"/>
  <c r="ES51" i="3" s="1"/>
  <c r="EM21" i="3"/>
  <c r="EM51" i="3" s="1"/>
  <c r="EO14" i="3"/>
  <c r="EO44" i="3" s="1"/>
  <c r="EU22" i="3"/>
  <c r="EU7" i="3"/>
  <c r="EU37" i="3" s="1"/>
  <c r="EQ28" i="3"/>
  <c r="EQ58" i="3" s="1"/>
  <c r="EN11" i="3"/>
  <c r="EN41" i="3" s="1"/>
  <c r="EN9" i="3"/>
  <c r="EN39" i="3" s="1"/>
  <c r="ER20" i="3"/>
  <c r="ER50" i="3" s="1"/>
  <c r="ES14" i="3"/>
  <c r="ES44" i="3" s="1"/>
  <c r="ET16" i="3"/>
  <c r="ET46" i="3" s="1"/>
  <c r="EU9" i="3"/>
  <c r="EU39" i="3" s="1"/>
  <c r="ER21" i="3"/>
  <c r="ER51" i="3" s="1"/>
  <c r="EV14" i="3"/>
  <c r="EV44" i="3" s="1"/>
  <c r="EO22" i="3"/>
  <c r="ET7" i="3"/>
  <c r="ET37" i="3" s="1"/>
  <c r="EQ7" i="3"/>
  <c r="EQ37" i="3" s="1"/>
  <c r="EV16" i="3"/>
  <c r="EV46" i="3" s="1"/>
  <c r="EM16" i="3"/>
  <c r="EM46" i="3" s="1"/>
  <c r="EQ16" i="3"/>
  <c r="EQ46" i="3" s="1"/>
  <c r="EM9" i="3"/>
  <c r="EU20" i="3"/>
  <c r="EU50" i="3" s="1"/>
  <c r="EN21" i="3"/>
  <c r="EN51" i="3" s="1"/>
  <c r="EQ14" i="3"/>
  <c r="EQ44" i="3" s="1"/>
  <c r="EN14" i="3"/>
  <c r="EN44" i="3" s="1"/>
  <c r="EQ22" i="3"/>
  <c r="ET22" i="3"/>
  <c r="EO7" i="3"/>
  <c r="EO37" i="3" s="1"/>
  <c r="EM7" i="3"/>
  <c r="EN16" i="3"/>
  <c r="ES16" i="3"/>
  <c r="ES46" i="3" s="1"/>
  <c r="EQ8" i="3"/>
  <c r="EP8" i="3"/>
  <c r="ER9" i="3"/>
  <c r="ER39" i="3" s="1"/>
  <c r="EU14" i="3"/>
  <c r="EU44" i="3" s="1"/>
  <c r="ER14" i="3"/>
  <c r="ER44" i="3" s="1"/>
  <c r="EV22" i="3"/>
  <c r="EM22" i="3"/>
  <c r="ES22" i="3"/>
  <c r="ES7" i="3"/>
  <c r="ES37" i="3" s="1"/>
  <c r="ET8" i="3"/>
  <c r="EP9" i="3"/>
  <c r="EP39" i="3" s="1"/>
  <c r="ER8" i="3"/>
  <c r="EM8" i="3"/>
  <c r="EM38" i="3" s="1"/>
  <c r="EV7" i="3"/>
  <c r="EV37" i="3" s="1"/>
  <c r="EP7" i="3"/>
  <c r="EP37" i="3" s="1"/>
  <c r="EN7" i="3"/>
  <c r="EN37" i="3" s="1"/>
  <c r="EU16" i="3"/>
  <c r="EU46" i="3" s="1"/>
  <c r="EP16" i="3"/>
  <c r="EP46" i="3" s="1"/>
  <c r="EU8" i="3"/>
  <c r="EP14" i="3"/>
  <c r="EP44" i="3" s="1"/>
  <c r="ER16" i="3"/>
  <c r="ER46" i="3" s="1"/>
  <c r="EV8" i="3"/>
  <c r="EV38" i="3" s="1"/>
  <c r="EN8" i="3"/>
  <c r="ES8" i="3"/>
  <c r="ES38" i="3" s="1"/>
  <c r="ET14" i="3"/>
  <c r="ET44" i="3" s="1"/>
  <c r="EO8" i="3"/>
  <c r="W3" i="4"/>
  <c r="CO27" i="3"/>
  <c r="CO57" i="3" s="1"/>
  <c r="CW28" i="3"/>
  <c r="CW58" i="3" s="1"/>
  <c r="CR10" i="3"/>
  <c r="CT10" i="3"/>
  <c r="CR11" i="3"/>
  <c r="CR41" i="3" s="1"/>
  <c r="CT11" i="3"/>
  <c r="CT41" i="3" s="1"/>
  <c r="CV12" i="3"/>
  <c r="CO13" i="3"/>
  <c r="CO43" i="3" s="1"/>
  <c r="CT13" i="3"/>
  <c r="CT43" i="3" s="1"/>
  <c r="CT27" i="3"/>
  <c r="CT57" i="3" s="1"/>
  <c r="CR28" i="3"/>
  <c r="CR58" i="3" s="1"/>
  <c r="CV28" i="3"/>
  <c r="CV58" i="3" s="1"/>
  <c r="CX11" i="3"/>
  <c r="CX41" i="3" s="1"/>
  <c r="CQ12" i="3"/>
  <c r="CQ42" i="3" s="1"/>
  <c r="CR12" i="3"/>
  <c r="CR42" i="3" s="1"/>
  <c r="CQ13" i="3"/>
  <c r="CQ43" i="3" s="1"/>
  <c r="CS27" i="3"/>
  <c r="CS57" i="3" s="1"/>
  <c r="CV27" i="3"/>
  <c r="CU28" i="3"/>
  <c r="CU58" i="3" s="1"/>
  <c r="CQ10" i="3"/>
  <c r="CV10" i="3"/>
  <c r="CX12" i="3"/>
  <c r="CX42" i="3" s="1"/>
  <c r="CU12" i="3"/>
  <c r="CU42" i="3" s="1"/>
  <c r="CW13" i="3"/>
  <c r="CW43" i="3" s="1"/>
  <c r="CR27" i="3"/>
  <c r="CR57" i="3" s="1"/>
  <c r="CQ27" i="3"/>
  <c r="CQ57" i="3" s="1"/>
  <c r="CQ28" i="3"/>
  <c r="CQ58" i="3" s="1"/>
  <c r="CS10" i="3"/>
  <c r="CW11" i="3"/>
  <c r="CT12" i="3"/>
  <c r="CT42" i="3" s="1"/>
  <c r="CV13" i="3"/>
  <c r="CR13" i="3"/>
  <c r="CR43" i="3" s="1"/>
  <c r="CX27" i="3"/>
  <c r="CX57" i="3" s="1"/>
  <c r="CX28" i="3"/>
  <c r="CX58" i="3" s="1"/>
  <c r="CQ11" i="3"/>
  <c r="CQ41" i="3" s="1"/>
  <c r="CP12" i="3"/>
  <c r="CP42" i="3" s="1"/>
  <c r="CS12" i="3"/>
  <c r="CS42" i="3" s="1"/>
  <c r="CP27" i="3"/>
  <c r="CP57" i="3" s="1"/>
  <c r="CP28" i="3"/>
  <c r="CP58" i="3" s="1"/>
  <c r="CP10" i="3"/>
  <c r="CU10" i="3"/>
  <c r="CP11" i="3"/>
  <c r="CP41" i="3" s="1"/>
  <c r="CV11" i="3"/>
  <c r="CV41" i="3" s="1"/>
  <c r="CX13" i="3"/>
  <c r="CX43" i="3" s="1"/>
  <c r="CU13" i="3"/>
  <c r="CU43" i="3" s="1"/>
  <c r="CS11" i="3"/>
  <c r="CS41" i="3" s="1"/>
  <c r="CS13" i="3"/>
  <c r="CS43" i="3" s="1"/>
  <c r="CR9" i="3"/>
  <c r="CR39" i="3" s="1"/>
  <c r="CP9" i="3"/>
  <c r="CP39" i="3" s="1"/>
  <c r="CT9" i="3"/>
  <c r="CT39" i="3" s="1"/>
  <c r="CX20" i="3"/>
  <c r="CX50" i="3" s="1"/>
  <c r="CT20" i="3"/>
  <c r="CT50" i="3" s="1"/>
  <c r="CS28" i="3"/>
  <c r="CS58" i="3" s="1"/>
  <c r="CU11" i="3"/>
  <c r="CU41" i="3" s="1"/>
  <c r="CO28" i="3"/>
  <c r="CO58" i="3" s="1"/>
  <c r="CW9" i="3"/>
  <c r="CX15" i="3"/>
  <c r="CW20" i="3"/>
  <c r="CW50" i="3" s="1"/>
  <c r="CT28" i="3"/>
  <c r="CT58" i="3" s="1"/>
  <c r="CV9" i="3"/>
  <c r="CV39" i="3" s="1"/>
  <c r="CU27" i="3"/>
  <c r="CU57" i="3" s="1"/>
  <c r="CP13" i="3"/>
  <c r="CP43" i="3" s="1"/>
  <c r="CU9" i="3"/>
  <c r="CU39" i="3" s="1"/>
  <c r="CO12" i="3"/>
  <c r="CO42" i="3" s="1"/>
  <c r="CR20" i="3"/>
  <c r="CR50" i="3" s="1"/>
  <c r="CS20" i="3"/>
  <c r="CS50" i="3" s="1"/>
  <c r="CW12" i="3"/>
  <c r="CW42" i="3" s="1"/>
  <c r="CU20" i="3"/>
  <c r="CU50" i="3" s="1"/>
  <c r="CU21" i="3"/>
  <c r="CU51" i="3" s="1"/>
  <c r="CS7" i="3"/>
  <c r="CS37" i="3" s="1"/>
  <c r="CS9" i="3"/>
  <c r="CS39" i="3" s="1"/>
  <c r="CQ21" i="3"/>
  <c r="CQ51" i="3" s="1"/>
  <c r="CT21" i="3"/>
  <c r="CT51" i="3" s="1"/>
  <c r="CS14" i="3"/>
  <c r="CS44" i="3" s="1"/>
  <c r="CX22" i="3"/>
  <c r="CS22" i="3"/>
  <c r="CQ7" i="3"/>
  <c r="CQ37" i="3" s="1"/>
  <c r="CX7" i="3"/>
  <c r="CX37" i="3" s="1"/>
  <c r="CU16" i="3"/>
  <c r="CU46" i="3" s="1"/>
  <c r="CX16" i="3"/>
  <c r="CX46" i="3" s="1"/>
  <c r="CS8" i="3"/>
  <c r="CS38" i="3" s="1"/>
  <c r="CR21" i="3"/>
  <c r="CR51" i="3" s="1"/>
  <c r="CW14" i="3"/>
  <c r="CW44" i="3" s="1"/>
  <c r="CP22" i="3"/>
  <c r="CQ22" i="3"/>
  <c r="CP7" i="3"/>
  <c r="CP37" i="3" s="1"/>
  <c r="CT16" i="3"/>
  <c r="CT46" i="3" s="1"/>
  <c r="CP16" i="3"/>
  <c r="CP46" i="3" s="1"/>
  <c r="CQ9" i="3"/>
  <c r="CQ39" i="3" s="1"/>
  <c r="CQ20" i="3"/>
  <c r="CQ50" i="3" s="1"/>
  <c r="CX21" i="3"/>
  <c r="CX51" i="3" s="1"/>
  <c r="CS21" i="3"/>
  <c r="CS51" i="3" s="1"/>
  <c r="CO14" i="3"/>
  <c r="CO44" i="3" s="1"/>
  <c r="CW22" i="3"/>
  <c r="CR22" i="3"/>
  <c r="CW7" i="3"/>
  <c r="CW16" i="3"/>
  <c r="CW46" i="3" s="1"/>
  <c r="CO11" i="3"/>
  <c r="CO41" i="3" s="1"/>
  <c r="CX9" i="3"/>
  <c r="CX39" i="3" s="1"/>
  <c r="CP20" i="3"/>
  <c r="CP50" i="3" s="1"/>
  <c r="CP21" i="3"/>
  <c r="CP51" i="3" s="1"/>
  <c r="CP14" i="3"/>
  <c r="CP44" i="3" s="1"/>
  <c r="CR14" i="3"/>
  <c r="CR44" i="3" s="1"/>
  <c r="CO22" i="3"/>
  <c r="CR7" i="3"/>
  <c r="CR37" i="3" s="1"/>
  <c r="CS16" i="3"/>
  <c r="CS46" i="3" s="1"/>
  <c r="CW27" i="3"/>
  <c r="CW57" i="3" s="1"/>
  <c r="CO20" i="3"/>
  <c r="CO50" i="3" s="1"/>
  <c r="CW21" i="3"/>
  <c r="CW51" i="3" s="1"/>
  <c r="CV14" i="3"/>
  <c r="CX14" i="3"/>
  <c r="CX44" i="3" s="1"/>
  <c r="CV22" i="3"/>
  <c r="CU7" i="3"/>
  <c r="CU37" i="3" s="1"/>
  <c r="CV7" i="3"/>
  <c r="CV37" i="3" s="1"/>
  <c r="CV16" i="3"/>
  <c r="CO9" i="3"/>
  <c r="CO39" i="3" s="1"/>
  <c r="CV20" i="3"/>
  <c r="CU14" i="3"/>
  <c r="CU44" i="3" s="1"/>
  <c r="CU22" i="3"/>
  <c r="CU8" i="3"/>
  <c r="CU38" i="3" s="1"/>
  <c r="CT14" i="3"/>
  <c r="CT44" i="3" s="1"/>
  <c r="CT22" i="3"/>
  <c r="CO21" i="3"/>
  <c r="CO51" i="3" s="1"/>
  <c r="CR16" i="3"/>
  <c r="CR46" i="3" s="1"/>
  <c r="CV21" i="3"/>
  <c r="CQ14" i="3"/>
  <c r="CQ44" i="3" s="1"/>
  <c r="CQ16" i="3"/>
  <c r="CQ46" i="3" s="1"/>
  <c r="CX8" i="3"/>
  <c r="CX38" i="3" s="1"/>
  <c r="CT7" i="3"/>
  <c r="CT37" i="3" s="1"/>
  <c r="CO16" i="3"/>
  <c r="CO46" i="3" s="1"/>
  <c r="CQ8" i="3"/>
  <c r="CQ38" i="3" s="1"/>
  <c r="CT8" i="3"/>
  <c r="CT38" i="3" s="1"/>
  <c r="CR8" i="3"/>
  <c r="CR38" i="3" s="1"/>
  <c r="CP8" i="3"/>
  <c r="CP38" i="3" s="1"/>
  <c r="CW8" i="3"/>
  <c r="CV8" i="3"/>
  <c r="CV38" i="3" s="1"/>
  <c r="EW10" i="3"/>
  <c r="CK11" i="3"/>
  <c r="CA11" i="3"/>
  <c r="CJ11" i="3"/>
  <c r="BZ11" i="3"/>
  <c r="BU11" i="3"/>
  <c r="CE11" i="3"/>
  <c r="CC11" i="3"/>
  <c r="CM11" i="3"/>
  <c r="AA3" i="4"/>
  <c r="CN11" i="3"/>
  <c r="CD11" i="3"/>
  <c r="BX11" i="3"/>
  <c r="CH11" i="3"/>
  <c r="CG11" i="3"/>
  <c r="BW11" i="3"/>
  <c r="CB11" i="3"/>
  <c r="CL11" i="3"/>
  <c r="AB3" i="4"/>
  <c r="CI11" i="3"/>
  <c r="BY11" i="3"/>
  <c r="BV11" i="3"/>
  <c r="CF11" i="3"/>
  <c r="C16" i="6"/>
  <c r="B15" i="6"/>
  <c r="A15" i="6" s="1"/>
  <c r="D15" i="6"/>
  <c r="E21" i="3"/>
  <c r="FP21" i="3" s="1"/>
  <c r="BV13" i="3"/>
  <c r="CF13" i="3"/>
  <c r="BZ22" i="3"/>
  <c r="CJ22" i="3"/>
  <c r="CC7" i="3"/>
  <c r="CM7" i="3"/>
  <c r="CA21" i="3"/>
  <c r="CK21" i="3"/>
  <c r="CC9" i="3"/>
  <c r="CM9" i="3"/>
  <c r="BY27" i="3"/>
  <c r="CI27" i="3"/>
  <c r="CB13" i="3"/>
  <c r="CL13" i="3"/>
  <c r="BX13" i="3"/>
  <c r="CH13" i="3"/>
  <c r="CC14" i="3"/>
  <c r="CM14" i="3"/>
  <c r="CB16" i="3"/>
  <c r="CL16" i="3"/>
  <c r="CC22" i="3"/>
  <c r="CM22" i="3"/>
  <c r="BV22" i="3"/>
  <c r="CF22" i="3"/>
  <c r="BV28" i="3"/>
  <c r="CF28" i="3"/>
  <c r="CA12" i="3"/>
  <c r="CK12" i="3"/>
  <c r="BY7" i="3"/>
  <c r="CI7" i="3"/>
  <c r="BY20" i="3"/>
  <c r="CI20" i="3"/>
  <c r="BV20" i="3"/>
  <c r="CF20" i="3"/>
  <c r="CA9" i="3"/>
  <c r="CK9" i="3"/>
  <c r="BY14" i="3"/>
  <c r="CI14" i="3"/>
  <c r="BY22" i="3"/>
  <c r="CI22" i="3"/>
  <c r="CB14" i="3"/>
  <c r="CL14" i="3"/>
  <c r="CA10" i="3"/>
  <c r="CK10" i="3"/>
  <c r="CD27" i="3"/>
  <c r="CN27" i="3"/>
  <c r="BT8" i="3"/>
  <c r="BV27" i="3"/>
  <c r="CF27" i="3"/>
  <c r="CA13" i="3"/>
  <c r="CK13" i="3"/>
  <c r="BY13" i="3"/>
  <c r="CI13" i="3"/>
  <c r="BZ14" i="3"/>
  <c r="CJ14" i="3"/>
  <c r="BU16" i="3"/>
  <c r="CE16" i="3"/>
  <c r="BX10" i="3"/>
  <c r="CH10" i="3"/>
  <c r="BU22" i="3"/>
  <c r="CE22" i="3"/>
  <c r="CA22" i="3"/>
  <c r="CK22" i="3"/>
  <c r="CC28" i="3"/>
  <c r="CM28" i="3"/>
  <c r="BX12" i="3"/>
  <c r="CH12" i="3"/>
  <c r="BZ7" i="3"/>
  <c r="CJ7" i="3"/>
  <c r="BW20" i="3"/>
  <c r="CG20" i="3"/>
  <c r="CC20" i="3"/>
  <c r="CM20" i="3"/>
  <c r="BV21" i="3"/>
  <c r="CF21" i="3"/>
  <c r="BU9" i="3"/>
  <c r="CE9" i="3"/>
  <c r="CD16" i="3"/>
  <c r="CN16" i="3"/>
  <c r="CD13" i="3"/>
  <c r="CN13" i="3"/>
  <c r="CD28" i="3"/>
  <c r="CN28" i="3"/>
  <c r="CA16" i="3"/>
  <c r="CK16" i="3"/>
  <c r="BZ12" i="3"/>
  <c r="CJ12" i="3"/>
  <c r="CC27" i="3"/>
  <c r="CM27" i="3"/>
  <c r="CB10" i="3"/>
  <c r="CL10" i="3"/>
  <c r="CE7" i="3"/>
  <c r="CB20" i="3"/>
  <c r="CL20" i="3"/>
  <c r="CD22" i="3"/>
  <c r="CN22" i="3"/>
  <c r="BZ27" i="3"/>
  <c r="CJ27" i="3"/>
  <c r="BW13" i="3"/>
  <c r="CG13" i="3"/>
  <c r="BU14" i="3"/>
  <c r="CE14" i="3"/>
  <c r="BV14" i="3"/>
  <c r="CF14" i="3"/>
  <c r="CC16" i="3"/>
  <c r="CM16" i="3"/>
  <c r="CB22" i="3"/>
  <c r="CL22" i="3"/>
  <c r="BW28" i="3"/>
  <c r="CG28" i="3"/>
  <c r="BX28" i="3"/>
  <c r="CH28" i="3"/>
  <c r="CB12" i="3"/>
  <c r="CL12" i="3"/>
  <c r="BV7" i="3"/>
  <c r="CF7" i="3"/>
  <c r="BZ20" i="3"/>
  <c r="CJ20" i="3"/>
  <c r="CB21" i="3"/>
  <c r="CL21" i="3"/>
  <c r="BX21" i="3"/>
  <c r="CH21" i="3"/>
  <c r="BX9" i="3"/>
  <c r="CH9" i="3"/>
  <c r="BW10" i="3"/>
  <c r="CG10" i="3"/>
  <c r="BX27" i="3"/>
  <c r="CH27" i="3"/>
  <c r="BX16" i="3"/>
  <c r="CH16" i="3"/>
  <c r="CB28" i="3"/>
  <c r="CL28" i="3"/>
  <c r="CD7" i="3"/>
  <c r="CN7" i="3"/>
  <c r="CA27" i="3"/>
  <c r="CK27" i="3"/>
  <c r="CC13" i="3"/>
  <c r="CM13" i="3"/>
  <c r="BW14" i="3"/>
  <c r="CG14" i="3"/>
  <c r="CA14" i="3"/>
  <c r="CK14" i="3"/>
  <c r="BV16" i="3"/>
  <c r="CF16" i="3"/>
  <c r="BY10" i="3"/>
  <c r="CI10" i="3"/>
  <c r="BW22" i="3"/>
  <c r="CG22" i="3"/>
  <c r="BZ28" i="3"/>
  <c r="CJ28" i="3"/>
  <c r="BU28" i="3"/>
  <c r="CE28" i="3"/>
  <c r="BV12" i="3"/>
  <c r="CF12" i="3"/>
  <c r="BW7" i="3"/>
  <c r="CG7" i="3"/>
  <c r="BU20" i="3"/>
  <c r="CE20" i="3"/>
  <c r="BU21" i="3"/>
  <c r="CE21" i="3"/>
  <c r="BY21" i="3"/>
  <c r="CI21" i="3"/>
  <c r="CD10" i="3"/>
  <c r="CN10" i="3"/>
  <c r="CD12" i="3"/>
  <c r="CN12" i="3"/>
  <c r="CD20" i="3"/>
  <c r="CN20" i="3"/>
  <c r="BZ10" i="3"/>
  <c r="CJ10" i="3"/>
  <c r="BW27" i="3"/>
  <c r="CG27" i="3"/>
  <c r="BX14" i="3"/>
  <c r="CH14" i="3"/>
  <c r="BY16" i="3"/>
  <c r="CI16" i="3"/>
  <c r="BW16" i="3"/>
  <c r="CG16" i="3"/>
  <c r="CC10" i="3"/>
  <c r="CM10" i="3"/>
  <c r="BX22" i="3"/>
  <c r="CH22" i="3"/>
  <c r="BY28" i="3"/>
  <c r="CI28" i="3"/>
  <c r="BY12" i="3"/>
  <c r="CI12" i="3"/>
  <c r="CC12" i="3"/>
  <c r="CM12" i="3"/>
  <c r="CA7" i="3"/>
  <c r="CK7" i="3"/>
  <c r="BX20" i="3"/>
  <c r="CH20" i="3"/>
  <c r="BW21" i="3"/>
  <c r="CG21" i="3"/>
  <c r="BZ9" i="3"/>
  <c r="CJ9" i="3"/>
  <c r="BW9" i="3"/>
  <c r="CG9" i="3"/>
  <c r="BU27" i="3"/>
  <c r="CE27" i="3"/>
  <c r="BZ21" i="3"/>
  <c r="CJ21" i="3"/>
  <c r="CB27" i="3"/>
  <c r="CL27" i="3"/>
  <c r="BZ13" i="3"/>
  <c r="CJ13" i="3"/>
  <c r="BZ16" i="3"/>
  <c r="CJ16" i="3"/>
  <c r="BW12" i="3"/>
  <c r="CG12" i="3"/>
  <c r="BU12" i="3"/>
  <c r="CE12" i="3"/>
  <c r="CC21" i="3"/>
  <c r="CM21" i="3"/>
  <c r="BV9" i="3"/>
  <c r="CF9" i="3"/>
  <c r="BY9" i="3"/>
  <c r="CI9" i="3"/>
  <c r="CD21" i="3"/>
  <c r="CN21" i="3"/>
  <c r="CD9" i="3"/>
  <c r="CN9" i="3"/>
  <c r="CD14" i="3"/>
  <c r="CN14" i="3"/>
  <c r="BX7" i="3"/>
  <c r="CB7" i="3"/>
  <c r="BV10" i="3"/>
  <c r="CB9" i="3"/>
  <c r="BU13" i="3"/>
  <c r="CA20" i="3"/>
  <c r="CA28" i="3"/>
  <c r="BU10" i="3"/>
  <c r="BM8" i="3"/>
  <c r="BN8" i="3"/>
  <c r="BS8" i="3"/>
  <c r="BR8" i="3"/>
  <c r="CL8" i="3" s="1"/>
  <c r="BK8" i="3"/>
  <c r="CE8" i="3" s="1"/>
  <c r="BL8" i="3"/>
  <c r="BQ8" i="3"/>
  <c r="CK8" i="3" s="1"/>
  <c r="BO8" i="3"/>
  <c r="BP8" i="3"/>
  <c r="CJ8" i="3" s="1"/>
  <c r="B8" i="3"/>
  <c r="A16" i="5"/>
  <c r="F8" i="3"/>
  <c r="FO8" i="3" s="1"/>
  <c r="D23" i="3"/>
  <c r="T24" i="3"/>
  <c r="S22" i="3"/>
  <c r="Y22" i="3" s="1"/>
  <c r="G18" i="5"/>
  <c r="U17" i="3"/>
  <c r="A7" i="5"/>
  <c r="B12" i="3"/>
  <c r="B9" i="3"/>
  <c r="A4" i="5"/>
  <c r="A23" i="5"/>
  <c r="B28" i="3"/>
  <c r="U18" i="3"/>
  <c r="A15" i="5"/>
  <c r="B20" i="3"/>
  <c r="A22" i="5"/>
  <c r="B27" i="3"/>
  <c r="A11" i="5"/>
  <c r="B16" i="3"/>
  <c r="I26" i="5"/>
  <c r="T30" i="3"/>
  <c r="H20" i="5"/>
  <c r="D24" i="3"/>
  <c r="V24" i="3" s="1"/>
  <c r="U15" i="3"/>
  <c r="U29" i="3"/>
  <c r="A2" i="5"/>
  <c r="B7" i="3"/>
  <c r="I21" i="5"/>
  <c r="T26" i="3" s="1"/>
  <c r="T25" i="3"/>
  <c r="G27" i="5"/>
  <c r="S31" i="3"/>
  <c r="U19" i="3"/>
  <c r="D30" i="3"/>
  <c r="V30" i="3" s="1"/>
  <c r="H26" i="5"/>
  <c r="FO7" i="3"/>
  <c r="A5" i="5"/>
  <c r="EB40" i="3" l="1"/>
  <c r="CY40" i="3"/>
  <c r="DL42" i="3"/>
  <c r="DQ42" i="3"/>
  <c r="DO52" i="3"/>
  <c r="Z22" i="3"/>
  <c r="CR17" i="3"/>
  <c r="Z17" i="3"/>
  <c r="Y17" i="3"/>
  <c r="AF17" i="3"/>
  <c r="X17" i="3"/>
  <c r="AE17" i="3"/>
  <c r="AD17" i="3"/>
  <c r="W17" i="3"/>
  <c r="AC17" i="3"/>
  <c r="AB17" i="3"/>
  <c r="AA17" i="3"/>
  <c r="CM47" i="3" s="1"/>
  <c r="CV17" i="3"/>
  <c r="CV47" i="3" s="1"/>
  <c r="CS17" i="3"/>
  <c r="CS47" i="3" s="1"/>
  <c r="CU40" i="3"/>
  <c r="EO40" i="3"/>
  <c r="EI40" i="3"/>
  <c r="DK40" i="3"/>
  <c r="DI42" i="3"/>
  <c r="CM40" i="3"/>
  <c r="B10" i="3"/>
  <c r="DO42" i="3"/>
  <c r="AD22" i="3"/>
  <c r="AD29" i="3"/>
  <c r="AE29" i="3"/>
  <c r="AC29" i="3"/>
  <c r="AB29" i="3"/>
  <c r="AA29" i="3"/>
  <c r="CM59" i="3" s="1"/>
  <c r="W29" i="3"/>
  <c r="Z29" i="3"/>
  <c r="Y29" i="3"/>
  <c r="AF29" i="3"/>
  <c r="X29" i="3"/>
  <c r="CO19" i="3"/>
  <c r="CO49" i="3" s="1"/>
  <c r="AF19" i="3"/>
  <c r="X19" i="3"/>
  <c r="AE19" i="3"/>
  <c r="AD19" i="3"/>
  <c r="AC19" i="3"/>
  <c r="Y19" i="3"/>
  <c r="AB19" i="3"/>
  <c r="AA19" i="3"/>
  <c r="CM49" i="3" s="1"/>
  <c r="W19" i="3"/>
  <c r="Z19" i="3"/>
  <c r="CT15" i="3"/>
  <c r="AB15" i="3"/>
  <c r="AA15" i="3"/>
  <c r="CM45" i="3" s="1"/>
  <c r="CX45" i="3" s="1"/>
  <c r="W15" i="3"/>
  <c r="Z15" i="3"/>
  <c r="Y15" i="3"/>
  <c r="AF15" i="3"/>
  <c r="X15" i="3"/>
  <c r="AE15" i="3"/>
  <c r="AC15" i="3"/>
  <c r="AD15" i="3"/>
  <c r="CO17" i="3"/>
  <c r="CO47" i="3" s="1"/>
  <c r="CW15" i="3"/>
  <c r="CR52" i="3"/>
  <c r="EU38" i="3"/>
  <c r="ER38" i="3"/>
  <c r="EU40" i="3"/>
  <c r="EN40" i="3"/>
  <c r="EP40" i="3"/>
  <c r="DX52" i="3"/>
  <c r="DV40" i="3"/>
  <c r="EH40" i="3"/>
  <c r="EK42" i="3"/>
  <c r="EC42" i="3"/>
  <c r="DC52" i="3"/>
  <c r="DC40" i="3"/>
  <c r="DB42" i="3"/>
  <c r="DM40" i="3"/>
  <c r="DR40" i="3"/>
  <c r="DP51" i="3"/>
  <c r="DQ57" i="3"/>
  <c r="DK44" i="3"/>
  <c r="DJ51" i="3"/>
  <c r="DR39" i="3"/>
  <c r="W22" i="3"/>
  <c r="CW17" i="3"/>
  <c r="CW47" i="3" s="1"/>
  <c r="CU29" i="3"/>
  <c r="CU59" i="3" s="1"/>
  <c r="EO38" i="3"/>
  <c r="ET40" i="3"/>
  <c r="DU52" i="3"/>
  <c r="DX40" i="3"/>
  <c r="DW40" i="3"/>
  <c r="EG40" i="3"/>
  <c r="EH42" i="3"/>
  <c r="EI42" i="3"/>
  <c r="EJ40" i="3"/>
  <c r="DH42" i="3"/>
  <c r="DD42" i="3"/>
  <c r="DN51" i="3"/>
  <c r="AA22" i="3"/>
  <c r="CM52" i="3" s="1"/>
  <c r="DS52" i="3" s="1"/>
  <c r="CQ17" i="3"/>
  <c r="CQ47" i="3" s="1"/>
  <c r="DT40" i="3"/>
  <c r="E12" i="3"/>
  <c r="JW12" i="3" s="1"/>
  <c r="JY12" i="3" s="1"/>
  <c r="CQ15" i="3"/>
  <c r="CQ45" i="3" s="1"/>
  <c r="EM17" i="3"/>
  <c r="ET38" i="3"/>
  <c r="EP38" i="3"/>
  <c r="DZ40" i="3"/>
  <c r="EF52" i="3"/>
  <c r="ED42" i="3"/>
  <c r="EC40" i="3"/>
  <c r="DG42" i="3"/>
  <c r="DE42" i="3"/>
  <c r="DP42" i="3"/>
  <c r="CO38" i="3"/>
  <c r="DN39" i="3"/>
  <c r="DI57" i="3"/>
  <c r="DO44" i="3"/>
  <c r="DJ39" i="3"/>
  <c r="AE22" i="3"/>
  <c r="AB22" i="3"/>
  <c r="DJ58" i="3"/>
  <c r="CS52" i="3"/>
  <c r="EG42" i="3"/>
  <c r="EE40" i="3"/>
  <c r="ED40" i="3"/>
  <c r="DA40" i="3"/>
  <c r="DD40" i="3"/>
  <c r="DG40" i="3"/>
  <c r="DE40" i="3"/>
  <c r="DC42" i="3"/>
  <c r="DK38" i="3"/>
  <c r="DP44" i="3"/>
  <c r="DN44" i="3"/>
  <c r="DJ57" i="3"/>
  <c r="DM42" i="3"/>
  <c r="DI44" i="3"/>
  <c r="DP39" i="3"/>
  <c r="X22" i="3"/>
  <c r="AC22" i="3"/>
  <c r="DK42" i="3"/>
  <c r="CQ18" i="3"/>
  <c r="Y18" i="3"/>
  <c r="AF18" i="3"/>
  <c r="X18" i="3"/>
  <c r="Z18" i="3"/>
  <c r="AE18" i="3"/>
  <c r="AD18" i="3"/>
  <c r="AC18" i="3"/>
  <c r="AB18" i="3"/>
  <c r="AA18" i="3"/>
  <c r="CM48" i="3" s="1"/>
  <c r="W18" i="3"/>
  <c r="CV40" i="3"/>
  <c r="EQ38" i="3"/>
  <c r="E22" i="3"/>
  <c r="CS40" i="3"/>
  <c r="CQ40" i="3"/>
  <c r="CT40" i="3"/>
  <c r="EN38" i="3"/>
  <c r="ES52" i="3"/>
  <c r="ES40" i="3"/>
  <c r="DS40" i="3"/>
  <c r="DZ52" i="3"/>
  <c r="ED52" i="3"/>
  <c r="EF42" i="3"/>
  <c r="EF40" i="3"/>
  <c r="DG52" i="3"/>
  <c r="DF42" i="3"/>
  <c r="DH40" i="3"/>
  <c r="DN42" i="3"/>
  <c r="DR42" i="3"/>
  <c r="DN52" i="3"/>
  <c r="DK52" i="3"/>
  <c r="DM51" i="3"/>
  <c r="DK39" i="3"/>
  <c r="DN57" i="3"/>
  <c r="DJ52" i="3"/>
  <c r="AF22" i="3"/>
  <c r="EN52" i="3"/>
  <c r="CY52" i="3"/>
  <c r="CZ42" i="3"/>
  <c r="DI40" i="3"/>
  <c r="DO40" i="3"/>
  <c r="DO51" i="3"/>
  <c r="DQ51" i="3"/>
  <c r="DM52" i="3"/>
  <c r="EW28" i="3"/>
  <c r="E13" i="3"/>
  <c r="JW13" i="3" s="1"/>
  <c r="JY13" i="3" s="1"/>
  <c r="EX12" i="3"/>
  <c r="EX21" i="3"/>
  <c r="EX8" i="3"/>
  <c r="E20" i="3"/>
  <c r="FP20" i="3" s="1"/>
  <c r="EX28" i="3"/>
  <c r="E10" i="3"/>
  <c r="JW10" i="3" s="1"/>
  <c r="JY10" i="3" s="1"/>
  <c r="EX11" i="3"/>
  <c r="EM41" i="3"/>
  <c r="EX9" i="3"/>
  <c r="EM39" i="3"/>
  <c r="E14" i="3"/>
  <c r="JW14" i="3" s="1"/>
  <c r="JY14" i="3" s="1"/>
  <c r="DW44" i="3"/>
  <c r="E9" i="3"/>
  <c r="JX9" i="3" s="1"/>
  <c r="DW39" i="3"/>
  <c r="EW27" i="3"/>
  <c r="CV57" i="3"/>
  <c r="EX7" i="3"/>
  <c r="EM37" i="3"/>
  <c r="EW14" i="3"/>
  <c r="CV44" i="3"/>
  <c r="EW7" i="3"/>
  <c r="CW37" i="3"/>
  <c r="E28" i="3"/>
  <c r="FP28" i="3" s="1"/>
  <c r="DW58" i="3"/>
  <c r="EX20" i="3"/>
  <c r="EN50" i="3"/>
  <c r="EW20" i="3"/>
  <c r="CV50" i="3"/>
  <c r="EW9" i="3"/>
  <c r="CW39" i="3"/>
  <c r="EX14" i="3"/>
  <c r="EM44" i="3"/>
  <c r="EW13" i="3"/>
  <c r="CV43" i="3"/>
  <c r="EW12" i="3"/>
  <c r="CV42" i="3"/>
  <c r="EX27" i="3"/>
  <c r="EN57" i="3"/>
  <c r="EX10" i="3"/>
  <c r="EM40" i="3"/>
  <c r="E27" i="3"/>
  <c r="FP27" i="3" s="1"/>
  <c r="DW57" i="3"/>
  <c r="E11" i="3"/>
  <c r="JW11" i="3" s="1"/>
  <c r="JY11" i="3" s="1"/>
  <c r="DW41" i="3"/>
  <c r="EW8" i="3"/>
  <c r="CW38" i="3"/>
  <c r="EW16" i="3"/>
  <c r="CV46" i="3"/>
  <c r="EW11" i="3"/>
  <c r="CW41" i="3"/>
  <c r="E16" i="3"/>
  <c r="FP16" i="3" s="1"/>
  <c r="DW46" i="3"/>
  <c r="EW21" i="3"/>
  <c r="CV51" i="3"/>
  <c r="EW22" i="3"/>
  <c r="CV52" i="3"/>
  <c r="EX16" i="3"/>
  <c r="EN46" i="3"/>
  <c r="EX13" i="3"/>
  <c r="EM43" i="3"/>
  <c r="FP7" i="3"/>
  <c r="DW37" i="3"/>
  <c r="DP29" i="3"/>
  <c r="DP59" i="3" s="1"/>
  <c r="DI29" i="3"/>
  <c r="DI59" i="3" s="1"/>
  <c r="DR29" i="3"/>
  <c r="DR59" i="3" s="1"/>
  <c r="DL29" i="3"/>
  <c r="DL59" i="3" s="1"/>
  <c r="DJ29" i="3"/>
  <c r="DJ59" i="3" s="1"/>
  <c r="DN29" i="3"/>
  <c r="DN59" i="3" s="1"/>
  <c r="DM29" i="3"/>
  <c r="DM59" i="3" s="1"/>
  <c r="DK29" i="3"/>
  <c r="DK59" i="3" s="1"/>
  <c r="DO29" i="3"/>
  <c r="DO59" i="3" s="1"/>
  <c r="DQ29" i="3"/>
  <c r="DQ59" i="3" s="1"/>
  <c r="EC29" i="3"/>
  <c r="EC59" i="3" s="1"/>
  <c r="EL29" i="3"/>
  <c r="EL59" i="3" s="1"/>
  <c r="EF29" i="3"/>
  <c r="EF59" i="3" s="1"/>
  <c r="EH29" i="3"/>
  <c r="EH59" i="3" s="1"/>
  <c r="EA29" i="3"/>
  <c r="EA59" i="3" s="1"/>
  <c r="EG29" i="3"/>
  <c r="EG59" i="3" s="1"/>
  <c r="DT29" i="3"/>
  <c r="DT59" i="3" s="1"/>
  <c r="DV29" i="3"/>
  <c r="DV59" i="3" s="1"/>
  <c r="DA29" i="3"/>
  <c r="DA59" i="3" s="1"/>
  <c r="EO29" i="3"/>
  <c r="EO59" i="3" s="1"/>
  <c r="EU29" i="3"/>
  <c r="ET29" i="3"/>
  <c r="DF29" i="3"/>
  <c r="DF59" i="3" s="1"/>
  <c r="CZ29" i="3"/>
  <c r="CZ59" i="3" s="1"/>
  <c r="DY29" i="3"/>
  <c r="DY59" i="3" s="1"/>
  <c r="EQ29" i="3"/>
  <c r="EM29" i="3"/>
  <c r="EV29" i="3"/>
  <c r="EV59" i="3" s="1"/>
  <c r="DW29" i="3"/>
  <c r="DW59" i="3" s="1"/>
  <c r="DZ29" i="3"/>
  <c r="DZ59" i="3" s="1"/>
  <c r="ER29" i="3"/>
  <c r="ES29" i="3"/>
  <c r="DD29" i="3"/>
  <c r="DD59" i="3" s="1"/>
  <c r="CY29" i="3"/>
  <c r="CY59" i="3" s="1"/>
  <c r="EI29" i="3"/>
  <c r="EI59" i="3" s="1"/>
  <c r="EB29" i="3"/>
  <c r="EB59" i="3" s="1"/>
  <c r="EP29" i="3"/>
  <c r="DH29" i="3"/>
  <c r="DH59" i="3" s="1"/>
  <c r="DB29" i="3"/>
  <c r="DB59" i="3" s="1"/>
  <c r="DC29" i="3"/>
  <c r="DC59" i="3" s="1"/>
  <c r="EE29" i="3"/>
  <c r="EE59" i="3" s="1"/>
  <c r="EJ29" i="3"/>
  <c r="EJ59" i="3" s="1"/>
  <c r="DS29" i="3"/>
  <c r="DS59" i="3" s="1"/>
  <c r="DE29" i="3"/>
  <c r="DE59" i="3" s="1"/>
  <c r="DG29" i="3"/>
  <c r="DG59" i="3" s="1"/>
  <c r="EK29" i="3"/>
  <c r="EK59" i="3" s="1"/>
  <c r="ED29" i="3"/>
  <c r="ED59" i="3" s="1"/>
  <c r="DX29" i="3"/>
  <c r="DX59" i="3" s="1"/>
  <c r="DU29" i="3"/>
  <c r="DU59" i="3" s="1"/>
  <c r="CX17" i="3"/>
  <c r="CX47" i="3" s="1"/>
  <c r="CX29" i="3"/>
  <c r="CX59" i="3" s="1"/>
  <c r="CQ19" i="3"/>
  <c r="CQ49" i="3" s="1"/>
  <c r="CR29" i="3"/>
  <c r="CR59" i="3" s="1"/>
  <c r="CS29" i="3"/>
  <c r="CS59" i="3" s="1"/>
  <c r="EN17" i="3"/>
  <c r="DK15" i="3"/>
  <c r="DK45" i="3" s="1"/>
  <c r="DN15" i="3"/>
  <c r="DN45" i="3" s="1"/>
  <c r="DO15" i="3"/>
  <c r="DO45" i="3" s="1"/>
  <c r="DP15" i="3"/>
  <c r="DP45" i="3" s="1"/>
  <c r="DQ15" i="3"/>
  <c r="DQ45" i="3" s="1"/>
  <c r="DM15" i="3"/>
  <c r="DM45" i="3" s="1"/>
  <c r="DI15" i="3"/>
  <c r="DI45" i="3" s="1"/>
  <c r="DL15" i="3"/>
  <c r="DL45" i="3" s="1"/>
  <c r="DR15" i="3"/>
  <c r="DR45" i="3" s="1"/>
  <c r="DJ15" i="3"/>
  <c r="DJ45" i="3" s="1"/>
  <c r="DB15" i="3"/>
  <c r="DB45" i="3" s="1"/>
  <c r="EK15" i="3"/>
  <c r="EK45" i="3" s="1"/>
  <c r="DW15" i="3"/>
  <c r="DW45" i="3" s="1"/>
  <c r="DH15" i="3"/>
  <c r="DH45" i="3" s="1"/>
  <c r="EC15" i="3"/>
  <c r="EC45" i="3" s="1"/>
  <c r="EL15" i="3"/>
  <c r="EL45" i="3" s="1"/>
  <c r="DS15" i="3"/>
  <c r="DS45" i="3" s="1"/>
  <c r="EN15" i="3"/>
  <c r="ES15" i="3"/>
  <c r="EQ15" i="3"/>
  <c r="EJ15" i="3"/>
  <c r="EJ45" i="3" s="1"/>
  <c r="EA15" i="3"/>
  <c r="EA45" i="3" s="1"/>
  <c r="EU15" i="3"/>
  <c r="ER15" i="3"/>
  <c r="ET15" i="3"/>
  <c r="EF15" i="3"/>
  <c r="EF45" i="3" s="1"/>
  <c r="ED15" i="3"/>
  <c r="ED45" i="3" s="1"/>
  <c r="DU15" i="3"/>
  <c r="DU45" i="3" s="1"/>
  <c r="EP15" i="3"/>
  <c r="EP45" i="3" s="1"/>
  <c r="DE15" i="3"/>
  <c r="DE45" i="3" s="1"/>
  <c r="CY15" i="3"/>
  <c r="CY45" i="3" s="1"/>
  <c r="EI15" i="3"/>
  <c r="EI45" i="3" s="1"/>
  <c r="DZ15" i="3"/>
  <c r="DZ45" i="3" s="1"/>
  <c r="DT15" i="3"/>
  <c r="DT45" i="3" s="1"/>
  <c r="DC15" i="3"/>
  <c r="DC45" i="3" s="1"/>
  <c r="DA15" i="3"/>
  <c r="DA45" i="3" s="1"/>
  <c r="EG15" i="3"/>
  <c r="EG45" i="3" s="1"/>
  <c r="EH15" i="3"/>
  <c r="EH45" i="3" s="1"/>
  <c r="DY15" i="3"/>
  <c r="DY45" i="3" s="1"/>
  <c r="EV15" i="3"/>
  <c r="DF15" i="3"/>
  <c r="DF45" i="3" s="1"/>
  <c r="CZ15" i="3"/>
  <c r="CZ45" i="3" s="1"/>
  <c r="EE15" i="3"/>
  <c r="EE45" i="3" s="1"/>
  <c r="DX15" i="3"/>
  <c r="DX45" i="3" s="1"/>
  <c r="EM15" i="3"/>
  <c r="EM45" i="3" s="1"/>
  <c r="DD15" i="3"/>
  <c r="DD45" i="3" s="1"/>
  <c r="DG15" i="3"/>
  <c r="DG45" i="3" s="1"/>
  <c r="EB15" i="3"/>
  <c r="EB45" i="3" s="1"/>
  <c r="DV15" i="3"/>
  <c r="DV45" i="3" s="1"/>
  <c r="EO15" i="3"/>
  <c r="CO18" i="3"/>
  <c r="CO48" i="3" s="1"/>
  <c r="CW19" i="3"/>
  <c r="CX19" i="3"/>
  <c r="CX49" i="3" s="1"/>
  <c r="CW18" i="3"/>
  <c r="CW48" i="3" s="1"/>
  <c r="CQ29" i="3"/>
  <c r="CQ59" i="3" s="1"/>
  <c r="CS15" i="3"/>
  <c r="CS45" i="3" s="1"/>
  <c r="CP29" i="3"/>
  <c r="CP59" i="3" s="1"/>
  <c r="U23" i="3"/>
  <c r="V23" i="3"/>
  <c r="CR18" i="3"/>
  <c r="CR48" i="3" s="1"/>
  <c r="CS19" i="3"/>
  <c r="CS49" i="3" s="1"/>
  <c r="CT18" i="3"/>
  <c r="CT48" i="3" s="1"/>
  <c r="CP15" i="3"/>
  <c r="CP45" i="3" s="1"/>
  <c r="CO15" i="3"/>
  <c r="CO45" i="3" s="1"/>
  <c r="EP17" i="3"/>
  <c r="DN19" i="3"/>
  <c r="DP19" i="3"/>
  <c r="DM19" i="3"/>
  <c r="DL19" i="3"/>
  <c r="DL49" i="3" s="1"/>
  <c r="DO19" i="3"/>
  <c r="DJ19" i="3"/>
  <c r="DI19" i="3"/>
  <c r="DQ19" i="3"/>
  <c r="DK19" i="3"/>
  <c r="DR19" i="3"/>
  <c r="DG19" i="3"/>
  <c r="EA19" i="3"/>
  <c r="EA49" i="3" s="1"/>
  <c r="DY19" i="3"/>
  <c r="EH19" i="3"/>
  <c r="DW19" i="3"/>
  <c r="ET19" i="3"/>
  <c r="DA19" i="3"/>
  <c r="DB19" i="3"/>
  <c r="DX19" i="3"/>
  <c r="DZ19" i="3"/>
  <c r="DZ49" i="3" s="1"/>
  <c r="DF19" i="3"/>
  <c r="EG19" i="3"/>
  <c r="EK19" i="3"/>
  <c r="DU19" i="3"/>
  <c r="EO19" i="3"/>
  <c r="EQ19" i="3"/>
  <c r="DC19" i="3"/>
  <c r="EE19" i="3"/>
  <c r="EE49" i="3" s="1"/>
  <c r="ED19" i="3"/>
  <c r="EI19" i="3"/>
  <c r="EM19" i="3"/>
  <c r="EV19" i="3"/>
  <c r="CZ19" i="3"/>
  <c r="DE19" i="3"/>
  <c r="DH19" i="3"/>
  <c r="EL19" i="3"/>
  <c r="EL49" i="3" s="1"/>
  <c r="EC19" i="3"/>
  <c r="EF19" i="3"/>
  <c r="EB19" i="3"/>
  <c r="DT19" i="3"/>
  <c r="CY19" i="3"/>
  <c r="DD19" i="3"/>
  <c r="DS19" i="3"/>
  <c r="ES19" i="3"/>
  <c r="ES49" i="3" s="1"/>
  <c r="EJ19" i="3"/>
  <c r="DV19" i="3"/>
  <c r="EP19" i="3"/>
  <c r="EU19" i="3"/>
  <c r="CU15" i="3"/>
  <c r="CU45" i="3" s="1"/>
  <c r="DP18" i="3"/>
  <c r="DP48" i="3" s="1"/>
  <c r="DQ18" i="3"/>
  <c r="DQ48" i="3" s="1"/>
  <c r="DN18" i="3"/>
  <c r="DN48" i="3" s="1"/>
  <c r="DK18" i="3"/>
  <c r="DK48" i="3" s="1"/>
  <c r="DR18" i="3"/>
  <c r="DR48" i="3" s="1"/>
  <c r="DO18" i="3"/>
  <c r="DO48" i="3" s="1"/>
  <c r="DL18" i="3"/>
  <c r="DL48" i="3" s="1"/>
  <c r="DM18" i="3"/>
  <c r="DM48" i="3" s="1"/>
  <c r="DI18" i="3"/>
  <c r="DI48" i="3" s="1"/>
  <c r="DJ18" i="3"/>
  <c r="DJ48" i="3" s="1"/>
  <c r="DD18" i="3"/>
  <c r="DD48" i="3" s="1"/>
  <c r="EF18" i="3"/>
  <c r="EF48" i="3" s="1"/>
  <c r="EG18" i="3"/>
  <c r="EG48" i="3" s="1"/>
  <c r="DA18" i="3"/>
  <c r="DA48" i="3" s="1"/>
  <c r="DB18" i="3"/>
  <c r="DB48" i="3" s="1"/>
  <c r="EL18" i="3"/>
  <c r="EL48" i="3" s="1"/>
  <c r="DX18" i="3"/>
  <c r="DX48" i="3" s="1"/>
  <c r="EV18" i="3"/>
  <c r="EJ18" i="3"/>
  <c r="EJ48" i="3" s="1"/>
  <c r="EM18" i="3"/>
  <c r="EU18" i="3"/>
  <c r="ET18" i="3"/>
  <c r="DC18" i="3"/>
  <c r="DC48" i="3" s="1"/>
  <c r="DG18" i="3"/>
  <c r="DG48" i="3" s="1"/>
  <c r="DH18" i="3"/>
  <c r="DH48" i="3" s="1"/>
  <c r="EC18" i="3"/>
  <c r="EC48" i="3" s="1"/>
  <c r="EQ18" i="3"/>
  <c r="EQ48" i="3" s="1"/>
  <c r="EP18" i="3"/>
  <c r="CZ18" i="3"/>
  <c r="CZ48" i="3" s="1"/>
  <c r="DE18" i="3"/>
  <c r="DE48" i="3" s="1"/>
  <c r="DF18" i="3"/>
  <c r="DF48" i="3" s="1"/>
  <c r="EI18" i="3"/>
  <c r="EI48" i="3" s="1"/>
  <c r="EA18" i="3"/>
  <c r="EA48" i="3" s="1"/>
  <c r="DZ18" i="3"/>
  <c r="DZ48" i="3" s="1"/>
  <c r="EH18" i="3"/>
  <c r="EH48" i="3" s="1"/>
  <c r="ED18" i="3"/>
  <c r="ED48" i="3" s="1"/>
  <c r="DV18" i="3"/>
  <c r="DV48" i="3" s="1"/>
  <c r="DU18" i="3"/>
  <c r="DU48" i="3" s="1"/>
  <c r="DY18" i="3"/>
  <c r="DY48" i="3" s="1"/>
  <c r="ES18" i="3"/>
  <c r="EO18" i="3"/>
  <c r="EE18" i="3"/>
  <c r="EE48" i="3" s="1"/>
  <c r="DS18" i="3"/>
  <c r="DS48" i="3" s="1"/>
  <c r="EN18" i="3"/>
  <c r="ER18" i="3"/>
  <c r="CY18" i="3"/>
  <c r="CY48" i="3" s="1"/>
  <c r="EK18" i="3"/>
  <c r="EK48" i="3" s="1"/>
  <c r="DW18" i="3"/>
  <c r="DW48" i="3" s="1"/>
  <c r="DT18" i="3"/>
  <c r="DT48" i="3" s="1"/>
  <c r="EB18" i="3"/>
  <c r="EB48" i="3" s="1"/>
  <c r="DO17" i="3"/>
  <c r="DO47" i="3" s="1"/>
  <c r="DQ17" i="3"/>
  <c r="DQ47" i="3" s="1"/>
  <c r="DR17" i="3"/>
  <c r="DR47" i="3" s="1"/>
  <c r="DI17" i="3"/>
  <c r="DI47" i="3" s="1"/>
  <c r="DL17" i="3"/>
  <c r="DL47" i="3" s="1"/>
  <c r="DN17" i="3"/>
  <c r="DN47" i="3" s="1"/>
  <c r="DK17" i="3"/>
  <c r="DK47" i="3" s="1"/>
  <c r="DM17" i="3"/>
  <c r="DM47" i="3" s="1"/>
  <c r="DJ17" i="3"/>
  <c r="DJ47" i="3" s="1"/>
  <c r="DP17" i="3"/>
  <c r="DP47" i="3" s="1"/>
  <c r="CY17" i="3"/>
  <c r="CY47" i="3" s="1"/>
  <c r="EL17" i="3"/>
  <c r="EL47" i="3" s="1"/>
  <c r="DY17" i="3"/>
  <c r="DY47" i="3" s="1"/>
  <c r="EJ17" i="3"/>
  <c r="EJ47" i="3" s="1"/>
  <c r="ED17" i="3"/>
  <c r="ED47" i="3" s="1"/>
  <c r="EK17" i="3"/>
  <c r="EK47" i="3" s="1"/>
  <c r="DT17" i="3"/>
  <c r="DT47" i="3" s="1"/>
  <c r="EU17" i="3"/>
  <c r="EH17" i="3"/>
  <c r="EH47" i="3" s="1"/>
  <c r="DZ17" i="3"/>
  <c r="DZ47" i="3" s="1"/>
  <c r="EA17" i="3"/>
  <c r="EA47" i="3" s="1"/>
  <c r="DV17" i="3"/>
  <c r="DV47" i="3" s="1"/>
  <c r="EV17" i="3"/>
  <c r="ES17" i="3"/>
  <c r="DH17" i="3"/>
  <c r="DH47" i="3" s="1"/>
  <c r="DB17" i="3"/>
  <c r="DB47" i="3" s="1"/>
  <c r="EG17" i="3"/>
  <c r="EG47" i="3" s="1"/>
  <c r="DX17" i="3"/>
  <c r="DX47" i="3" s="1"/>
  <c r="DU17" i="3"/>
  <c r="DU47" i="3" s="1"/>
  <c r="EB17" i="3"/>
  <c r="EB47" i="3" s="1"/>
  <c r="ET17" i="3"/>
  <c r="EO17" i="3"/>
  <c r="DE17" i="3"/>
  <c r="DE47" i="3" s="1"/>
  <c r="DF17" i="3"/>
  <c r="DF47" i="3" s="1"/>
  <c r="EE17" i="3"/>
  <c r="EE47" i="3" s="1"/>
  <c r="EC17" i="3"/>
  <c r="EC47" i="3" s="1"/>
  <c r="DW17" i="3"/>
  <c r="DW47" i="3" s="1"/>
  <c r="DD17" i="3"/>
  <c r="DD47" i="3" s="1"/>
  <c r="CZ17" i="3"/>
  <c r="CZ47" i="3" s="1"/>
  <c r="EI17" i="3"/>
  <c r="EI47" i="3" s="1"/>
  <c r="ER17" i="3"/>
  <c r="ER47" i="3" s="1"/>
  <c r="DA17" i="3"/>
  <c r="DA47" i="3" s="1"/>
  <c r="EF17" i="3"/>
  <c r="EF47" i="3" s="1"/>
  <c r="DG17" i="3"/>
  <c r="DG47" i="3" s="1"/>
  <c r="DC17" i="3"/>
  <c r="DC47" i="3" s="1"/>
  <c r="DS17" i="3"/>
  <c r="DS47" i="3" s="1"/>
  <c r="CT17" i="3"/>
  <c r="CT47" i="3" s="1"/>
  <c r="CU19" i="3"/>
  <c r="CV19" i="3"/>
  <c r="CR15" i="3"/>
  <c r="CR45" i="3" s="1"/>
  <c r="CR19" i="3"/>
  <c r="CW29" i="3"/>
  <c r="CW59" i="3" s="1"/>
  <c r="CT29" i="3"/>
  <c r="CT59" i="3" s="1"/>
  <c r="CO29" i="3"/>
  <c r="CO59" i="3" s="1"/>
  <c r="CP19" i="3"/>
  <c r="EN19" i="3"/>
  <c r="EN29" i="3"/>
  <c r="ER19" i="3"/>
  <c r="CP17" i="3"/>
  <c r="CP47" i="3" s="1"/>
  <c r="CX18" i="3"/>
  <c r="CX48" i="3" s="1"/>
  <c r="CU18" i="3"/>
  <c r="CU48" i="3" s="1"/>
  <c r="CT19" i="3"/>
  <c r="CV18" i="3"/>
  <c r="CU17" i="3"/>
  <c r="CU47" i="3" s="1"/>
  <c r="CV15" i="3"/>
  <c r="CP18" i="3"/>
  <c r="CP48" i="3" s="1"/>
  <c r="CV29" i="3"/>
  <c r="CS18" i="3"/>
  <c r="CS48" i="3" s="1"/>
  <c r="EQ17" i="3"/>
  <c r="C17" i="6"/>
  <c r="B16" i="6"/>
  <c r="A16" i="6" s="1"/>
  <c r="D16" i="6"/>
  <c r="JW21" i="3"/>
  <c r="JY21" i="3" s="1"/>
  <c r="JW20" i="3"/>
  <c r="JY20" i="3" s="1"/>
  <c r="EW17" i="3"/>
  <c r="JX20" i="3"/>
  <c r="BT18" i="3"/>
  <c r="BX8" i="3"/>
  <c r="CH8" i="3"/>
  <c r="BW8" i="3"/>
  <c r="CG8" i="3"/>
  <c r="BY8" i="3"/>
  <c r="CI8" i="3"/>
  <c r="BT19" i="3"/>
  <c r="BT29" i="3"/>
  <c r="BT15" i="3"/>
  <c r="BT17" i="3"/>
  <c r="BV8" i="3"/>
  <c r="CF8" i="3"/>
  <c r="BT23" i="3"/>
  <c r="CC8" i="3"/>
  <c r="CM8" i="3"/>
  <c r="CD8" i="3"/>
  <c r="CN8" i="3"/>
  <c r="BZ8" i="3"/>
  <c r="CA8" i="3"/>
  <c r="CB8" i="3"/>
  <c r="BU8" i="3"/>
  <c r="BQ18" i="3"/>
  <c r="BP18" i="3"/>
  <c r="BK18" i="3"/>
  <c r="BO18" i="3"/>
  <c r="BM18" i="3"/>
  <c r="BN18" i="3"/>
  <c r="CH18" i="3" s="1"/>
  <c r="BS18" i="3"/>
  <c r="BL18" i="3"/>
  <c r="BR18" i="3"/>
  <c r="BS15" i="3"/>
  <c r="BR15" i="3"/>
  <c r="BQ15" i="3"/>
  <c r="BM15" i="3"/>
  <c r="CG15" i="3" s="1"/>
  <c r="BP15" i="3"/>
  <c r="BL15" i="3"/>
  <c r="BO15" i="3"/>
  <c r="BK15" i="3"/>
  <c r="BN15" i="3"/>
  <c r="FP13" i="3"/>
  <c r="BO29" i="3"/>
  <c r="CI29" i="3" s="1"/>
  <c r="BN29" i="3"/>
  <c r="CH29" i="3" s="1"/>
  <c r="BL29" i="3"/>
  <c r="BK29" i="3"/>
  <c r="BS29" i="3"/>
  <c r="BM29" i="3"/>
  <c r="BR29" i="3"/>
  <c r="BQ29" i="3"/>
  <c r="BP29" i="3"/>
  <c r="CJ29" i="3" s="1"/>
  <c r="BS19" i="3"/>
  <c r="BK19" i="3"/>
  <c r="BR19" i="3"/>
  <c r="BQ19" i="3"/>
  <c r="BP19" i="3"/>
  <c r="BL19" i="3"/>
  <c r="CF19" i="3" s="1"/>
  <c r="BM19" i="3"/>
  <c r="CG19" i="3" s="1"/>
  <c r="BO19" i="3"/>
  <c r="BN19" i="3"/>
  <c r="BO17" i="3"/>
  <c r="BM17" i="3"/>
  <c r="BP17" i="3"/>
  <c r="BN17" i="3"/>
  <c r="BK17" i="3"/>
  <c r="BS17" i="3"/>
  <c r="BQ17" i="3"/>
  <c r="BR17" i="3"/>
  <c r="BL17" i="3"/>
  <c r="BS23" i="3"/>
  <c r="BR23" i="3"/>
  <c r="BL23" i="3"/>
  <c r="BQ23" i="3"/>
  <c r="BM23" i="3"/>
  <c r="BP23" i="3"/>
  <c r="BO23" i="3"/>
  <c r="BK23" i="3"/>
  <c r="BN23" i="3"/>
  <c r="A3" i="5"/>
  <c r="B21" i="3"/>
  <c r="JX21" i="3" s="1"/>
  <c r="E8" i="3"/>
  <c r="JX8" i="3" s="1"/>
  <c r="EX22" i="3"/>
  <c r="F17" i="3"/>
  <c r="F19" i="3"/>
  <c r="F29" i="3"/>
  <c r="F15" i="3"/>
  <c r="F23" i="3"/>
  <c r="F18" i="3"/>
  <c r="JW22" i="3"/>
  <c r="JY22" i="3" s="1"/>
  <c r="FP22" i="3"/>
  <c r="A8" i="5"/>
  <c r="B13" i="3"/>
  <c r="JX13" i="3" s="1"/>
  <c r="G19" i="5"/>
  <c r="S23" i="3"/>
  <c r="U24" i="3"/>
  <c r="G28" i="5"/>
  <c r="S32" i="3"/>
  <c r="A9" i="5"/>
  <c r="B14" i="3"/>
  <c r="I27" i="5"/>
  <c r="T31" i="3"/>
  <c r="D31" i="3"/>
  <c r="V31" i="3" s="1"/>
  <c r="H27" i="5"/>
  <c r="U30" i="3"/>
  <c r="H21" i="5"/>
  <c r="D26" i="3" s="1"/>
  <c r="V26" i="3" s="1"/>
  <c r="D25" i="3"/>
  <c r="V25" i="3" s="1"/>
  <c r="EN49" i="3" l="1"/>
  <c r="CU49" i="3"/>
  <c r="EO47" i="3"/>
  <c r="ES47" i="3"/>
  <c r="EV48" i="3"/>
  <c r="DS49" i="3"/>
  <c r="DH49" i="3"/>
  <c r="DC49" i="3"/>
  <c r="DX49" i="3"/>
  <c r="DG49" i="3"/>
  <c r="DM49" i="3"/>
  <c r="CW49" i="3"/>
  <c r="EQ45" i="3"/>
  <c r="EM59" i="3"/>
  <c r="CP52" i="3"/>
  <c r="CW52" i="3"/>
  <c r="DB52" i="3"/>
  <c r="CW45" i="3"/>
  <c r="DQ40" i="3"/>
  <c r="DN40" i="3"/>
  <c r="DL40" i="3"/>
  <c r="EH52" i="3"/>
  <c r="CX40" i="3"/>
  <c r="DA52" i="3"/>
  <c r="EA52" i="3"/>
  <c r="CP49" i="3"/>
  <c r="ET47" i="3"/>
  <c r="EV47" i="3"/>
  <c r="EO48" i="3"/>
  <c r="DD49" i="3"/>
  <c r="DE49" i="3"/>
  <c r="EQ49" i="3"/>
  <c r="DB49" i="3"/>
  <c r="DR49" i="3"/>
  <c r="DP49" i="3"/>
  <c r="ES45" i="3"/>
  <c r="EQ59" i="3"/>
  <c r="DY52" i="3"/>
  <c r="DV52" i="3"/>
  <c r="CW40" i="3"/>
  <c r="DE52" i="3"/>
  <c r="CT49" i="3"/>
  <c r="ES48" i="3"/>
  <c r="CY49" i="3"/>
  <c r="CZ49" i="3"/>
  <c r="EO49" i="3"/>
  <c r="DA49" i="3"/>
  <c r="DK49" i="3"/>
  <c r="DN49" i="3"/>
  <c r="ED23" i="3"/>
  <c r="EC23" i="3"/>
  <c r="EN23" i="3"/>
  <c r="EN53" i="3" s="1"/>
  <c r="EM23" i="3"/>
  <c r="EM53" i="3" s="1"/>
  <c r="AB23" i="3"/>
  <c r="AA23" i="3"/>
  <c r="CM53" i="3" s="1"/>
  <c r="W23" i="3"/>
  <c r="Z23" i="3"/>
  <c r="Y23" i="3"/>
  <c r="AC23" i="3"/>
  <c r="AF23" i="3"/>
  <c r="X23" i="3"/>
  <c r="AE23" i="3"/>
  <c r="AD23" i="3"/>
  <c r="EO45" i="3"/>
  <c r="EN45" i="3"/>
  <c r="EC52" i="3"/>
  <c r="DL52" i="3"/>
  <c r="EB52" i="3"/>
  <c r="EM52" i="3"/>
  <c r="DR52" i="3"/>
  <c r="EJ52" i="3"/>
  <c r="EV40" i="3"/>
  <c r="AC30" i="3"/>
  <c r="AB30" i="3"/>
  <c r="W30" i="3"/>
  <c r="AA30" i="3"/>
  <c r="CM60" i="3" s="1"/>
  <c r="Z30" i="3"/>
  <c r="Y30" i="3"/>
  <c r="AF30" i="3"/>
  <c r="X30" i="3"/>
  <c r="AD30" i="3"/>
  <c r="AE30" i="3"/>
  <c r="Z24" i="3"/>
  <c r="EQ47" i="3"/>
  <c r="EU49" i="3"/>
  <c r="DT49" i="3"/>
  <c r="EV49" i="3"/>
  <c r="DU49" i="3"/>
  <c r="ET49" i="3"/>
  <c r="DQ49" i="3"/>
  <c r="EP47" i="3"/>
  <c r="ET45" i="3"/>
  <c r="ES59" i="3"/>
  <c r="CQ48" i="3"/>
  <c r="DD52" i="3"/>
  <c r="EM47" i="3"/>
  <c r="DP52" i="3"/>
  <c r="DT52" i="3"/>
  <c r="ET52" i="3"/>
  <c r="CO52" i="3"/>
  <c r="DF40" i="3"/>
  <c r="ER40" i="3"/>
  <c r="EL52" i="3"/>
  <c r="EP52" i="3"/>
  <c r="JX12" i="3"/>
  <c r="ET48" i="3"/>
  <c r="EP49" i="3"/>
  <c r="EB49" i="3"/>
  <c r="EM49" i="3"/>
  <c r="EK49" i="3"/>
  <c r="DW49" i="3"/>
  <c r="DI49" i="3"/>
  <c r="EV45" i="3"/>
  <c r="ER45" i="3"/>
  <c r="EN47" i="3"/>
  <c r="ER59" i="3"/>
  <c r="DI52" i="3"/>
  <c r="CX52" i="3"/>
  <c r="CQ52" i="3"/>
  <c r="DQ52" i="3"/>
  <c r="EK52" i="3"/>
  <c r="CT45" i="3"/>
  <c r="CU52" i="3"/>
  <c r="DF52" i="3"/>
  <c r="EQ40" i="3"/>
  <c r="EG52" i="3"/>
  <c r="EV52" i="3"/>
  <c r="FP12" i="3"/>
  <c r="CR49" i="3"/>
  <c r="ER48" i="3"/>
  <c r="EU48" i="3"/>
  <c r="DV49" i="3"/>
  <c r="EF49" i="3"/>
  <c r="EI49" i="3"/>
  <c r="EG49" i="3"/>
  <c r="EH49" i="3"/>
  <c r="DJ49" i="3"/>
  <c r="EU45" i="3"/>
  <c r="ET59" i="3"/>
  <c r="EE52" i="3"/>
  <c r="EQ52" i="3"/>
  <c r="DH52" i="3"/>
  <c r="ER52" i="3"/>
  <c r="CR47" i="3"/>
  <c r="DP40" i="3"/>
  <c r="DY40" i="3"/>
  <c r="DW52" i="3"/>
  <c r="ER49" i="3"/>
  <c r="EU47" i="3"/>
  <c r="EN48" i="3"/>
  <c r="EP48" i="3"/>
  <c r="EM48" i="3"/>
  <c r="EJ49" i="3"/>
  <c r="EC49" i="3"/>
  <c r="ED49" i="3"/>
  <c r="DF49" i="3"/>
  <c r="DY49" i="3"/>
  <c r="DO49" i="3"/>
  <c r="EP59" i="3"/>
  <c r="EU59" i="3"/>
  <c r="EO52" i="3"/>
  <c r="EI52" i="3"/>
  <c r="EK40" i="3"/>
  <c r="CT52" i="3"/>
  <c r="DJ40" i="3"/>
  <c r="EL40" i="3"/>
  <c r="CO40" i="3"/>
  <c r="DB40" i="3"/>
  <c r="DU40" i="3"/>
  <c r="CP40" i="3"/>
  <c r="CZ52" i="3"/>
  <c r="EU52" i="3"/>
  <c r="CZ40" i="3"/>
  <c r="EA40" i="3"/>
  <c r="CR40" i="3"/>
  <c r="JW28" i="3"/>
  <c r="JY28" i="3" s="1"/>
  <c r="JX28" i="3"/>
  <c r="EX17" i="3"/>
  <c r="JW9" i="3"/>
  <c r="JY9" i="3" s="1"/>
  <c r="JX7" i="3"/>
  <c r="JX27" i="3"/>
  <c r="JW7" i="3"/>
  <c r="JY7" i="3" s="1"/>
  <c r="FP9" i="3"/>
  <c r="JX10" i="3"/>
  <c r="FP10" i="3"/>
  <c r="EX15" i="3"/>
  <c r="JW27" i="3"/>
  <c r="JY27" i="3" s="1"/>
  <c r="FP11" i="3"/>
  <c r="JX14" i="3"/>
  <c r="JX16" i="3"/>
  <c r="JX11" i="3"/>
  <c r="EX19" i="3"/>
  <c r="JW16" i="3"/>
  <c r="JY16" i="3" s="1"/>
  <c r="EX18" i="3"/>
  <c r="FP14" i="3"/>
  <c r="EW29" i="3"/>
  <c r="CV59" i="3"/>
  <c r="EW15" i="3"/>
  <c r="CV45" i="3"/>
  <c r="EX29" i="3"/>
  <c r="EN59" i="3"/>
  <c r="EW19" i="3"/>
  <c r="CV49" i="3"/>
  <c r="EW18" i="3"/>
  <c r="CV48" i="3"/>
  <c r="DO24" i="3"/>
  <c r="DI24" i="3"/>
  <c r="DQ24" i="3"/>
  <c r="DL24" i="3"/>
  <c r="DP24" i="3"/>
  <c r="DJ24" i="3"/>
  <c r="DN24" i="3"/>
  <c r="DK24" i="3"/>
  <c r="DM24" i="3"/>
  <c r="DR24" i="3"/>
  <c r="EC24" i="3"/>
  <c r="EL24" i="3"/>
  <c r="EK24" i="3"/>
  <c r="EH24" i="3"/>
  <c r="DV24" i="3"/>
  <c r="DF24" i="3"/>
  <c r="EI24" i="3"/>
  <c r="DW24" i="3"/>
  <c r="DX24" i="3"/>
  <c r="ET24" i="3"/>
  <c r="ER24" i="3"/>
  <c r="DB24" i="3"/>
  <c r="CY24" i="3"/>
  <c r="DD24" i="3"/>
  <c r="DA24" i="3"/>
  <c r="EA24" i="3"/>
  <c r="DU24" i="3"/>
  <c r="CZ24" i="3"/>
  <c r="DG24" i="3"/>
  <c r="DC24" i="3"/>
  <c r="EF24" i="3"/>
  <c r="DZ24" i="3"/>
  <c r="EU24" i="3"/>
  <c r="EJ24" i="3"/>
  <c r="DT24" i="3"/>
  <c r="DE24" i="3"/>
  <c r="ED24" i="3"/>
  <c r="DS24" i="3"/>
  <c r="EM24" i="3"/>
  <c r="ES24" i="3"/>
  <c r="DY24" i="3"/>
  <c r="EQ24" i="3"/>
  <c r="DH24" i="3"/>
  <c r="EE24" i="3"/>
  <c r="EG24" i="3"/>
  <c r="EB24" i="3"/>
  <c r="EV24" i="3"/>
  <c r="EO24" i="3"/>
  <c r="CO24" i="3"/>
  <c r="CU24" i="3"/>
  <c r="CV24" i="3"/>
  <c r="CP24" i="3"/>
  <c r="CQ24" i="3"/>
  <c r="EP24" i="3"/>
  <c r="CR24" i="3"/>
  <c r="EN24" i="3"/>
  <c r="CW24" i="3"/>
  <c r="CS24" i="3"/>
  <c r="CT24" i="3"/>
  <c r="CX24" i="3"/>
  <c r="DN30" i="3"/>
  <c r="DN60" i="3" s="1"/>
  <c r="DQ30" i="3"/>
  <c r="DQ60" i="3" s="1"/>
  <c r="DL30" i="3"/>
  <c r="DL60" i="3" s="1"/>
  <c r="DK30" i="3"/>
  <c r="DK60" i="3" s="1"/>
  <c r="DM30" i="3"/>
  <c r="DM60" i="3" s="1"/>
  <c r="DO30" i="3"/>
  <c r="DO60" i="3" s="1"/>
  <c r="DI30" i="3"/>
  <c r="DI60" i="3" s="1"/>
  <c r="DR30" i="3"/>
  <c r="DR60" i="3" s="1"/>
  <c r="DP30" i="3"/>
  <c r="DP60" i="3" s="1"/>
  <c r="DJ30" i="3"/>
  <c r="DJ60" i="3" s="1"/>
  <c r="DB30" i="3"/>
  <c r="DB60" i="3" s="1"/>
  <c r="DA30" i="3"/>
  <c r="DA60" i="3" s="1"/>
  <c r="DU30" i="3"/>
  <c r="DU60" i="3" s="1"/>
  <c r="ER30" i="3"/>
  <c r="EC30" i="3"/>
  <c r="EC60" i="3" s="1"/>
  <c r="EH30" i="3"/>
  <c r="EH60" i="3" s="1"/>
  <c r="EL30" i="3"/>
  <c r="EL60" i="3" s="1"/>
  <c r="EF30" i="3"/>
  <c r="EF60" i="3" s="1"/>
  <c r="DZ30" i="3"/>
  <c r="DZ60" i="3" s="1"/>
  <c r="EN30" i="3"/>
  <c r="DC30" i="3"/>
  <c r="DC60" i="3" s="1"/>
  <c r="DF30" i="3"/>
  <c r="DF60" i="3" s="1"/>
  <c r="EG30" i="3"/>
  <c r="EG60" i="3" s="1"/>
  <c r="DV30" i="3"/>
  <c r="DV60" i="3" s="1"/>
  <c r="DT30" i="3"/>
  <c r="DT60" i="3" s="1"/>
  <c r="EQ30" i="3"/>
  <c r="DD30" i="3"/>
  <c r="DD60" i="3" s="1"/>
  <c r="DH30" i="3"/>
  <c r="DH60" i="3" s="1"/>
  <c r="DY30" i="3"/>
  <c r="DY60" i="3" s="1"/>
  <c r="EU30" i="3"/>
  <c r="ET30" i="3"/>
  <c r="EV30" i="3"/>
  <c r="EO30" i="3"/>
  <c r="DG30" i="3"/>
  <c r="DG60" i="3" s="1"/>
  <c r="EE30" i="3"/>
  <c r="EE60" i="3" s="1"/>
  <c r="ED30" i="3"/>
  <c r="ED60" i="3" s="1"/>
  <c r="EB30" i="3"/>
  <c r="EB60" i="3" s="1"/>
  <c r="EM30" i="3"/>
  <c r="DE30" i="3"/>
  <c r="DE60" i="3" s="1"/>
  <c r="EI30" i="3"/>
  <c r="EI60" i="3" s="1"/>
  <c r="EK30" i="3"/>
  <c r="EK60" i="3" s="1"/>
  <c r="DS30" i="3"/>
  <c r="DS60" i="3" s="1"/>
  <c r="DW30" i="3"/>
  <c r="DW60" i="3" s="1"/>
  <c r="CY30" i="3"/>
  <c r="CY60" i="3" s="1"/>
  <c r="CZ30" i="3"/>
  <c r="CZ60" i="3" s="1"/>
  <c r="EJ30" i="3"/>
  <c r="EJ60" i="3" s="1"/>
  <c r="DX30" i="3"/>
  <c r="DX60" i="3" s="1"/>
  <c r="EA30" i="3"/>
  <c r="EA60" i="3" s="1"/>
  <c r="CQ30" i="3"/>
  <c r="CQ60" i="3" s="1"/>
  <c r="ES30" i="3"/>
  <c r="CP30" i="3"/>
  <c r="CP60" i="3" s="1"/>
  <c r="CR30" i="3"/>
  <c r="CR60" i="3" s="1"/>
  <c r="EP30" i="3"/>
  <c r="CX30" i="3"/>
  <c r="CX60" i="3" s="1"/>
  <c r="CW30" i="3"/>
  <c r="CW60" i="3" s="1"/>
  <c r="CV30" i="3"/>
  <c r="CS30" i="3"/>
  <c r="CS60" i="3" s="1"/>
  <c r="CU30" i="3"/>
  <c r="CU60" i="3" s="1"/>
  <c r="CT30" i="3"/>
  <c r="CT60" i="3" s="1"/>
  <c r="CO30" i="3"/>
  <c r="CO60" i="3" s="1"/>
  <c r="DQ23" i="3"/>
  <c r="DQ53" i="3" s="1"/>
  <c r="DK23" i="3"/>
  <c r="DK53" i="3" s="1"/>
  <c r="DN23" i="3"/>
  <c r="DN53" i="3" s="1"/>
  <c r="DM23" i="3"/>
  <c r="DM53" i="3" s="1"/>
  <c r="DI23" i="3"/>
  <c r="DI53" i="3" s="1"/>
  <c r="DR23" i="3"/>
  <c r="DR53" i="3" s="1"/>
  <c r="DL23" i="3"/>
  <c r="DL53" i="3" s="1"/>
  <c r="DO23" i="3"/>
  <c r="DO53" i="3" s="1"/>
  <c r="DP23" i="3"/>
  <c r="DP53" i="3" s="1"/>
  <c r="DJ23" i="3"/>
  <c r="DJ53" i="3" s="1"/>
  <c r="DB23" i="3"/>
  <c r="DB53" i="3" s="1"/>
  <c r="DG23" i="3"/>
  <c r="DG53" i="3" s="1"/>
  <c r="DA23" i="3"/>
  <c r="DA53" i="3" s="1"/>
  <c r="DV23" i="3"/>
  <c r="DV53" i="3" s="1"/>
  <c r="EU23" i="3"/>
  <c r="EU53" i="3" s="1"/>
  <c r="DE23" i="3"/>
  <c r="DE53" i="3" s="1"/>
  <c r="CZ23" i="3"/>
  <c r="CZ53" i="3" s="1"/>
  <c r="DH23" i="3"/>
  <c r="DH53" i="3" s="1"/>
  <c r="EK23" i="3"/>
  <c r="EK53" i="3" s="1"/>
  <c r="DW23" i="3"/>
  <c r="DW53" i="3" s="1"/>
  <c r="DZ23" i="3"/>
  <c r="DZ53" i="3" s="1"/>
  <c r="DC23" i="3"/>
  <c r="DC53" i="3" s="1"/>
  <c r="DF23" i="3"/>
  <c r="DF53" i="3" s="1"/>
  <c r="EG23" i="3"/>
  <c r="EG53" i="3" s="1"/>
  <c r="EI23" i="3"/>
  <c r="EI53" i="3" s="1"/>
  <c r="DS23" i="3"/>
  <c r="DS53" i="3" s="1"/>
  <c r="EO23" i="3"/>
  <c r="EO53" i="3" s="1"/>
  <c r="CY23" i="3"/>
  <c r="CY53" i="3" s="1"/>
  <c r="EE23" i="3"/>
  <c r="EE53" i="3" s="1"/>
  <c r="DU23" i="3"/>
  <c r="DU53" i="3" s="1"/>
  <c r="EV23" i="3"/>
  <c r="EV53" i="3" s="1"/>
  <c r="ET23" i="3"/>
  <c r="ET53" i="3" s="1"/>
  <c r="EJ23" i="3"/>
  <c r="EJ53" i="3" s="1"/>
  <c r="EL23" i="3"/>
  <c r="EL53" i="3" s="1"/>
  <c r="EH23" i="3"/>
  <c r="EH53" i="3" s="1"/>
  <c r="EB23" i="3"/>
  <c r="EB53" i="3" s="1"/>
  <c r="ER23" i="3"/>
  <c r="ER53" i="3" s="1"/>
  <c r="EP23" i="3"/>
  <c r="EP53" i="3" s="1"/>
  <c r="DD23" i="3"/>
  <c r="DD53" i="3" s="1"/>
  <c r="ED53" i="3"/>
  <c r="DT23" i="3"/>
  <c r="DT53" i="3" s="1"/>
  <c r="DY23" i="3"/>
  <c r="DY53" i="3" s="1"/>
  <c r="EF23" i="3"/>
  <c r="EF53" i="3" s="1"/>
  <c r="EA23" i="3"/>
  <c r="EA53" i="3" s="1"/>
  <c r="DX23" i="3"/>
  <c r="DX53" i="3" s="1"/>
  <c r="EQ23" i="3"/>
  <c r="EQ53" i="3" s="1"/>
  <c r="ES23" i="3"/>
  <c r="ES53" i="3" s="1"/>
  <c r="CT23" i="3"/>
  <c r="CT53" i="3" s="1"/>
  <c r="CU23" i="3"/>
  <c r="CU53" i="3" s="1"/>
  <c r="CW23" i="3"/>
  <c r="CW53" i="3" s="1"/>
  <c r="CR23" i="3"/>
  <c r="CR53" i="3" s="1"/>
  <c r="CO23" i="3"/>
  <c r="CO53" i="3" s="1"/>
  <c r="CQ23" i="3"/>
  <c r="CQ53" i="3" s="1"/>
  <c r="CS23" i="3"/>
  <c r="CS53" i="3" s="1"/>
  <c r="CV23" i="3"/>
  <c r="CX23" i="3"/>
  <c r="CX53" i="3" s="1"/>
  <c r="CP23" i="3"/>
  <c r="CP53" i="3" s="1"/>
  <c r="C18" i="6"/>
  <c r="B17" i="6"/>
  <c r="A17" i="6" s="1"/>
  <c r="D17" i="6"/>
  <c r="CC29" i="3"/>
  <c r="CM29" i="3"/>
  <c r="BW23" i="3"/>
  <c r="CG23" i="3"/>
  <c r="CA17" i="3"/>
  <c r="CK17" i="3"/>
  <c r="BU19" i="3"/>
  <c r="CE19" i="3"/>
  <c r="BY15" i="3"/>
  <c r="CI15" i="3"/>
  <c r="CB18" i="3"/>
  <c r="CL18" i="3"/>
  <c r="BZ18" i="3"/>
  <c r="CJ18" i="3"/>
  <c r="CB17" i="3"/>
  <c r="CL17" i="3"/>
  <c r="CB19" i="3"/>
  <c r="CL19" i="3"/>
  <c r="CA23" i="3"/>
  <c r="CK23" i="3"/>
  <c r="CC17" i="3"/>
  <c r="CM17" i="3"/>
  <c r="BX19" i="3"/>
  <c r="CH19" i="3"/>
  <c r="CC19" i="3"/>
  <c r="CM19" i="3"/>
  <c r="BU29" i="3"/>
  <c r="CE29" i="3"/>
  <c r="BV15" i="3"/>
  <c r="CF15" i="3"/>
  <c r="CA18" i="3"/>
  <c r="CK18" i="3"/>
  <c r="CD15" i="3"/>
  <c r="CN15" i="3"/>
  <c r="BU18" i="3"/>
  <c r="CE18" i="3"/>
  <c r="BT24" i="3"/>
  <c r="BV23" i="3"/>
  <c r="CF23" i="3"/>
  <c r="BY19" i="3"/>
  <c r="CI19" i="3"/>
  <c r="BV29" i="3"/>
  <c r="CF29" i="3"/>
  <c r="BZ15" i="3"/>
  <c r="CJ15" i="3"/>
  <c r="BV18" i="3"/>
  <c r="CF18" i="3"/>
  <c r="BT30" i="3"/>
  <c r="BY17" i="3"/>
  <c r="CI17" i="3"/>
  <c r="CC15" i="3"/>
  <c r="CM15" i="3"/>
  <c r="BU17" i="3"/>
  <c r="CE17" i="3"/>
  <c r="CC18" i="3"/>
  <c r="CM18" i="3"/>
  <c r="CD23" i="3"/>
  <c r="CN23" i="3"/>
  <c r="BZ23" i="3"/>
  <c r="CJ23" i="3"/>
  <c r="BX23" i="3"/>
  <c r="CH23" i="3"/>
  <c r="CB23" i="3"/>
  <c r="CL23" i="3"/>
  <c r="BX17" i="3"/>
  <c r="CH17" i="3"/>
  <c r="CA29" i="3"/>
  <c r="CK29" i="3"/>
  <c r="CA15" i="3"/>
  <c r="CK15" i="3"/>
  <c r="CD29" i="3"/>
  <c r="CN29" i="3"/>
  <c r="BU15" i="3"/>
  <c r="CE15" i="3"/>
  <c r="BU23" i="3"/>
  <c r="CE23" i="3"/>
  <c r="CC23" i="3"/>
  <c r="CM23" i="3"/>
  <c r="BZ17" i="3"/>
  <c r="CJ17" i="3"/>
  <c r="BZ19" i="3"/>
  <c r="CJ19" i="3"/>
  <c r="CB29" i="3"/>
  <c r="CL29" i="3"/>
  <c r="BW18" i="3"/>
  <c r="CG18" i="3"/>
  <c r="CD17" i="3"/>
  <c r="CN17" i="3"/>
  <c r="BY23" i="3"/>
  <c r="CI23" i="3"/>
  <c r="BV17" i="3"/>
  <c r="CF17" i="3"/>
  <c r="BW17" i="3"/>
  <c r="CG17" i="3"/>
  <c r="CA19" i="3"/>
  <c r="CK19" i="3"/>
  <c r="BW29" i="3"/>
  <c r="CG29" i="3"/>
  <c r="BX15" i="3"/>
  <c r="CH15" i="3"/>
  <c r="CB15" i="3"/>
  <c r="CL15" i="3"/>
  <c r="BY18" i="3"/>
  <c r="CI18" i="3"/>
  <c r="CD19" i="3"/>
  <c r="CN19" i="3"/>
  <c r="CD18" i="3"/>
  <c r="CN18" i="3"/>
  <c r="BV19" i="3"/>
  <c r="BY29" i="3"/>
  <c r="BX18" i="3"/>
  <c r="BW15" i="3"/>
  <c r="BW19" i="3"/>
  <c r="BX29" i="3"/>
  <c r="BZ29" i="3"/>
  <c r="BQ30" i="3"/>
  <c r="BL30" i="3"/>
  <c r="BP30" i="3"/>
  <c r="BO30" i="3"/>
  <c r="BN30" i="3"/>
  <c r="CH30" i="3" s="1"/>
  <c r="BM30" i="3"/>
  <c r="BR30" i="3"/>
  <c r="CL30" i="3" s="1"/>
  <c r="BK30" i="3"/>
  <c r="BS30" i="3"/>
  <c r="BM24" i="3"/>
  <c r="BO24" i="3"/>
  <c r="BS24" i="3"/>
  <c r="BR24" i="3"/>
  <c r="CL24" i="3" s="1"/>
  <c r="BK24" i="3"/>
  <c r="BQ24" i="3"/>
  <c r="BP24" i="3"/>
  <c r="BL24" i="3"/>
  <c r="BN24" i="3"/>
  <c r="E17" i="3"/>
  <c r="JW17" i="3" s="1"/>
  <c r="JY17" i="3" s="1"/>
  <c r="JW8" i="3"/>
  <c r="JY8" i="3" s="1"/>
  <c r="FP8" i="3"/>
  <c r="F30" i="3"/>
  <c r="EX23" i="3"/>
  <c r="F24" i="3"/>
  <c r="A17" i="5"/>
  <c r="B22" i="3"/>
  <c r="JX22" i="3" s="1"/>
  <c r="FO17" i="3"/>
  <c r="B17" i="3"/>
  <c r="A12" i="5"/>
  <c r="S24" i="3"/>
  <c r="AE24" i="3" s="1"/>
  <c r="G20" i="5"/>
  <c r="E18" i="3"/>
  <c r="FO23" i="3"/>
  <c r="A10" i="5"/>
  <c r="B15" i="3"/>
  <c r="E19" i="3"/>
  <c r="H28" i="5"/>
  <c r="D32" i="3"/>
  <c r="V32" i="3" s="1"/>
  <c r="A13" i="5"/>
  <c r="B18" i="3"/>
  <c r="U25" i="3"/>
  <c r="U31" i="3"/>
  <c r="G29" i="5"/>
  <c r="S33" i="3"/>
  <c r="U26" i="3"/>
  <c r="FO29" i="3"/>
  <c r="FO18" i="3"/>
  <c r="A18" i="5"/>
  <c r="B23" i="3"/>
  <c r="FO15" i="3"/>
  <c r="E29" i="3"/>
  <c r="FO19" i="3"/>
  <c r="A14" i="5"/>
  <c r="B19" i="3"/>
  <c r="E15" i="3"/>
  <c r="A24" i="5"/>
  <c r="B29" i="3"/>
  <c r="I28" i="5"/>
  <c r="T32" i="3"/>
  <c r="EM60" i="3" l="1"/>
  <c r="EU60" i="3"/>
  <c r="ER60" i="3"/>
  <c r="CS54" i="3"/>
  <c r="X24" i="3"/>
  <c r="AB31" i="3"/>
  <c r="AA31" i="3"/>
  <c r="CM61" i="3" s="1"/>
  <c r="W31" i="3"/>
  <c r="AC31" i="3"/>
  <c r="Z31" i="3"/>
  <c r="Y31" i="3"/>
  <c r="AF31" i="3"/>
  <c r="X31" i="3"/>
  <c r="AE31" i="3"/>
  <c r="AD31" i="3"/>
  <c r="EP60" i="3"/>
  <c r="EU54" i="3"/>
  <c r="EI54" i="3"/>
  <c r="AF24" i="3"/>
  <c r="W25" i="3"/>
  <c r="AB25" i="3"/>
  <c r="EO54" i="3"/>
  <c r="Y24" i="3"/>
  <c r="ES60" i="3"/>
  <c r="EQ60" i="3"/>
  <c r="DB54" i="3"/>
  <c r="DJ54" i="3"/>
  <c r="AB24" i="3"/>
  <c r="W24" i="3"/>
  <c r="EO60" i="3"/>
  <c r="EG54" i="3"/>
  <c r="DG54" i="3"/>
  <c r="ER54" i="3"/>
  <c r="AC24" i="3"/>
  <c r="AA24" i="3"/>
  <c r="CM54" i="3" s="1"/>
  <c r="EV54" i="3" s="1"/>
  <c r="EC53" i="3"/>
  <c r="Z26" i="3"/>
  <c r="EV60" i="3"/>
  <c r="CX54" i="3"/>
  <c r="CP54" i="3"/>
  <c r="EE54" i="3"/>
  <c r="DE54" i="3"/>
  <c r="CZ54" i="3"/>
  <c r="ET54" i="3"/>
  <c r="EL54" i="3"/>
  <c r="AD24" i="3"/>
  <c r="DV54" i="3"/>
  <c r="ET60" i="3"/>
  <c r="CT54" i="3"/>
  <c r="DH54" i="3"/>
  <c r="DT54" i="3"/>
  <c r="DU54" i="3"/>
  <c r="EC54" i="3"/>
  <c r="DQ54" i="3"/>
  <c r="EW30" i="3"/>
  <c r="CV60" i="3"/>
  <c r="EW24" i="3"/>
  <c r="CV54" i="3"/>
  <c r="E23" i="3"/>
  <c r="EW23" i="3"/>
  <c r="CV53" i="3"/>
  <c r="EX30" i="3"/>
  <c r="EN60" i="3"/>
  <c r="DI31" i="3"/>
  <c r="DI61" i="3" s="1"/>
  <c r="DP31" i="3"/>
  <c r="DP61" i="3" s="1"/>
  <c r="DL31" i="3"/>
  <c r="DL61" i="3" s="1"/>
  <c r="DR31" i="3"/>
  <c r="DR61" i="3" s="1"/>
  <c r="DJ31" i="3"/>
  <c r="DJ61" i="3" s="1"/>
  <c r="DM31" i="3"/>
  <c r="DM61" i="3" s="1"/>
  <c r="DN31" i="3"/>
  <c r="DN61" i="3" s="1"/>
  <c r="DQ31" i="3"/>
  <c r="DQ61" i="3" s="1"/>
  <c r="DK31" i="3"/>
  <c r="DK61" i="3" s="1"/>
  <c r="DO31" i="3"/>
  <c r="DO61" i="3" s="1"/>
  <c r="DG31" i="3"/>
  <c r="DG61" i="3" s="1"/>
  <c r="EB31" i="3"/>
  <c r="EB61" i="3" s="1"/>
  <c r="DT31" i="3"/>
  <c r="DT61" i="3" s="1"/>
  <c r="DZ31" i="3"/>
  <c r="DZ61" i="3" s="1"/>
  <c r="ET31" i="3"/>
  <c r="EN31" i="3"/>
  <c r="EV31" i="3"/>
  <c r="EV61" i="3" s="1"/>
  <c r="DS31" i="3"/>
  <c r="DS61" i="3" s="1"/>
  <c r="DE31" i="3"/>
  <c r="DE61" i="3" s="1"/>
  <c r="DD31" i="3"/>
  <c r="DD61" i="3" s="1"/>
  <c r="DC31" i="3"/>
  <c r="DC61" i="3" s="1"/>
  <c r="CZ31" i="3"/>
  <c r="CZ61" i="3" s="1"/>
  <c r="EJ31" i="3"/>
  <c r="EJ61" i="3" s="1"/>
  <c r="DX31" i="3"/>
  <c r="DX61" i="3" s="1"/>
  <c r="CY31" i="3"/>
  <c r="CY61" i="3" s="1"/>
  <c r="DB31" i="3"/>
  <c r="DB61" i="3" s="1"/>
  <c r="EH31" i="3"/>
  <c r="EH61" i="3" s="1"/>
  <c r="DW31" i="3"/>
  <c r="DW61" i="3" s="1"/>
  <c r="DY31" i="3"/>
  <c r="DY61" i="3" s="1"/>
  <c r="EL31" i="3"/>
  <c r="EL61" i="3" s="1"/>
  <c r="EA31" i="3"/>
  <c r="EA61" i="3" s="1"/>
  <c r="EO31" i="3"/>
  <c r="EU31" i="3"/>
  <c r="EU61" i="3" s="1"/>
  <c r="EQ31" i="3"/>
  <c r="EK31" i="3"/>
  <c r="EK61" i="3" s="1"/>
  <c r="EG31" i="3"/>
  <c r="EG61" i="3" s="1"/>
  <c r="ES31" i="3"/>
  <c r="ER31" i="3"/>
  <c r="EM31" i="3"/>
  <c r="DH31" i="3"/>
  <c r="DH61" i="3" s="1"/>
  <c r="DF31" i="3"/>
  <c r="DF61" i="3" s="1"/>
  <c r="EI31" i="3"/>
  <c r="EI61" i="3" s="1"/>
  <c r="EE31" i="3"/>
  <c r="EE61" i="3" s="1"/>
  <c r="DV31" i="3"/>
  <c r="DV61" i="3" s="1"/>
  <c r="DU31" i="3"/>
  <c r="DU61" i="3" s="1"/>
  <c r="DA31" i="3"/>
  <c r="DA61" i="3" s="1"/>
  <c r="ED31" i="3"/>
  <c r="ED61" i="3" s="1"/>
  <c r="EC31" i="3"/>
  <c r="EC61" i="3" s="1"/>
  <c r="EF31" i="3"/>
  <c r="EF61" i="3" s="1"/>
  <c r="EP31" i="3"/>
  <c r="CO31" i="3"/>
  <c r="CO61" i="3" s="1"/>
  <c r="CV31" i="3"/>
  <c r="CW31" i="3"/>
  <c r="CW61" i="3" s="1"/>
  <c r="CQ31" i="3"/>
  <c r="CQ61" i="3" s="1"/>
  <c r="CS31" i="3"/>
  <c r="CS61" i="3" s="1"/>
  <c r="CX31" i="3"/>
  <c r="CX61" i="3" s="1"/>
  <c r="CR31" i="3"/>
  <c r="CR61" i="3" s="1"/>
  <c r="CP31" i="3"/>
  <c r="CP61" i="3" s="1"/>
  <c r="CT31" i="3"/>
  <c r="CT61" i="3" s="1"/>
  <c r="CU31" i="3"/>
  <c r="CU61" i="3" s="1"/>
  <c r="DI25" i="3"/>
  <c r="DQ25" i="3"/>
  <c r="DN25" i="3"/>
  <c r="DP25" i="3"/>
  <c r="DM25" i="3"/>
  <c r="DO25" i="3"/>
  <c r="DL25" i="3"/>
  <c r="DJ25" i="3"/>
  <c r="DK25" i="3"/>
  <c r="DR25" i="3"/>
  <c r="DA25" i="3"/>
  <c r="DW25" i="3"/>
  <c r="EO25" i="3"/>
  <c r="EQ25" i="3"/>
  <c r="DF25" i="3"/>
  <c r="EF25" i="3"/>
  <c r="EU25" i="3"/>
  <c r="ER25" i="3"/>
  <c r="EG25" i="3"/>
  <c r="DU25" i="3"/>
  <c r="CZ25" i="3"/>
  <c r="DG25" i="3"/>
  <c r="EJ25" i="3"/>
  <c r="EE25" i="3"/>
  <c r="EC25" i="3"/>
  <c r="EK25" i="3"/>
  <c r="EB25" i="3"/>
  <c r="DT25" i="3"/>
  <c r="DE25" i="3"/>
  <c r="EH25" i="3"/>
  <c r="EI25" i="3"/>
  <c r="DX25" i="3"/>
  <c r="DZ25" i="3"/>
  <c r="DS25" i="3"/>
  <c r="EV25" i="3"/>
  <c r="DC25" i="3"/>
  <c r="DB25" i="3"/>
  <c r="EL25" i="3"/>
  <c r="DV25" i="3"/>
  <c r="EA25" i="3"/>
  <c r="ET25" i="3"/>
  <c r="EM25" i="3"/>
  <c r="DH25" i="3"/>
  <c r="CY25" i="3"/>
  <c r="DD25" i="3"/>
  <c r="DY25" i="3"/>
  <c r="EP25" i="3"/>
  <c r="ES25" i="3"/>
  <c r="ED25" i="3"/>
  <c r="EN25" i="3"/>
  <c r="CX25" i="3"/>
  <c r="CV25" i="3"/>
  <c r="CO25" i="3"/>
  <c r="CT25" i="3"/>
  <c r="CR25" i="3"/>
  <c r="CP25" i="3"/>
  <c r="CW25" i="3"/>
  <c r="CS25" i="3"/>
  <c r="CU25" i="3"/>
  <c r="CQ25" i="3"/>
  <c r="DO26" i="3"/>
  <c r="DM26" i="3"/>
  <c r="DQ26" i="3"/>
  <c r="DL26" i="3"/>
  <c r="DK26" i="3"/>
  <c r="DI26" i="3"/>
  <c r="DN26" i="3"/>
  <c r="DJ26" i="3"/>
  <c r="DP26" i="3"/>
  <c r="DR26" i="3"/>
  <c r="CZ26" i="3"/>
  <c r="CY26" i="3"/>
  <c r="DT26" i="3"/>
  <c r="DS26" i="3"/>
  <c r="EM26" i="3"/>
  <c r="DG26" i="3"/>
  <c r="DW26" i="3"/>
  <c r="EO26" i="3"/>
  <c r="EN26" i="3"/>
  <c r="ED26" i="3"/>
  <c r="DX26" i="3"/>
  <c r="EU26" i="3"/>
  <c r="ER26" i="3"/>
  <c r="EQ26" i="3"/>
  <c r="EP26" i="3"/>
  <c r="DH26" i="3"/>
  <c r="DA26" i="3"/>
  <c r="EE26" i="3"/>
  <c r="EC26" i="3"/>
  <c r="EG26" i="3"/>
  <c r="ES26" i="3"/>
  <c r="DF26" i="3"/>
  <c r="DE26" i="3"/>
  <c r="EH26" i="3"/>
  <c r="EK26" i="3"/>
  <c r="EJ26" i="3"/>
  <c r="DZ26" i="3"/>
  <c r="DU26" i="3"/>
  <c r="EI26" i="3"/>
  <c r="DV26" i="3"/>
  <c r="ET26" i="3"/>
  <c r="DC26" i="3"/>
  <c r="DB26" i="3"/>
  <c r="DD26" i="3"/>
  <c r="EF26" i="3"/>
  <c r="EL26" i="3"/>
  <c r="EB26" i="3"/>
  <c r="DY26" i="3"/>
  <c r="EA26" i="3"/>
  <c r="EV26" i="3"/>
  <c r="CR26" i="3"/>
  <c r="CV26" i="3"/>
  <c r="CU26" i="3"/>
  <c r="CW26" i="3"/>
  <c r="CX26" i="3"/>
  <c r="CS26" i="3"/>
  <c r="CT26" i="3"/>
  <c r="CQ26" i="3"/>
  <c r="CO26" i="3"/>
  <c r="CP26" i="3"/>
  <c r="C19" i="6"/>
  <c r="B18" i="6"/>
  <c r="A18" i="6" s="1"/>
  <c r="D18" i="6"/>
  <c r="FP17" i="3"/>
  <c r="JX17" i="3"/>
  <c r="BV24" i="3"/>
  <c r="CF24" i="3"/>
  <c r="BZ24" i="3"/>
  <c r="CJ24" i="3"/>
  <c r="CC30" i="3"/>
  <c r="CM30" i="3"/>
  <c r="BV30" i="3"/>
  <c r="CF30" i="3"/>
  <c r="BT31" i="3"/>
  <c r="CA24" i="3"/>
  <c r="CK24" i="3"/>
  <c r="BU30" i="3"/>
  <c r="CE30" i="3"/>
  <c r="CA30" i="3"/>
  <c r="CK30" i="3"/>
  <c r="BU24" i="3"/>
  <c r="CE24" i="3"/>
  <c r="CD24" i="3"/>
  <c r="CN24" i="3"/>
  <c r="BT25" i="3"/>
  <c r="BW30" i="3"/>
  <c r="CG30" i="3"/>
  <c r="BZ30" i="3"/>
  <c r="CJ30" i="3"/>
  <c r="CC24" i="3"/>
  <c r="CM24" i="3"/>
  <c r="BT26" i="3"/>
  <c r="BY24" i="3"/>
  <c r="CI24" i="3"/>
  <c r="BX24" i="3"/>
  <c r="CH24" i="3"/>
  <c r="BW24" i="3"/>
  <c r="CG24" i="3"/>
  <c r="BY30" i="3"/>
  <c r="CI30" i="3"/>
  <c r="CD30" i="3"/>
  <c r="CN30" i="3"/>
  <c r="CB30" i="3"/>
  <c r="CB24" i="3"/>
  <c r="BX30" i="3"/>
  <c r="BQ26" i="3"/>
  <c r="BP26" i="3"/>
  <c r="BK26" i="3"/>
  <c r="BO26" i="3"/>
  <c r="BR26" i="3"/>
  <c r="BN26" i="3"/>
  <c r="BM26" i="3"/>
  <c r="BL26" i="3"/>
  <c r="BS26" i="3"/>
  <c r="BO25" i="3"/>
  <c r="BM25" i="3"/>
  <c r="BN25" i="3"/>
  <c r="BK25" i="3"/>
  <c r="BS25" i="3"/>
  <c r="BP25" i="3"/>
  <c r="BR25" i="3"/>
  <c r="BL25" i="3"/>
  <c r="BQ25" i="3"/>
  <c r="BS31" i="3"/>
  <c r="BR31" i="3"/>
  <c r="CL31" i="3" s="1"/>
  <c r="BQ31" i="3"/>
  <c r="BM31" i="3"/>
  <c r="BP31" i="3"/>
  <c r="BO31" i="3"/>
  <c r="BK31" i="3"/>
  <c r="BN31" i="3"/>
  <c r="BL31" i="3"/>
  <c r="CF31" i="3" s="1"/>
  <c r="JX29" i="3"/>
  <c r="JX15" i="3"/>
  <c r="E30" i="3"/>
  <c r="JW30" i="3" s="1"/>
  <c r="JY30" i="3" s="1"/>
  <c r="F26" i="3"/>
  <c r="F25" i="3"/>
  <c r="F31" i="3"/>
  <c r="EX31" i="3"/>
  <c r="JW23" i="3"/>
  <c r="JY23" i="3" s="1"/>
  <c r="JX23" i="3"/>
  <c r="JW19" i="3"/>
  <c r="JY19" i="3" s="1"/>
  <c r="JX19" i="3"/>
  <c r="JW18" i="3"/>
  <c r="JY18" i="3" s="1"/>
  <c r="JX18" i="3"/>
  <c r="S25" i="3"/>
  <c r="X25" i="3" s="1"/>
  <c r="G21" i="5"/>
  <c r="S26" i="3" s="1"/>
  <c r="X26" i="3" s="1"/>
  <c r="EX24" i="3"/>
  <c r="B24" i="3"/>
  <c r="FP29" i="3"/>
  <c r="FP15" i="3"/>
  <c r="FP23" i="3"/>
  <c r="FO30" i="3"/>
  <c r="A25" i="5"/>
  <c r="B30" i="3"/>
  <c r="FO24" i="3"/>
  <c r="U32" i="3"/>
  <c r="JW15" i="3"/>
  <c r="JY15" i="3" s="1"/>
  <c r="G30" i="5"/>
  <c r="S35" i="3" s="1"/>
  <c r="S34" i="3"/>
  <c r="H29" i="5"/>
  <c r="D33" i="3"/>
  <c r="V33" i="3" s="1"/>
  <c r="JW29" i="3"/>
  <c r="JY29" i="3" s="1"/>
  <c r="FP19" i="3"/>
  <c r="FP18" i="3"/>
  <c r="E24" i="3"/>
  <c r="I29" i="5"/>
  <c r="T33" i="3"/>
  <c r="DX55" i="3" l="1"/>
  <c r="EF55" i="3"/>
  <c r="DJ55" i="3"/>
  <c r="W26" i="3"/>
  <c r="AF26" i="3"/>
  <c r="ES54" i="3"/>
  <c r="AF25" i="3"/>
  <c r="DM54" i="3"/>
  <c r="EJ54" i="3"/>
  <c r="DD55" i="3"/>
  <c r="DA56" i="3"/>
  <c r="DV55" i="3"/>
  <c r="EJ55" i="3"/>
  <c r="DF55" i="3"/>
  <c r="DL55" i="3"/>
  <c r="AA26" i="3"/>
  <c r="CM56" i="3" s="1"/>
  <c r="DW56" i="3" s="1"/>
  <c r="Y26" i="3"/>
  <c r="AA25" i="3"/>
  <c r="CM55" i="3" s="1"/>
  <c r="CR55" i="3" s="1"/>
  <c r="EQ54" i="3"/>
  <c r="DB55" i="3"/>
  <c r="DC56" i="3"/>
  <c r="DM56" i="3"/>
  <c r="CT55" i="3"/>
  <c r="DY55" i="3"/>
  <c r="EL55" i="3"/>
  <c r="DG55" i="3"/>
  <c r="EQ55" i="3"/>
  <c r="EP61" i="3"/>
  <c r="EQ61" i="3"/>
  <c r="AB26" i="3"/>
  <c r="DN54" i="3"/>
  <c r="ED54" i="3"/>
  <c r="EH54" i="3"/>
  <c r="CY54" i="3"/>
  <c r="EN54" i="3"/>
  <c r="Y25" i="3"/>
  <c r="DA54" i="3"/>
  <c r="EM54" i="3"/>
  <c r="CU54" i="3"/>
  <c r="CO55" i="3"/>
  <c r="DM55" i="3"/>
  <c r="DY56" i="3"/>
  <c r="EQ56" i="3"/>
  <c r="CQ55" i="3"/>
  <c r="CY55" i="3"/>
  <c r="DC55" i="3"/>
  <c r="DT55" i="3"/>
  <c r="DU55" i="3"/>
  <c r="DW55" i="3"/>
  <c r="EO61" i="3"/>
  <c r="EN61" i="3"/>
  <c r="AC26" i="3"/>
  <c r="CQ54" i="3"/>
  <c r="DC54" i="3"/>
  <c r="DK54" i="3"/>
  <c r="AC25" i="3"/>
  <c r="Z25" i="3"/>
  <c r="DY54" i="3"/>
  <c r="DI54" i="3"/>
  <c r="DO56" i="3"/>
  <c r="EB56" i="3"/>
  <c r="EI56" i="3"/>
  <c r="CU55" i="3"/>
  <c r="CX55" i="3"/>
  <c r="DH55" i="3"/>
  <c r="EV55" i="3"/>
  <c r="EB55" i="3"/>
  <c r="EG55" i="3"/>
  <c r="DA55" i="3"/>
  <c r="DN55" i="3"/>
  <c r="EM61" i="3"/>
  <c r="ET61" i="3"/>
  <c r="AD26" i="3"/>
  <c r="DS54" i="3"/>
  <c r="DF54" i="3"/>
  <c r="AD25" i="3"/>
  <c r="CR54" i="3"/>
  <c r="CO54" i="3"/>
  <c r="DR54" i="3"/>
  <c r="DE55" i="3"/>
  <c r="CW56" i="3"/>
  <c r="EG56" i="3"/>
  <c r="DS56" i="3"/>
  <c r="CS55" i="3"/>
  <c r="EN55" i="3"/>
  <c r="EM55" i="3"/>
  <c r="DS55" i="3"/>
  <c r="EK55" i="3"/>
  <c r="ER55" i="3"/>
  <c r="DR55" i="3"/>
  <c r="DQ55" i="3"/>
  <c r="ER61" i="3"/>
  <c r="AE26" i="3"/>
  <c r="DP54" i="3"/>
  <c r="EF54" i="3"/>
  <c r="EB54" i="3"/>
  <c r="DD54" i="3"/>
  <c r="AE25" i="3"/>
  <c r="CW54" i="3"/>
  <c r="DW54" i="3"/>
  <c r="DP56" i="3"/>
  <c r="CZ55" i="3"/>
  <c r="AA32" i="3"/>
  <c r="CM62" i="3" s="1"/>
  <c r="W32" i="3"/>
  <c r="Z32" i="3"/>
  <c r="Y32" i="3"/>
  <c r="AF32" i="3"/>
  <c r="X32" i="3"/>
  <c r="AE32" i="3"/>
  <c r="AB32" i="3"/>
  <c r="AD32" i="3"/>
  <c r="AC32" i="3"/>
  <c r="EF56" i="3"/>
  <c r="DZ56" i="3"/>
  <c r="EC56" i="3"/>
  <c r="DX56" i="3"/>
  <c r="DK56" i="3"/>
  <c r="CW55" i="3"/>
  <c r="ED55" i="3"/>
  <c r="ET55" i="3"/>
  <c r="DZ55" i="3"/>
  <c r="EC55" i="3"/>
  <c r="EU55" i="3"/>
  <c r="DK55" i="3"/>
  <c r="DI55" i="3"/>
  <c r="ES61" i="3"/>
  <c r="DX54" i="3"/>
  <c r="DL54" i="3"/>
  <c r="EK54" i="3"/>
  <c r="EP54" i="3"/>
  <c r="DZ54" i="3"/>
  <c r="DO54" i="3"/>
  <c r="EA54" i="3"/>
  <c r="EW26" i="3"/>
  <c r="CV56" i="3"/>
  <c r="EW31" i="3"/>
  <c r="CV61" i="3"/>
  <c r="EW25" i="3"/>
  <c r="CV55" i="3"/>
  <c r="DL32" i="3"/>
  <c r="DL62" i="3" s="1"/>
  <c r="DN32" i="3"/>
  <c r="DN62" i="3" s="1"/>
  <c r="DM32" i="3"/>
  <c r="DM62" i="3" s="1"/>
  <c r="DK32" i="3"/>
  <c r="DK62" i="3" s="1"/>
  <c r="DQ32" i="3"/>
  <c r="DQ62" i="3" s="1"/>
  <c r="DO32" i="3"/>
  <c r="DO62" i="3" s="1"/>
  <c r="DR32" i="3"/>
  <c r="DR62" i="3" s="1"/>
  <c r="DI32" i="3"/>
  <c r="DI62" i="3" s="1"/>
  <c r="DJ32" i="3"/>
  <c r="DJ62" i="3" s="1"/>
  <c r="DP32" i="3"/>
  <c r="DP62" i="3" s="1"/>
  <c r="EC32" i="3"/>
  <c r="EC62" i="3" s="1"/>
  <c r="DE32" i="3"/>
  <c r="DE62" i="3" s="1"/>
  <c r="CY32" i="3"/>
  <c r="CY62" i="3" s="1"/>
  <c r="EE32" i="3"/>
  <c r="EE62" i="3" s="1"/>
  <c r="ED32" i="3"/>
  <c r="ED62" i="3" s="1"/>
  <c r="EP32" i="3"/>
  <c r="EV32" i="3"/>
  <c r="EM32" i="3"/>
  <c r="DG32" i="3"/>
  <c r="DG62" i="3" s="1"/>
  <c r="DF32" i="3"/>
  <c r="DF62" i="3" s="1"/>
  <c r="EG32" i="3"/>
  <c r="EG62" i="3" s="1"/>
  <c r="DB32" i="3"/>
  <c r="DB62" i="3" s="1"/>
  <c r="DD32" i="3"/>
  <c r="DD62" i="3" s="1"/>
  <c r="EI32" i="3"/>
  <c r="EI62" i="3" s="1"/>
  <c r="DS32" i="3"/>
  <c r="DS62" i="3" s="1"/>
  <c r="DX32" i="3"/>
  <c r="DX62" i="3" s="1"/>
  <c r="ET32" i="3"/>
  <c r="EQ32" i="3"/>
  <c r="DA32" i="3"/>
  <c r="DA62" i="3" s="1"/>
  <c r="DC32" i="3"/>
  <c r="DC62" i="3" s="1"/>
  <c r="EK32" i="3"/>
  <c r="EK62" i="3" s="1"/>
  <c r="DU32" i="3"/>
  <c r="DU62" i="3" s="1"/>
  <c r="EO32" i="3"/>
  <c r="CZ32" i="3"/>
  <c r="CZ62" i="3" s="1"/>
  <c r="EL32" i="3"/>
  <c r="EL62" i="3" s="1"/>
  <c r="EB32" i="3"/>
  <c r="EB62" i="3" s="1"/>
  <c r="DT32" i="3"/>
  <c r="DT62" i="3" s="1"/>
  <c r="DZ32" i="3"/>
  <c r="DZ62" i="3" s="1"/>
  <c r="DW32" i="3"/>
  <c r="DW62" i="3" s="1"/>
  <c r="ER32" i="3"/>
  <c r="DH32" i="3"/>
  <c r="DH62" i="3" s="1"/>
  <c r="EH32" i="3"/>
  <c r="EH62" i="3" s="1"/>
  <c r="EA32" i="3"/>
  <c r="EA62" i="3" s="1"/>
  <c r="DY32" i="3"/>
  <c r="DY62" i="3" s="1"/>
  <c r="EF32" i="3"/>
  <c r="EF62" i="3" s="1"/>
  <c r="EJ32" i="3"/>
  <c r="EJ62" i="3" s="1"/>
  <c r="DV32" i="3"/>
  <c r="DV62" i="3" s="1"/>
  <c r="CW32" i="3"/>
  <c r="CW62" i="3" s="1"/>
  <c r="CT32" i="3"/>
  <c r="CT62" i="3" s="1"/>
  <c r="EN32" i="3"/>
  <c r="ES32" i="3"/>
  <c r="CS32" i="3"/>
  <c r="CS62" i="3" s="1"/>
  <c r="CR32" i="3"/>
  <c r="CR62" i="3" s="1"/>
  <c r="CX32" i="3"/>
  <c r="CX62" i="3" s="1"/>
  <c r="CU32" i="3"/>
  <c r="CU62" i="3" s="1"/>
  <c r="CV32" i="3"/>
  <c r="CQ32" i="3"/>
  <c r="CQ62" i="3" s="1"/>
  <c r="CP32" i="3"/>
  <c r="CP62" i="3" s="1"/>
  <c r="CO32" i="3"/>
  <c r="CO62" i="3" s="1"/>
  <c r="EU32" i="3"/>
  <c r="C20" i="6"/>
  <c r="D19" i="6"/>
  <c r="B19" i="6"/>
  <c r="A19" i="6" s="1"/>
  <c r="JX30" i="3"/>
  <c r="FP30" i="3"/>
  <c r="BU31" i="3"/>
  <c r="CE31" i="3"/>
  <c r="BY26" i="3"/>
  <c r="CI26" i="3"/>
  <c r="BY31" i="3"/>
  <c r="CI31" i="3"/>
  <c r="BV25" i="3"/>
  <c r="CF25" i="3"/>
  <c r="BY25" i="3"/>
  <c r="CI25" i="3"/>
  <c r="BU26" i="3"/>
  <c r="CE26" i="3"/>
  <c r="BW25" i="3"/>
  <c r="CG25" i="3"/>
  <c r="BZ31" i="3"/>
  <c r="CJ31" i="3"/>
  <c r="CB25" i="3"/>
  <c r="CL25" i="3"/>
  <c r="CC26" i="3"/>
  <c r="CM26" i="3"/>
  <c r="BZ26" i="3"/>
  <c r="CJ26" i="3"/>
  <c r="CA25" i="3"/>
  <c r="CK25" i="3"/>
  <c r="BW31" i="3"/>
  <c r="CG31" i="3"/>
  <c r="BZ25" i="3"/>
  <c r="CJ25" i="3"/>
  <c r="BV26" i="3"/>
  <c r="CF26" i="3"/>
  <c r="CA26" i="3"/>
  <c r="CK26" i="3"/>
  <c r="CD26" i="3"/>
  <c r="CN26" i="3"/>
  <c r="CD25" i="3"/>
  <c r="CN25" i="3"/>
  <c r="CA31" i="3"/>
  <c r="CK31" i="3"/>
  <c r="CC25" i="3"/>
  <c r="CM25" i="3"/>
  <c r="BW26" i="3"/>
  <c r="CG26" i="3"/>
  <c r="BU25" i="3"/>
  <c r="CE25" i="3"/>
  <c r="BX26" i="3"/>
  <c r="CH26" i="3"/>
  <c r="BT32" i="3"/>
  <c r="BX31" i="3"/>
  <c r="CH31" i="3"/>
  <c r="CC31" i="3"/>
  <c r="CM31" i="3"/>
  <c r="BX25" i="3"/>
  <c r="CH25" i="3"/>
  <c r="CB26" i="3"/>
  <c r="CL26" i="3"/>
  <c r="CD31" i="3"/>
  <c r="CN31" i="3"/>
  <c r="BV31" i="3"/>
  <c r="CB31" i="3"/>
  <c r="BM32" i="3"/>
  <c r="BS32" i="3"/>
  <c r="BN32" i="3"/>
  <c r="BR32" i="3"/>
  <c r="BK32" i="3"/>
  <c r="BQ32" i="3"/>
  <c r="BL32" i="3"/>
  <c r="BP32" i="3"/>
  <c r="BO32" i="3"/>
  <c r="EX25" i="3"/>
  <c r="EX26" i="3"/>
  <c r="JX24" i="3"/>
  <c r="F32" i="3"/>
  <c r="A19" i="5"/>
  <c r="FP24" i="3"/>
  <c r="FO31" i="3"/>
  <c r="T34" i="3"/>
  <c r="I30" i="5"/>
  <c r="T35" i="3" s="1"/>
  <c r="U33" i="3"/>
  <c r="FO26" i="3"/>
  <c r="H30" i="5"/>
  <c r="D35" i="3" s="1"/>
  <c r="V35" i="3" s="1"/>
  <c r="D34" i="3"/>
  <c r="V34" i="3" s="1"/>
  <c r="E25" i="3"/>
  <c r="B26" i="3"/>
  <c r="A21" i="5"/>
  <c r="A20" i="5"/>
  <c r="B25" i="3"/>
  <c r="E31" i="3"/>
  <c r="E26" i="3"/>
  <c r="JW24" i="3"/>
  <c r="JY24" i="3" s="1"/>
  <c r="A26" i="5"/>
  <c r="B31" i="3"/>
  <c r="FO25" i="3"/>
  <c r="ER62" i="3" l="1"/>
  <c r="EP62" i="3"/>
  <c r="DQ56" i="3"/>
  <c r="CY56" i="3"/>
  <c r="Z33" i="3"/>
  <c r="Y33" i="3"/>
  <c r="AF33" i="3"/>
  <c r="X33" i="3"/>
  <c r="AE33" i="3"/>
  <c r="AA33" i="3"/>
  <c r="CM63" i="3" s="1"/>
  <c r="AD33" i="3"/>
  <c r="AC33" i="3"/>
  <c r="AB33" i="3"/>
  <c r="W33" i="3"/>
  <c r="DF56" i="3"/>
  <c r="EV56" i="3"/>
  <c r="CZ56" i="3"/>
  <c r="ET56" i="3"/>
  <c r="ED56" i="3"/>
  <c r="DI56" i="3"/>
  <c r="DE56" i="3"/>
  <c r="CX56" i="3"/>
  <c r="DV56" i="3"/>
  <c r="CQ56" i="3"/>
  <c r="EN56" i="3"/>
  <c r="EE55" i="3"/>
  <c r="EE56" i="3"/>
  <c r="EJ56" i="3"/>
  <c r="EU62" i="3"/>
  <c r="EQ62" i="3"/>
  <c r="CU56" i="3"/>
  <c r="EU56" i="3"/>
  <c r="DN56" i="3"/>
  <c r="CT56" i="3"/>
  <c r="CS56" i="3"/>
  <c r="DO55" i="3"/>
  <c r="DR56" i="3"/>
  <c r="EP56" i="3"/>
  <c r="EI55" i="3"/>
  <c r="EK56" i="3"/>
  <c r="EA55" i="3"/>
  <c r="DD56" i="3"/>
  <c r="ES62" i="3"/>
  <c r="ET62" i="3"/>
  <c r="EM56" i="3"/>
  <c r="EO56" i="3"/>
  <c r="DB56" i="3"/>
  <c r="ES55" i="3"/>
  <c r="CP56" i="3"/>
  <c r="EN62" i="3"/>
  <c r="EM62" i="3"/>
  <c r="DU56" i="3"/>
  <c r="ER56" i="3"/>
  <c r="DJ56" i="3"/>
  <c r="DH56" i="3"/>
  <c r="EP55" i="3"/>
  <c r="CR56" i="3"/>
  <c r="CP55" i="3"/>
  <c r="EO55" i="3"/>
  <c r="EO62" i="3"/>
  <c r="EV62" i="3"/>
  <c r="DT56" i="3"/>
  <c r="EL56" i="3"/>
  <c r="ES56" i="3"/>
  <c r="DP55" i="3"/>
  <c r="DG56" i="3"/>
  <c r="EA56" i="3"/>
  <c r="EH55" i="3"/>
  <c r="EH56" i="3"/>
  <c r="CO56" i="3"/>
  <c r="DL56" i="3"/>
  <c r="EX32" i="3"/>
  <c r="EW32" i="3"/>
  <c r="CV62" i="3"/>
  <c r="DM33" i="3"/>
  <c r="DM63" i="3" s="1"/>
  <c r="DP33" i="3"/>
  <c r="DP63" i="3" s="1"/>
  <c r="DO33" i="3"/>
  <c r="DO63" i="3" s="1"/>
  <c r="DQ33" i="3"/>
  <c r="DQ63" i="3" s="1"/>
  <c r="DL33" i="3"/>
  <c r="DL63" i="3" s="1"/>
  <c r="DK33" i="3"/>
  <c r="DK63" i="3" s="1"/>
  <c r="DI33" i="3"/>
  <c r="DI63" i="3" s="1"/>
  <c r="DR33" i="3"/>
  <c r="DR63" i="3" s="1"/>
  <c r="DN33" i="3"/>
  <c r="DN63" i="3" s="1"/>
  <c r="DJ33" i="3"/>
  <c r="DJ63" i="3" s="1"/>
  <c r="DE33" i="3"/>
  <c r="DE63" i="3" s="1"/>
  <c r="EK33" i="3"/>
  <c r="EK63" i="3" s="1"/>
  <c r="EF33" i="3"/>
  <c r="EF63" i="3" s="1"/>
  <c r="EL33" i="3"/>
  <c r="EL63" i="3" s="1"/>
  <c r="ED33" i="3"/>
  <c r="ED63" i="3" s="1"/>
  <c r="DX33" i="3"/>
  <c r="DX63" i="3" s="1"/>
  <c r="DF33" i="3"/>
  <c r="DF63" i="3" s="1"/>
  <c r="EI33" i="3"/>
  <c r="EI63" i="3" s="1"/>
  <c r="EC33" i="3"/>
  <c r="EC63" i="3" s="1"/>
  <c r="DY33" i="3"/>
  <c r="DY63" i="3" s="1"/>
  <c r="DV33" i="3"/>
  <c r="DV63" i="3" s="1"/>
  <c r="DU33" i="3"/>
  <c r="DU63" i="3" s="1"/>
  <c r="DW33" i="3"/>
  <c r="DW63" i="3" s="1"/>
  <c r="ER33" i="3"/>
  <c r="DC33" i="3"/>
  <c r="DC63" i="3" s="1"/>
  <c r="CZ33" i="3"/>
  <c r="CZ63" i="3" s="1"/>
  <c r="EA33" i="3"/>
  <c r="EA63" i="3" s="1"/>
  <c r="DT33" i="3"/>
  <c r="DT63" i="3" s="1"/>
  <c r="DH33" i="3"/>
  <c r="DH63" i="3" s="1"/>
  <c r="CY33" i="3"/>
  <c r="CY63" i="3" s="1"/>
  <c r="DS33" i="3"/>
  <c r="DS63" i="3" s="1"/>
  <c r="EP33" i="3"/>
  <c r="EO33" i="3"/>
  <c r="CX33" i="3"/>
  <c r="CX63" i="3" s="1"/>
  <c r="DA33" i="3"/>
  <c r="DA63" i="3" s="1"/>
  <c r="DB33" i="3"/>
  <c r="DB63" i="3" s="1"/>
  <c r="EN33" i="3"/>
  <c r="EU33" i="3"/>
  <c r="ET33" i="3"/>
  <c r="CV33" i="3"/>
  <c r="DD33" i="3"/>
  <c r="DD63" i="3" s="1"/>
  <c r="EG33" i="3"/>
  <c r="EG63" i="3" s="1"/>
  <c r="EQ33" i="3"/>
  <c r="EM33" i="3"/>
  <c r="CO33" i="3"/>
  <c r="CO63" i="3" s="1"/>
  <c r="DG33" i="3"/>
  <c r="DG63" i="3" s="1"/>
  <c r="EJ33" i="3"/>
  <c r="EJ63" i="3" s="1"/>
  <c r="EB33" i="3"/>
  <c r="EB63" i="3" s="1"/>
  <c r="ES33" i="3"/>
  <c r="EH33" i="3"/>
  <c r="EH63" i="3" s="1"/>
  <c r="EE33" i="3"/>
  <c r="EE63" i="3" s="1"/>
  <c r="DZ33" i="3"/>
  <c r="DZ63" i="3" s="1"/>
  <c r="EV33" i="3"/>
  <c r="CU33" i="3"/>
  <c r="CU63" i="3" s="1"/>
  <c r="CW33" i="3"/>
  <c r="CW63" i="3" s="1"/>
  <c r="CP33" i="3"/>
  <c r="CP63" i="3" s="1"/>
  <c r="CS33" i="3"/>
  <c r="CS63" i="3" s="1"/>
  <c r="CR33" i="3"/>
  <c r="CR63" i="3" s="1"/>
  <c r="CT33" i="3"/>
  <c r="CT63" i="3" s="1"/>
  <c r="CQ33" i="3"/>
  <c r="CQ63" i="3" s="1"/>
  <c r="C21" i="6"/>
  <c r="D20" i="6"/>
  <c r="B20" i="6"/>
  <c r="A20" i="6" s="1"/>
  <c r="BX32" i="3"/>
  <c r="CH32" i="3"/>
  <c r="CC32" i="3"/>
  <c r="CM32" i="3"/>
  <c r="CD32" i="3"/>
  <c r="CN32" i="3"/>
  <c r="BY32" i="3"/>
  <c r="CI32" i="3"/>
  <c r="BW32" i="3"/>
  <c r="CG32" i="3"/>
  <c r="BT33" i="3"/>
  <c r="BZ32" i="3"/>
  <c r="CJ32" i="3"/>
  <c r="BV32" i="3"/>
  <c r="CF32" i="3"/>
  <c r="CA32" i="3"/>
  <c r="CK32" i="3"/>
  <c r="BU32" i="3"/>
  <c r="CE32" i="3"/>
  <c r="CB32" i="3"/>
  <c r="CL32" i="3"/>
  <c r="BO33" i="3"/>
  <c r="BM33" i="3"/>
  <c r="BN33" i="3"/>
  <c r="BK33" i="3"/>
  <c r="BS33" i="3"/>
  <c r="BP33" i="3"/>
  <c r="BR33" i="3"/>
  <c r="BL33" i="3"/>
  <c r="BQ33" i="3"/>
  <c r="JX31" i="3"/>
  <c r="JX26" i="3"/>
  <c r="JX25" i="3"/>
  <c r="F33" i="3"/>
  <c r="FP26" i="3"/>
  <c r="FP25" i="3"/>
  <c r="FP31" i="3"/>
  <c r="JW26" i="3"/>
  <c r="JY26" i="3" s="1"/>
  <c r="FO32" i="3"/>
  <c r="A27" i="5"/>
  <c r="B32" i="3"/>
  <c r="E32" i="3"/>
  <c r="U34" i="3"/>
  <c r="JW25" i="3"/>
  <c r="JY25" i="3" s="1"/>
  <c r="U35" i="3"/>
  <c r="JW31" i="3"/>
  <c r="JY31" i="3" s="1"/>
  <c r="EU63" i="3" l="1"/>
  <c r="Y34" i="3"/>
  <c r="AF34" i="3"/>
  <c r="X34" i="3"/>
  <c r="AE34" i="3"/>
  <c r="AD34" i="3"/>
  <c r="AC34" i="3"/>
  <c r="AB34" i="3"/>
  <c r="Z34" i="3"/>
  <c r="AA34" i="3"/>
  <c r="CM64" i="3" s="1"/>
  <c r="W34" i="3"/>
  <c r="EV63" i="3"/>
  <c r="AF35" i="3"/>
  <c r="X35" i="3"/>
  <c r="AE35" i="3"/>
  <c r="AD35" i="3"/>
  <c r="AC35" i="3"/>
  <c r="AB35" i="3"/>
  <c r="AA35" i="3"/>
  <c r="CM65" i="3" s="1"/>
  <c r="W35" i="3"/>
  <c r="Z35" i="3"/>
  <c r="Y35" i="3"/>
  <c r="EM63" i="3"/>
  <c r="EQ63" i="3"/>
  <c r="ES63" i="3"/>
  <c r="EO63" i="3"/>
  <c r="EP63" i="3"/>
  <c r="ER63" i="3"/>
  <c r="ET63" i="3"/>
  <c r="EX33" i="3"/>
  <c r="EN63" i="3"/>
  <c r="EW33" i="3"/>
  <c r="CV63" i="3"/>
  <c r="DI35" i="3"/>
  <c r="DI65" i="3" s="1"/>
  <c r="DP35" i="3"/>
  <c r="DP65" i="3" s="1"/>
  <c r="DL35" i="3"/>
  <c r="DL65" i="3" s="1"/>
  <c r="DK35" i="3"/>
  <c r="DK65" i="3" s="1"/>
  <c r="DJ35" i="3"/>
  <c r="DJ65" i="3" s="1"/>
  <c r="DN35" i="3"/>
  <c r="DN65" i="3" s="1"/>
  <c r="DQ35" i="3"/>
  <c r="DQ65" i="3" s="1"/>
  <c r="DM35" i="3"/>
  <c r="DM65" i="3" s="1"/>
  <c r="DR35" i="3"/>
  <c r="DR65" i="3" s="1"/>
  <c r="DO35" i="3"/>
  <c r="DO65" i="3" s="1"/>
  <c r="DH35" i="3"/>
  <c r="DH65" i="3" s="1"/>
  <c r="EG35" i="3"/>
  <c r="EG65" i="3" s="1"/>
  <c r="EC35" i="3"/>
  <c r="EC65" i="3" s="1"/>
  <c r="EA35" i="3"/>
  <c r="EA65" i="3" s="1"/>
  <c r="DE35" i="3"/>
  <c r="DE65" i="3" s="1"/>
  <c r="DB35" i="3"/>
  <c r="DB65" i="3" s="1"/>
  <c r="EF35" i="3"/>
  <c r="EF65" i="3" s="1"/>
  <c r="EH35" i="3"/>
  <c r="EH65" i="3" s="1"/>
  <c r="ED35" i="3"/>
  <c r="ED65" i="3" s="1"/>
  <c r="EJ35" i="3"/>
  <c r="EJ65" i="3" s="1"/>
  <c r="DV35" i="3"/>
  <c r="DV65" i="3" s="1"/>
  <c r="DZ35" i="3"/>
  <c r="DZ65" i="3" s="1"/>
  <c r="DX35" i="3"/>
  <c r="DX65" i="3" s="1"/>
  <c r="ES35" i="3"/>
  <c r="CY35" i="3"/>
  <c r="CY65" i="3" s="1"/>
  <c r="EI35" i="3"/>
  <c r="EI65" i="3" s="1"/>
  <c r="DT35" i="3"/>
  <c r="DT65" i="3" s="1"/>
  <c r="DA35" i="3"/>
  <c r="DA65" i="3" s="1"/>
  <c r="EL35" i="3"/>
  <c r="EL65" i="3" s="1"/>
  <c r="DW35" i="3"/>
  <c r="DW65" i="3" s="1"/>
  <c r="DY35" i="3"/>
  <c r="DY65" i="3" s="1"/>
  <c r="CQ35" i="3"/>
  <c r="CQ65" i="3" s="1"/>
  <c r="DG35" i="3"/>
  <c r="DG65" i="3" s="1"/>
  <c r="EB35" i="3"/>
  <c r="EB65" i="3" s="1"/>
  <c r="DS35" i="3"/>
  <c r="DS65" i="3" s="1"/>
  <c r="DU35" i="3"/>
  <c r="DU65" i="3" s="1"/>
  <c r="ER35" i="3"/>
  <c r="EV35" i="3"/>
  <c r="EN35" i="3"/>
  <c r="EU35" i="3"/>
  <c r="EP35" i="3"/>
  <c r="EM35" i="3"/>
  <c r="EQ35" i="3"/>
  <c r="DC35" i="3"/>
  <c r="DC65" i="3" s="1"/>
  <c r="CZ35" i="3"/>
  <c r="CZ65" i="3" s="1"/>
  <c r="EE35" i="3"/>
  <c r="EE65" i="3" s="1"/>
  <c r="EO35" i="3"/>
  <c r="EO65" i="3" s="1"/>
  <c r="DF35" i="3"/>
  <c r="DF65" i="3" s="1"/>
  <c r="DD35" i="3"/>
  <c r="DD65" i="3" s="1"/>
  <c r="EK35" i="3"/>
  <c r="EK65" i="3" s="1"/>
  <c r="CW35" i="3"/>
  <c r="CW65" i="3" s="1"/>
  <c r="CO35" i="3"/>
  <c r="CO65" i="3" s="1"/>
  <c r="ET35" i="3"/>
  <c r="CR35" i="3"/>
  <c r="CR65" i="3" s="1"/>
  <c r="CU35" i="3"/>
  <c r="CU65" i="3" s="1"/>
  <c r="CX35" i="3"/>
  <c r="CX65" i="3" s="1"/>
  <c r="CT35" i="3"/>
  <c r="CT65" i="3" s="1"/>
  <c r="CP35" i="3"/>
  <c r="CP65" i="3" s="1"/>
  <c r="CV35" i="3"/>
  <c r="CS35" i="3"/>
  <c r="CS65" i="3" s="1"/>
  <c r="DP34" i="3"/>
  <c r="DP64" i="3" s="1"/>
  <c r="DL34" i="3"/>
  <c r="DL64" i="3" s="1"/>
  <c r="DM34" i="3"/>
  <c r="DM64" i="3" s="1"/>
  <c r="DJ34" i="3"/>
  <c r="DJ64" i="3" s="1"/>
  <c r="DI34" i="3"/>
  <c r="DI64" i="3" s="1"/>
  <c r="DK34" i="3"/>
  <c r="DK64" i="3" s="1"/>
  <c r="DR34" i="3"/>
  <c r="DR64" i="3" s="1"/>
  <c r="DO34" i="3"/>
  <c r="DO64" i="3" s="1"/>
  <c r="DN34" i="3"/>
  <c r="DN64" i="3" s="1"/>
  <c r="DQ34" i="3"/>
  <c r="DQ64" i="3" s="1"/>
  <c r="CY34" i="3"/>
  <c r="CY64" i="3" s="1"/>
  <c r="DD34" i="3"/>
  <c r="DD64" i="3" s="1"/>
  <c r="EJ34" i="3"/>
  <c r="EJ64" i="3" s="1"/>
  <c r="EQ34" i="3"/>
  <c r="ET34" i="3"/>
  <c r="DA34" i="3"/>
  <c r="DA64" i="3" s="1"/>
  <c r="DC34" i="3"/>
  <c r="DC64" i="3" s="1"/>
  <c r="EI34" i="3"/>
  <c r="EI64" i="3" s="1"/>
  <c r="EF34" i="3"/>
  <c r="EF64" i="3" s="1"/>
  <c r="EH34" i="3"/>
  <c r="EH64" i="3" s="1"/>
  <c r="EA34" i="3"/>
  <c r="EA64" i="3" s="1"/>
  <c r="ES34" i="3"/>
  <c r="DG34" i="3"/>
  <c r="DG64" i="3" s="1"/>
  <c r="DH34" i="3"/>
  <c r="DH64" i="3" s="1"/>
  <c r="EG34" i="3"/>
  <c r="EG64" i="3" s="1"/>
  <c r="EL34" i="3"/>
  <c r="EL64" i="3" s="1"/>
  <c r="ED34" i="3"/>
  <c r="ED64" i="3" s="1"/>
  <c r="EE34" i="3"/>
  <c r="EE64" i="3" s="1"/>
  <c r="DW34" i="3"/>
  <c r="DW64" i="3" s="1"/>
  <c r="DY34" i="3"/>
  <c r="DY64" i="3" s="1"/>
  <c r="EO34" i="3"/>
  <c r="DE34" i="3"/>
  <c r="DE64" i="3" s="1"/>
  <c r="EK34" i="3"/>
  <c r="EK64" i="3" s="1"/>
  <c r="DS34" i="3"/>
  <c r="DS64" i="3" s="1"/>
  <c r="EU34" i="3"/>
  <c r="EU64" i="3" s="1"/>
  <c r="DF34" i="3"/>
  <c r="DF64" i="3" s="1"/>
  <c r="EB34" i="3"/>
  <c r="EB64" i="3" s="1"/>
  <c r="DU34" i="3"/>
  <c r="DU64" i="3" s="1"/>
  <c r="CZ34" i="3"/>
  <c r="CZ64" i="3" s="1"/>
  <c r="DZ34" i="3"/>
  <c r="DZ64" i="3" s="1"/>
  <c r="ER34" i="3"/>
  <c r="EC34" i="3"/>
  <c r="EC64" i="3" s="1"/>
  <c r="DX34" i="3"/>
  <c r="DX64" i="3" s="1"/>
  <c r="DT34" i="3"/>
  <c r="DT64" i="3" s="1"/>
  <c r="EV34" i="3"/>
  <c r="EP34" i="3"/>
  <c r="DB34" i="3"/>
  <c r="DB64" i="3" s="1"/>
  <c r="DV34" i="3"/>
  <c r="DV64" i="3" s="1"/>
  <c r="EM34" i="3"/>
  <c r="EN34" i="3"/>
  <c r="CQ34" i="3"/>
  <c r="CQ64" i="3" s="1"/>
  <c r="CU34" i="3"/>
  <c r="CU64" i="3" s="1"/>
  <c r="CR34" i="3"/>
  <c r="CR64" i="3" s="1"/>
  <c r="CX34" i="3"/>
  <c r="CX64" i="3" s="1"/>
  <c r="CP34" i="3"/>
  <c r="CP64" i="3" s="1"/>
  <c r="CW34" i="3"/>
  <c r="CW64" i="3" s="1"/>
  <c r="CO34" i="3"/>
  <c r="CO64" i="3" s="1"/>
  <c r="CS34" i="3"/>
  <c r="CS64" i="3" s="1"/>
  <c r="CV34" i="3"/>
  <c r="CT34" i="3"/>
  <c r="CT64" i="3" s="1"/>
  <c r="C22" i="6"/>
  <c r="D21" i="6"/>
  <c r="B21" i="6"/>
  <c r="A21" i="6" s="1"/>
  <c r="CA33" i="3"/>
  <c r="CK33" i="3"/>
  <c r="BY33" i="3"/>
  <c r="CI33" i="3"/>
  <c r="BV33" i="3"/>
  <c r="CF33" i="3"/>
  <c r="CB33" i="3"/>
  <c r="CL33" i="3"/>
  <c r="BW33" i="3"/>
  <c r="CG33" i="3"/>
  <c r="BZ33" i="3"/>
  <c r="CJ33" i="3"/>
  <c r="CC33" i="3"/>
  <c r="CM33" i="3"/>
  <c r="CD33" i="3"/>
  <c r="CN33" i="3"/>
  <c r="BU33" i="3"/>
  <c r="CE33" i="3"/>
  <c r="BT35" i="3"/>
  <c r="BT34" i="3"/>
  <c r="BX33" i="3"/>
  <c r="CH33" i="3"/>
  <c r="BS35" i="3"/>
  <c r="BK35" i="3"/>
  <c r="BR35" i="3"/>
  <c r="BQ35" i="3"/>
  <c r="BP35" i="3"/>
  <c r="BL35" i="3"/>
  <c r="BO35" i="3"/>
  <c r="BN35" i="3"/>
  <c r="BM35" i="3"/>
  <c r="BQ34" i="3"/>
  <c r="BM34" i="3"/>
  <c r="BP34" i="3"/>
  <c r="BK34" i="3"/>
  <c r="BO34" i="3"/>
  <c r="BN34" i="3"/>
  <c r="CH34" i="3" s="1"/>
  <c r="BL34" i="3"/>
  <c r="BS34" i="3"/>
  <c r="BR34" i="3"/>
  <c r="JX32" i="3"/>
  <c r="E33" i="3"/>
  <c r="JW33" i="3" s="1"/>
  <c r="JY33" i="3" s="1"/>
  <c r="F34" i="3"/>
  <c r="F35" i="3"/>
  <c r="FP32" i="3"/>
  <c r="FO33" i="3"/>
  <c r="JW32" i="3"/>
  <c r="JY32" i="3" s="1"/>
  <c r="A28" i="5"/>
  <c r="B33" i="3"/>
  <c r="EN64" i="3" l="1"/>
  <c r="EV65" i="3"/>
  <c r="EM64" i="3"/>
  <c r="ER64" i="3"/>
  <c r="ET65" i="3"/>
  <c r="ER65" i="3"/>
  <c r="EO64" i="3"/>
  <c r="ET64" i="3"/>
  <c r="EQ65" i="3"/>
  <c r="EN65" i="3"/>
  <c r="EP64" i="3"/>
  <c r="ES64" i="3"/>
  <c r="EQ64" i="3"/>
  <c r="EM65" i="3"/>
  <c r="EV64" i="3"/>
  <c r="EP65" i="3"/>
  <c r="EU65" i="3"/>
  <c r="ES65" i="3"/>
  <c r="EX34" i="3"/>
  <c r="EW34" i="3"/>
  <c r="CV64" i="3"/>
  <c r="EW35" i="3"/>
  <c r="CV65" i="3"/>
  <c r="EX35" i="3"/>
  <c r="C23" i="6"/>
  <c r="D22" i="6"/>
  <c r="B22" i="6"/>
  <c r="A22" i="6" s="1"/>
  <c r="BY34" i="3"/>
  <c r="CI34" i="3"/>
  <c r="BY35" i="3"/>
  <c r="CI35" i="3"/>
  <c r="BU34" i="3"/>
  <c r="CE34" i="3"/>
  <c r="BV35" i="3"/>
  <c r="CF35" i="3"/>
  <c r="BZ34" i="3"/>
  <c r="CJ34" i="3"/>
  <c r="BZ35" i="3"/>
  <c r="CJ35" i="3"/>
  <c r="CD34" i="3"/>
  <c r="CN34" i="3"/>
  <c r="CB34" i="3"/>
  <c r="CL34" i="3"/>
  <c r="BW34" i="3"/>
  <c r="CG34" i="3"/>
  <c r="CA35" i="3"/>
  <c r="CK35" i="3"/>
  <c r="BX35" i="3"/>
  <c r="CH35" i="3"/>
  <c r="CA34" i="3"/>
  <c r="CK34" i="3"/>
  <c r="CB35" i="3"/>
  <c r="CL35" i="3"/>
  <c r="CD35" i="3"/>
  <c r="CN35" i="3"/>
  <c r="CC34" i="3"/>
  <c r="CM34" i="3"/>
  <c r="BW35" i="3"/>
  <c r="CG35" i="3"/>
  <c r="BU35" i="3"/>
  <c r="CE35" i="3"/>
  <c r="BV34" i="3"/>
  <c r="CF34" i="3"/>
  <c r="CC35" i="3"/>
  <c r="CM35" i="3"/>
  <c r="BX34" i="3"/>
  <c r="FP33" i="3"/>
  <c r="JX33" i="3"/>
  <c r="E35" i="3"/>
  <c r="JW35" i="3" s="1"/>
  <c r="JY35" i="3" s="1"/>
  <c r="FO34" i="3"/>
  <c r="FO35" i="3"/>
  <c r="A29" i="5"/>
  <c r="B34" i="3"/>
  <c r="E34" i="3"/>
  <c r="A30" i="5"/>
  <c r="B35" i="3"/>
  <c r="B23" i="6" l="1"/>
  <c r="A23" i="6" s="1"/>
  <c r="D23" i="6"/>
  <c r="FP35" i="3"/>
  <c r="JX34" i="3"/>
  <c r="JX35" i="3"/>
  <c r="FP34" i="3"/>
  <c r="JW34" i="3"/>
  <c r="JY3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bristowp</author>
  </authors>
  <commentList>
    <comment ref="W1" authorId="0" shapeId="0" xr:uid="{00000000-0006-0000-0200-000001000000}">
      <text>
        <r>
          <rPr>
            <sz val="11"/>
            <color rgb="FF000000"/>
            <rFont val="Calibri"/>
            <family val="2"/>
            <charset val="1"/>
          </rPr>
          <t xml:space="preserve">Author:
</t>
        </r>
        <r>
          <rPr>
            <sz val="11"/>
            <color rgb="FF000000"/>
            <rFont val="Calibri"/>
            <family val="2"/>
            <charset val="1"/>
          </rPr>
          <t>Shouldbe propagated to headers</t>
        </r>
      </text>
    </comment>
    <comment ref="AG1" authorId="0" shapeId="0" xr:uid="{00000000-0006-0000-0200-000002000000}">
      <text>
        <r>
          <rPr>
            <sz val="11"/>
            <color rgb="FF000000"/>
            <rFont val="Calibri"/>
            <family val="2"/>
            <charset val="1"/>
          </rPr>
          <t xml:space="preserve">Author:
</t>
        </r>
        <r>
          <rPr>
            <sz val="11"/>
            <color rgb="FF000000"/>
            <rFont val="Calibri"/>
            <family val="2"/>
            <charset val="1"/>
          </rPr>
          <t>Should be propagated to headers for DRS</t>
        </r>
      </text>
    </comment>
    <comment ref="AQ1" authorId="0" shapeId="0" xr:uid="{00000000-0006-0000-0200-000003000000}">
      <text>
        <r>
          <rPr>
            <sz val="11"/>
            <color rgb="FF000000"/>
            <rFont val="Calibri"/>
            <family val="2"/>
            <charset val="1"/>
          </rPr>
          <t xml:space="preserve">Author:
</t>
        </r>
        <r>
          <rPr>
            <sz val="11"/>
            <color rgb="FF000000"/>
            <rFont val="Calibri"/>
            <family val="2"/>
            <charset val="1"/>
          </rPr>
          <t>Should be propagated to headers for DRS</t>
        </r>
      </text>
    </comment>
    <comment ref="BA1" authorId="0" shapeId="0" xr:uid="{00000000-0006-0000-0200-000004000000}">
      <text>
        <r>
          <rPr>
            <sz val="11"/>
            <color rgb="FF000000"/>
            <rFont val="Calibri"/>
            <family val="2"/>
            <charset val="1"/>
          </rPr>
          <t>Author:
Should be propagated to headers for DRS</t>
        </r>
      </text>
    </comment>
    <comment ref="BK1" authorId="0" shapeId="0" xr:uid="{00000000-0006-0000-0200-000005000000}">
      <text>
        <r>
          <rPr>
            <sz val="11"/>
            <color rgb="FF000000"/>
            <rFont val="Calibri"/>
            <family val="2"/>
            <charset val="1"/>
          </rPr>
          <t>Author:
Useful for development, does not need to be in the online database or propagated to headers.</t>
        </r>
      </text>
    </comment>
    <comment ref="BU1" authorId="0" shapeId="0" xr:uid="{00000000-0006-0000-0200-000006000000}">
      <text>
        <r>
          <rPr>
            <sz val="11"/>
            <color rgb="FF000000"/>
            <rFont val="Calibri"/>
            <family val="2"/>
            <charset val="1"/>
          </rPr>
          <t xml:space="preserve">Author:
</t>
        </r>
        <r>
          <rPr>
            <sz val="11"/>
            <color rgb="FF000000"/>
            <rFont val="Calibri"/>
            <family val="2"/>
            <charset val="1"/>
          </rPr>
          <t>Useful for development, should be propagated to headers.</t>
        </r>
      </text>
    </comment>
    <comment ref="CE1" authorId="0" shapeId="0" xr:uid="{00000000-0006-0000-0200-000007000000}">
      <text>
        <r>
          <rPr>
            <sz val="11"/>
            <color rgb="FF000000"/>
            <rFont val="Calibri"/>
            <family val="2"/>
            <charset val="1"/>
          </rPr>
          <t xml:space="preserve">Author:
</t>
        </r>
        <r>
          <rPr>
            <sz val="11"/>
            <color rgb="FF000000"/>
            <rFont val="Calibri"/>
            <family val="2"/>
            <charset val="1"/>
          </rPr>
          <t>Useful for development, should be propagated to headers.</t>
        </r>
      </text>
    </comment>
    <comment ref="CO1" authorId="0" shapeId="0" xr:uid="{00000000-0006-0000-0200-000008000000}">
      <text>
        <r>
          <rPr>
            <sz val="11"/>
            <color rgb="FF000000"/>
            <rFont val="Calibri"/>
            <family val="2"/>
            <charset val="1"/>
          </rPr>
          <t xml:space="preserve">Author:
</t>
        </r>
        <r>
          <rPr>
            <sz val="11"/>
            <color rgb="FF000000"/>
            <rFont val="Calibri"/>
            <family val="2"/>
            <charset val="1"/>
          </rPr>
          <t>Should be propagated to headers for DRS</t>
        </r>
      </text>
    </comment>
    <comment ref="EW1" authorId="1" shapeId="0" xr:uid="{00000000-0006-0000-0200-000009000000}">
      <text>
        <r>
          <rPr>
            <b/>
            <sz val="10"/>
            <color indexed="81"/>
            <rFont val="Calibri"/>
            <family val="2"/>
          </rPr>
          <t>bristowp:</t>
        </r>
        <r>
          <rPr>
            <sz val="10"/>
            <color indexed="81"/>
            <rFont val="Calibri"/>
            <family val="2"/>
          </rPr>
          <t xml:space="preserve">
Eventually this column shall be filled out with the measured wavelength at which the full slit begins to be vignetted by the non-active rows at the top edge of the detectors or where  the max order intersects the blue edge of detector 1 (whichever is the case).
Until the characterisation is done, the value used here is the estimated (assuming simple grating formula and nominally aligned detectors) wavelength at which the max order intersects the blue edge of detector 1</t>
        </r>
      </text>
    </comment>
    <comment ref="EX1" authorId="1" shapeId="0" xr:uid="{00000000-0006-0000-0200-00000A000000}">
      <text>
        <r>
          <rPr>
            <b/>
            <sz val="10"/>
            <color indexed="81"/>
            <rFont val="Calibri"/>
            <family val="2"/>
          </rPr>
          <t>bristowp:</t>
        </r>
        <r>
          <rPr>
            <sz val="10"/>
            <color indexed="81"/>
            <rFont val="Calibri"/>
            <family val="2"/>
          </rPr>
          <t xml:space="preserve">
Eventually this column shall be filled out with the measured wavelength at which the full slit begins to be vignetted by the non-active rows at the bottom edge of the detectors or where  the min order intersects the red edge of detector 3 (whichever is the case).
Until the characterisation is done, the value used here is the estimated (assuming simple grating formula and nominally aligned detectors) wavelength at which the min order intersects the red edge of detector 3</t>
        </r>
      </text>
    </comment>
    <comment ref="EY1" authorId="0" shapeId="0" xr:uid="{00000000-0006-0000-0200-00000B000000}">
      <text>
        <r>
          <rPr>
            <sz val="11"/>
            <color rgb="FF000000"/>
            <rFont val="Calibri"/>
            <family val="2"/>
            <charset val="1"/>
          </rPr>
          <t xml:space="preserve">Author:
</t>
        </r>
        <r>
          <rPr>
            <sz val="11"/>
            <color rgb="FF000000"/>
            <rFont val="Calibri"/>
            <family val="2"/>
            <charset val="1"/>
          </rPr>
          <t>The x, y piezo ratios should be in the online DB, at least for the metrology. They do not need to be propagated to headers.</t>
        </r>
      </text>
    </comment>
    <comment ref="FA1" authorId="0" shapeId="0" xr:uid="{00000000-0006-0000-0200-00000C000000}">
      <text>
        <r>
          <rPr>
            <sz val="11"/>
            <color rgb="FF000000"/>
            <rFont val="Calibri"/>
            <family val="2"/>
            <charset val="1"/>
          </rPr>
          <t xml:space="preserve">Author:
</t>
        </r>
        <r>
          <rPr>
            <sz val="11"/>
            <color rgb="FF000000"/>
            <rFont val="Calibri"/>
            <family val="2"/>
            <charset val="1"/>
          </rPr>
          <t xml:space="preserve">All lamp max fluxs for standard settings should be in the online DB. They do not need to be propagated to headers (the headers will contain the exposure time and baffle setting actually used).
</t>
        </r>
        <r>
          <rPr>
            <sz val="11"/>
            <color rgb="FF000000"/>
            <rFont val="Calibri"/>
            <family val="2"/>
            <charset val="1"/>
          </rPr>
          <t xml:space="preserve">
</t>
        </r>
        <r>
          <rPr>
            <sz val="11"/>
            <color rgb="FF000000"/>
            <rFont val="Calibri"/>
            <family val="2"/>
            <charset val="1"/>
          </rPr>
          <t>The filling of these columns is part of the PAE test activities described in section 10.1.4 of the PAE Test Plan. In fact it would probably be better to fill these columns with ADU/s (for the brightest part of the spectrum that appears in the standard setting) because this would provide better compatibility with (and easier reuse of)  the oCRIRES ICS. [it has now been done this way]</t>
        </r>
      </text>
    </comment>
    <comment ref="FN1" authorId="0" shapeId="0" xr:uid="{00000000-0006-0000-0200-00000D000000}">
      <text/>
    </comment>
    <comment ref="FQ1" authorId="1" shapeId="0" xr:uid="{00000000-0006-0000-0200-00000E000000}">
      <text>
        <r>
          <rPr>
            <b/>
            <sz val="10"/>
            <color rgb="FF000000"/>
            <rFont val="Calibri"/>
            <family val="2"/>
          </rPr>
          <t xml:space="preserve">bristowp:
</t>
        </r>
        <r>
          <rPr>
            <b/>
            <sz val="10"/>
            <color rgb="FF000000"/>
            <rFont val="Calibri"/>
            <family val="2"/>
          </rPr>
          <t xml:space="preserve">
</t>
        </r>
        <r>
          <rPr>
            <sz val="10"/>
            <color rgb="FF000000"/>
            <rFont val="Calibri"/>
            <family val="2"/>
          </rPr>
          <t>The metrology parameters here should be available in the online DB for the metrology templates, but they do not need to be propagated to the headers (the metrology templates may write the measured centroids of metrology features in the headers, or the offsets)</t>
        </r>
        <r>
          <rPr>
            <sz val="10"/>
            <color rgb="FF000000"/>
            <rFont val="Calibri"/>
            <family val="2"/>
          </rPr>
          <t xml:space="preserve">
</t>
        </r>
        <r>
          <rPr>
            <sz val="10"/>
            <color rgb="FF000000"/>
            <rFont val="Calibri"/>
            <family val="2"/>
          </rPr>
          <t xml:space="preserve">
</t>
        </r>
        <r>
          <rPr>
            <sz val="10"/>
            <color rgb="FF000000"/>
            <rFont val="Calibri"/>
            <family val="2"/>
          </rPr>
          <t>I have allowed for up to 10 spectral features from each source in each setting. In practise we will probably only use 2-5 from the ES source and 2 from the MF source.</t>
        </r>
      </text>
    </comment>
    <comment ref="JW1" authorId="1" shapeId="0" xr:uid="{2E6D998F-3FFE-7B43-8BBB-116A3DE653AC}">
      <text>
        <r>
          <rPr>
            <b/>
            <sz val="10"/>
            <color rgb="FF000000"/>
            <rFont val="Tahoma"/>
            <family val="2"/>
          </rPr>
          <t>bristowp:</t>
        </r>
        <r>
          <rPr>
            <sz val="10"/>
            <color rgb="FF000000"/>
            <rFont val="Tahoma"/>
            <family val="2"/>
          </rPr>
          <t xml:space="preserve">
</t>
        </r>
        <r>
          <rPr>
            <sz val="10"/>
            <color rgb="FF000000"/>
            <rFont val="Tahoma"/>
            <family val="2"/>
          </rPr>
          <t>This varies slowly with echelle grating angle and not at all with echelle order. For most purposes a value of 2775pix/deg can be safely used. This is similar to the value that one calculates for specular reflection (2932pix/deg)</t>
        </r>
      </text>
    </comment>
    <comment ref="JY1" authorId="1" shapeId="0" xr:uid="{F8E2CF20-C49E-8446-8A83-CF8E54B49CA7}">
      <text>
        <r>
          <rPr>
            <b/>
            <sz val="10"/>
            <color rgb="FF000000"/>
            <rFont val="Tahoma"/>
            <family val="2"/>
          </rPr>
          <t>bristowp:</t>
        </r>
        <r>
          <rPr>
            <sz val="10"/>
            <color rgb="FF000000"/>
            <rFont val="Tahoma"/>
            <family val="2"/>
          </rPr>
          <t xml:space="preserve">
</t>
        </r>
        <r>
          <rPr>
            <sz val="10"/>
            <color rgb="FF000000"/>
            <rFont val="Tahoma"/>
            <family val="2"/>
          </rPr>
          <t>This varies slowly with echelle grating angle and not at all with echelle order. For most purposes a value of 2775pix/deg can be safely used. This is similar to the value that one calculates for specular reflection (2932pix/deg)</t>
        </r>
      </text>
    </comment>
    <comment ref="JZ1" authorId="0" shapeId="0" xr:uid="{502EF535-7E74-0A42-A984-1B984AB2E754}">
      <text>
        <r>
          <rPr>
            <sz val="11"/>
            <color rgb="FF000000"/>
            <rFont val="Calibri"/>
            <family val="2"/>
            <charset val="1"/>
          </rPr>
          <t xml:space="preserve">Author:
</t>
        </r>
        <r>
          <rPr>
            <sz val="11"/>
            <color rgb="FF000000"/>
            <rFont val="Calibri"/>
            <family val="2"/>
            <charset val="1"/>
          </rPr>
          <t>Should be propagated to headers for DRS</t>
        </r>
      </text>
    </comment>
    <comment ref="KJ1" authorId="0" shapeId="0" xr:uid="{96D0C94E-157C-4C4B-9ACC-260888945DA1}">
      <text>
        <r>
          <rPr>
            <sz val="11"/>
            <color rgb="FF000000"/>
            <rFont val="Calibri"/>
            <family val="2"/>
            <charset val="1"/>
          </rPr>
          <t xml:space="preserve">Author:
</t>
        </r>
        <r>
          <rPr>
            <sz val="11"/>
            <color rgb="FF000000"/>
            <rFont val="Calibri"/>
            <family val="2"/>
            <charset val="1"/>
          </rPr>
          <t>Should be propagated to headers for DRS</t>
        </r>
      </text>
    </comment>
    <comment ref="KT1" authorId="0" shapeId="0" xr:uid="{E405E4BD-C3D6-7449-9F42-3160546BE547}">
      <text>
        <r>
          <rPr>
            <sz val="11"/>
            <color rgb="FF000000"/>
            <rFont val="Calibri"/>
            <family val="2"/>
            <charset val="1"/>
          </rPr>
          <t>Author:
Should be propagated to headers for DRS</t>
        </r>
      </text>
    </comment>
    <comment ref="D2" authorId="0" shapeId="0" xr:uid="{00000000-0006-0000-0200-00000F000000}">
      <text>
        <r>
          <rPr>
            <sz val="11"/>
            <color rgb="FF000000"/>
            <rFont val="Calibri"/>
            <family val="2"/>
            <charset val="1"/>
          </rPr>
          <t xml:space="preserve">Author:
</t>
        </r>
        <r>
          <rPr>
            <sz val="11"/>
            <color rgb="FF000000"/>
            <rFont val="Calibri"/>
            <family val="2"/>
            <charset val="1"/>
          </rPr>
          <t>this is different for CRIRES+ because it only indicates the central order</t>
        </r>
      </text>
    </comment>
    <comment ref="E2" authorId="0" shapeId="0" xr:uid="{00000000-0006-0000-0200-000010000000}">
      <text>
        <r>
          <rPr>
            <sz val="11"/>
            <color rgb="FF000000"/>
            <rFont val="Calibri"/>
            <family val="2"/>
            <charset val="1"/>
          </rPr>
          <t xml:space="preserve">Author:
</t>
        </r>
        <r>
          <rPr>
            <sz val="11"/>
            <color rgb="FF000000"/>
            <rFont val="Calibri"/>
            <family val="2"/>
            <charset val="1"/>
          </rPr>
          <t xml:space="preserve">Useful parameter for quick interpreatation of data. </t>
        </r>
      </text>
    </comment>
    <comment ref="K2" authorId="1" shapeId="0" xr:uid="{00000000-0006-0000-0200-000011000000}">
      <text>
        <r>
          <rPr>
            <b/>
            <sz val="10"/>
            <color rgb="FF000000"/>
            <rFont val="Calibri"/>
            <family val="2"/>
          </rPr>
          <t>bristowp:</t>
        </r>
        <r>
          <rPr>
            <sz val="10"/>
            <color rgb="FF000000"/>
            <rFont val="Calibri"/>
            <family val="2"/>
          </rPr>
          <t xml:space="preserve">
</t>
        </r>
        <r>
          <rPr>
            <sz val="10"/>
            <color rgb="FF000000"/>
            <rFont val="Calibri"/>
            <family val="2"/>
          </rPr>
          <t xml:space="preserve">Only OSF is here.
</t>
        </r>
        <r>
          <rPr>
            <sz val="10"/>
            <color rgb="FF000000"/>
            <rFont val="Calibri"/>
            <family val="2"/>
          </rPr>
          <t>SV filter setting is not part of this table because it is not uniquely determined by the wavelength setting.</t>
        </r>
      </text>
    </comment>
    <comment ref="O2" authorId="1" shapeId="0" xr:uid="{00000000-0006-0000-0200-000012000000}">
      <text>
        <r>
          <rPr>
            <b/>
            <sz val="10"/>
            <color rgb="FF000000"/>
            <rFont val="Calibri"/>
            <family val="2"/>
          </rPr>
          <t>bristowp:</t>
        </r>
        <r>
          <rPr>
            <sz val="10"/>
            <color rgb="FF000000"/>
            <rFont val="Calibri"/>
            <family val="2"/>
          </rPr>
          <t xml:space="preserve">
</t>
        </r>
        <r>
          <rPr>
            <sz val="10"/>
            <color rgb="FF000000"/>
            <rFont val="Calibri"/>
            <family val="2"/>
          </rPr>
          <t xml:space="preserve">Only OSF is here.
</t>
        </r>
        <r>
          <rPr>
            <sz val="10"/>
            <color rgb="FF000000"/>
            <rFont val="Calibri"/>
            <family val="2"/>
          </rPr>
          <t>SV filter setting is not part of this table because it is not uniquely determined by the wavelength setting.</t>
        </r>
      </text>
    </comment>
    <comment ref="M3" authorId="0" shapeId="0" xr:uid="{00000000-0006-0000-0200-000013000000}">
      <text>
        <r>
          <rPr>
            <sz val="11"/>
            <color rgb="FF000000"/>
            <rFont val="Calibri"/>
            <family val="2"/>
            <charset val="1"/>
          </rPr>
          <t xml:space="preserve">Author:
</t>
        </r>
        <r>
          <rPr>
            <sz val="11"/>
            <color rgb="FF000000"/>
            <rFont val="Calibri"/>
            <family val="2"/>
            <charset val="1"/>
          </rPr>
          <t>was in um for oCRIRES</t>
        </r>
      </text>
    </comment>
    <comment ref="FQ5" authorId="0" shapeId="0" xr:uid="{00000000-0006-0000-0200-000014000000}">
      <text>
        <r>
          <rPr>
            <sz val="11"/>
            <color rgb="FF000000"/>
            <rFont val="Calibri"/>
            <family val="2"/>
            <charset val="1"/>
          </rPr>
          <t xml:space="preserve">Author:
</t>
        </r>
        <r>
          <rPr>
            <sz val="11"/>
            <color rgb="FF000000"/>
            <rFont val="Calibri"/>
            <family val="2"/>
            <charset val="1"/>
          </rPr>
          <t>All of the MetroID_ES[ES/MF][N] are marked as new here because oCRIRES did not record them</t>
        </r>
      </text>
    </comment>
    <comment ref="FR5" authorId="0" shapeId="0" xr:uid="{00000000-0006-0000-0200-000015000000}">
      <text>
        <r>
          <rPr>
            <sz val="11"/>
            <color rgb="FF000000"/>
            <rFont val="Calibri"/>
            <family val="2"/>
            <charset val="1"/>
          </rPr>
          <t xml:space="preserve">Author:
</t>
        </r>
        <r>
          <rPr>
            <sz val="11"/>
            <color rgb="FF000000"/>
            <rFont val="Calibri"/>
            <family val="2"/>
            <charset val="1"/>
          </rPr>
          <t>All of the MetroWav[ES/MF][N] are marked as new here because oCRIRES did not record them</t>
        </r>
      </text>
    </comment>
    <comment ref="FS5" authorId="0" shapeId="0" xr:uid="{00000000-0006-0000-0200-000016000000}">
      <text>
        <r>
          <rPr>
            <sz val="11"/>
            <color rgb="FF000000"/>
            <rFont val="Calibri"/>
            <family val="2"/>
            <charset val="1"/>
          </rPr>
          <t xml:space="preserve">Author:
</t>
        </r>
        <r>
          <rPr>
            <sz val="11"/>
            <color rgb="FF000000"/>
            <rFont val="Calibri"/>
            <family val="2"/>
            <charset val="1"/>
          </rPr>
          <t>All of the MetroPos[ES/MF][N]D are marked as new here because oCRIRES did not record the detector number (instead x took values up to 4096)</t>
        </r>
      </text>
    </comment>
    <comment ref="GR5" authorId="0" shapeId="0" xr:uid="{00000000-0006-0000-0200-000017000000}">
      <text>
        <r>
          <rPr>
            <sz val="11"/>
            <color rgb="FF000000"/>
            <rFont val="Calibri"/>
            <family val="2"/>
            <charset val="1"/>
          </rPr>
          <t>Author:
MetroPosES5x onwards are maked as new here because for oCRIRES only 4 features were alllowed for</t>
        </r>
      </text>
    </comment>
    <comment ref="GT5" authorId="0" shapeId="0" xr:uid="{00000000-0006-0000-0200-000018000000}">
      <text>
        <r>
          <rPr>
            <sz val="11"/>
            <color rgb="FF000000"/>
            <rFont val="Calibri"/>
            <family val="2"/>
            <charset val="1"/>
          </rPr>
          <t>Author:
MetroPosES5y onwards are maked as new here because for oCRIRES only 4 features were alllowed for</t>
        </r>
      </text>
    </comment>
    <comment ref="IV5" authorId="0" shapeId="0" xr:uid="{00000000-0006-0000-0200-000019000000}">
      <text>
        <r>
          <rPr>
            <sz val="11"/>
            <color rgb="FF000000"/>
            <rFont val="Calibri"/>
            <family val="2"/>
            <charset val="1"/>
          </rPr>
          <t xml:space="preserve">Author:
</t>
        </r>
        <r>
          <rPr>
            <sz val="11"/>
            <color rgb="FF000000"/>
            <rFont val="Calibri"/>
            <family val="2"/>
            <charset val="1"/>
          </rPr>
          <t>MetroPosMF5x onwards are maked as new here because for oCRIRES only 4 features were alllowed for</t>
        </r>
      </text>
    </comment>
    <comment ref="IW5" authorId="0" shapeId="0" xr:uid="{00000000-0006-0000-0200-00001A000000}">
      <text>
        <r>
          <rPr>
            <sz val="11"/>
            <color rgb="FF000000"/>
            <rFont val="Calibri"/>
            <family val="2"/>
            <charset val="1"/>
          </rPr>
          <t xml:space="preserve">Author:
</t>
        </r>
        <r>
          <rPr>
            <sz val="11"/>
            <color rgb="FF000000"/>
            <rFont val="Calibri"/>
            <family val="2"/>
            <charset val="1"/>
          </rPr>
          <t>MetroPosMF5y onwards are maked as new here because for oCRIRES only 4 features were alllowed for</t>
        </r>
      </text>
    </comment>
    <comment ref="D6" authorId="0" shapeId="0" xr:uid="{00000000-0006-0000-0200-00001B000000}">
      <text>
        <r>
          <rPr>
            <sz val="11"/>
            <color rgb="FF000000"/>
            <rFont val="Calibri"/>
            <family val="2"/>
            <charset val="1"/>
          </rPr>
          <t xml:space="preserve">Author:
</t>
        </r>
        <r>
          <rPr>
            <sz val="11"/>
            <color rgb="FF000000"/>
            <rFont val="Calibri"/>
            <family val="2"/>
            <charset val="1"/>
          </rPr>
          <t>this is different for CRIRES+ because it only indicates the central order</t>
        </r>
      </text>
    </comment>
    <comment ref="H6" authorId="0" shapeId="0" xr:uid="{00000000-0006-0000-0200-00001C000000}">
      <text>
        <r>
          <rPr>
            <sz val="11"/>
            <color rgb="FF000000"/>
            <rFont val="Calibri"/>
            <family val="2"/>
            <charset val="1"/>
          </rPr>
          <t>The HKW would be INS.GRAT2.ENC, however we do no t want the value from this table (the requested) written to the header, but the actual value achieved. Hence this field is empty to indicate that there is nothing to be written to the header here.</t>
        </r>
      </text>
    </comment>
    <comment ref="J6" authorId="1" shapeId="0" xr:uid="{84BBBCFB-AE96-974E-88F7-B92B93799F01}">
      <text>
        <r>
          <rPr>
            <b/>
            <sz val="10"/>
            <color rgb="FF000000"/>
            <rFont val="Tahoma"/>
            <family val="2"/>
          </rPr>
          <t>bristowp:</t>
        </r>
        <r>
          <rPr>
            <sz val="10"/>
            <color rgb="FF000000"/>
            <rFont val="Tahoma"/>
            <family val="2"/>
          </rPr>
          <t xml:space="preserve">
</t>
        </r>
        <r>
          <rPr>
            <sz val="10"/>
            <color rgb="FF000000"/>
            <rFont val="Calibri"/>
            <family val="2"/>
          </rPr>
          <t xml:space="preserve">The HKW would be INS.FILT1.ENC, however we do no t want the value from this table (the requested) written to the header, but the actual value achieved. Hence this field is empty to indicate that there is nothing to be written to the header here.
</t>
        </r>
      </text>
    </comment>
    <comment ref="L6" authorId="1" shapeId="0" xr:uid="{D655A4A0-0CA2-7644-9254-7E30BCF6B594}">
      <text>
        <r>
          <rPr>
            <b/>
            <sz val="10"/>
            <color rgb="FF000000"/>
            <rFont val="Tahoma"/>
            <family val="2"/>
          </rPr>
          <t>bristowp:</t>
        </r>
        <r>
          <rPr>
            <sz val="10"/>
            <color rgb="FF000000"/>
            <rFont val="Tahoma"/>
            <family val="2"/>
          </rPr>
          <t xml:space="preserve">
</t>
        </r>
        <r>
          <rPr>
            <sz val="10"/>
            <color rgb="FF000000"/>
            <rFont val="Calibri"/>
            <family val="2"/>
          </rPr>
          <t xml:space="preserve">The HKW would be INS.FILT2.ENC, however we do no t want the value from this table (the requested) written to the header, but the actual value achieved. Hence this field is empty to indicate that there is nothing to be written to the header here.
</t>
        </r>
      </text>
    </comment>
    <comment ref="M6" authorId="1" shapeId="0" xr:uid="{3C42ECF4-ADE6-8447-BA11-9325E2404FE9}">
      <text>
        <r>
          <rPr>
            <b/>
            <sz val="10"/>
            <color rgb="FF000000"/>
            <rFont val="Tahoma"/>
            <family val="2"/>
          </rPr>
          <t>bristowp:</t>
        </r>
        <r>
          <rPr>
            <sz val="10"/>
            <color rgb="FF000000"/>
            <rFont val="Calibri"/>
            <family val="2"/>
          </rPr>
          <t xml:space="preserve">
</t>
        </r>
        <r>
          <rPr>
            <sz val="18"/>
            <color rgb="FF000000"/>
            <rFont val="Calibri"/>
            <family val="2"/>
          </rPr>
          <t>The HKW would be INS.PIEZO1.VAL, however we do not want the value from this table (the requested) written to the header, but the actual value used (i.e. after possible application of metrology). Hence this field is empty to indicate that there is nothing to be written to the header here.</t>
        </r>
        <r>
          <rPr>
            <sz val="10"/>
            <color rgb="FF000000"/>
            <rFont val="Calibri"/>
            <family val="2"/>
          </rPr>
          <t xml:space="preserve">
</t>
        </r>
      </text>
    </comment>
    <comment ref="N6" authorId="1" shapeId="0" xr:uid="{75BA8D88-A618-7142-8BCB-7C45247F57D2}">
      <text>
        <r>
          <rPr>
            <b/>
            <sz val="10"/>
            <color rgb="FF000000"/>
            <rFont val="Tahoma"/>
            <family val="2"/>
          </rPr>
          <t>bristowp:</t>
        </r>
        <r>
          <rPr>
            <sz val="10"/>
            <color rgb="FF000000"/>
            <rFont val="Tahoma"/>
            <family val="2"/>
          </rPr>
          <t xml:space="preserve">
</t>
        </r>
        <r>
          <rPr>
            <sz val="18"/>
            <color rgb="FF000000"/>
            <rFont val="Calibri"/>
            <family val="2"/>
          </rPr>
          <t>The HKW would be INS.PIEZO2.VAL, however we do not want the value from this table (the requested) written to the header, but the actual value used (i.e. after possible application of metrology). Hence this field is empty to indicate that there is nothing to be written to the header here.</t>
        </r>
        <r>
          <rPr>
            <sz val="10"/>
            <color rgb="FF000000"/>
            <rFont val="Calibri"/>
            <family val="2"/>
          </rPr>
          <t xml:space="preserve">
</t>
        </r>
      </text>
    </comment>
    <comment ref="P6" authorId="1" shapeId="0" xr:uid="{E356D18A-3F81-CC44-BC23-C4B17ED66E03}">
      <text>
        <r>
          <rPr>
            <b/>
            <sz val="10"/>
            <color rgb="FF000000"/>
            <rFont val="Tahoma"/>
            <family val="2"/>
          </rPr>
          <t>bristowp:</t>
        </r>
        <r>
          <rPr>
            <sz val="10"/>
            <color rgb="FF000000"/>
            <rFont val="Tahoma"/>
            <family val="2"/>
          </rPr>
          <t xml:space="preserve">
</t>
        </r>
        <r>
          <rPr>
            <sz val="10"/>
            <color rgb="FF000000"/>
            <rFont val="Calibri"/>
            <family val="2"/>
          </rPr>
          <t xml:space="preserve">The HKW would be INS.ROT.ENC, however we do no t want the value from this table (the requested) written to the header, but the actual value achieved. Hence this field is empty to indicate that there is nothing to be written to the header here.
</t>
        </r>
      </text>
    </comment>
    <comment ref="R6" authorId="0" shapeId="0" xr:uid="{00000000-0006-0000-0200-00001D000000}">
      <text>
        <r>
          <rPr>
            <sz val="18"/>
            <color rgb="FF000000"/>
            <rFont val="Calibri"/>
            <family val="2"/>
          </rPr>
          <t>The HKW would be INS.GRAT1.ENC, however we do no t want the value from this table (the requested) written to the header, but the actual value achieved. Hence this field is empty to indicate that there is nothing to be written to the header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bristowp</author>
  </authors>
  <commentList>
    <comment ref="B2" authorId="0" shapeId="0" xr:uid="{00000000-0006-0000-0300-000001000000}">
      <text>
        <r>
          <rPr>
            <sz val="11"/>
            <color rgb="FF000000"/>
            <rFont val="Calibri"/>
            <family val="2"/>
            <charset val="1"/>
          </rPr>
          <t xml:space="preserve">Author:
</t>
        </r>
        <r>
          <rPr>
            <sz val="11"/>
            <color rgb="FF000000"/>
            <rFont val="Calibri"/>
            <family val="2"/>
            <charset val="1"/>
          </rPr>
          <t xml:space="preserve">Deviation from the design value of 100pix (1.8mm) is allowed for in cells F4 and J4
</t>
        </r>
      </text>
    </comment>
    <comment ref="R2" authorId="1" shapeId="0" xr:uid="{1D3ABDA1-263E-CD48-A54C-6122E0646449}">
      <text>
        <r>
          <rPr>
            <b/>
            <sz val="10"/>
            <color rgb="FF000000"/>
            <rFont val="Tahoma"/>
            <family val="2"/>
          </rPr>
          <t>bristowp:</t>
        </r>
        <r>
          <rPr>
            <sz val="10"/>
            <color rgb="FF000000"/>
            <rFont val="Tahoma"/>
            <family val="2"/>
          </rPr>
          <t xml:space="preserve">
</t>
        </r>
        <r>
          <rPr>
            <sz val="10"/>
            <color rgb="FF000000"/>
            <rFont val="Tahoma"/>
            <family val="2"/>
          </rPr>
          <t>Each band has a different zeropoint presumably due to slight relative tilts of the XDGs. Within a band the zeropoint is the same.</t>
        </r>
      </text>
    </comment>
    <comment ref="AC2" authorId="1" shapeId="0" xr:uid="{8A2E113E-866B-C94A-B6E8-E6B6C212A37A}">
      <text>
        <r>
          <rPr>
            <b/>
            <sz val="10"/>
            <color rgb="FF000000"/>
            <rFont val="Tahoma"/>
            <family val="2"/>
          </rPr>
          <t>bristowp:</t>
        </r>
        <r>
          <rPr>
            <sz val="10"/>
            <color rgb="FF000000"/>
            <rFont val="Tahoma"/>
            <family val="2"/>
          </rPr>
          <t xml:space="preserve">
</t>
        </r>
        <r>
          <rPr>
            <sz val="10"/>
            <color rgb="FF000000"/>
            <rFont val="Calibri"/>
            <family val="2"/>
          </rPr>
          <t xml:space="preserve">Could improve the accuracy here by introducing a specific angle for each detector.
</t>
        </r>
      </text>
    </comment>
    <comment ref="AD2" authorId="1" shapeId="0" xr:uid="{63F12A2F-6724-4D46-807E-207EA07F7656}">
      <text>
        <r>
          <rPr>
            <b/>
            <sz val="10"/>
            <color rgb="FF000000"/>
            <rFont val="Tahoma"/>
            <family val="2"/>
          </rPr>
          <t>bristowp:</t>
        </r>
        <r>
          <rPr>
            <sz val="10"/>
            <color rgb="FF000000"/>
            <rFont val="Tahoma"/>
            <family val="2"/>
          </rPr>
          <t xml:space="preserve">
</t>
        </r>
        <r>
          <rPr>
            <sz val="10"/>
            <color rgb="FF000000"/>
            <rFont val="Calibri"/>
            <family val="2"/>
          </rPr>
          <t xml:space="preserve">Unfortunately this is not at all well known, the value chosen minimises the dependence between  y-co-ord and derived incident angle
</t>
        </r>
        <r>
          <rPr>
            <sz val="10"/>
            <color rgb="FF000000"/>
            <rFont val="Tahoma"/>
            <family val="2"/>
          </rPr>
          <t xml:space="preserve">
</t>
        </r>
        <r>
          <rPr>
            <sz val="10"/>
            <color rgb="FF000000"/>
            <rFont val="Tahoma"/>
            <family val="2"/>
          </rPr>
          <t>PROBALY IT DEPENDS UPON THE XDG, THIS VALUE WAS CALCULATED FOR K AND MAY NOT APPLY TO THE OTHERS</t>
        </r>
      </text>
    </comment>
    <comment ref="A3" authorId="0" shapeId="0" xr:uid="{00000000-0006-0000-0300-000002000000}">
      <text>
        <r>
          <rPr>
            <sz val="11"/>
            <color rgb="FF000000"/>
            <rFont val="Calibri"/>
            <family val="2"/>
            <charset val="1"/>
          </rPr>
          <t xml:space="preserve">Author:
</t>
        </r>
        <r>
          <rPr>
            <sz val="11"/>
            <color rgb="FF000000"/>
            <rFont val="Calibri"/>
            <family val="2"/>
            <charset val="1"/>
          </rPr>
          <t xml:space="preserve">NOT actually used. The calculations for each setting are based on the the echelle angles in the standard settings table
</t>
        </r>
      </text>
    </comment>
    <comment ref="E3" authorId="1" shapeId="0" xr:uid="{00000000-0006-0000-0300-000003000000}">
      <text>
        <r>
          <rPr>
            <b/>
            <sz val="10"/>
            <color rgb="FF000000"/>
            <rFont val="Calibri"/>
            <family val="2"/>
          </rPr>
          <t>bristowp:</t>
        </r>
        <r>
          <rPr>
            <sz val="10"/>
            <color rgb="FF000000"/>
            <rFont val="Calibri"/>
            <family val="2"/>
          </rPr>
          <t xml:space="preserve">
</t>
        </r>
        <r>
          <rPr>
            <sz val="10"/>
            <color rgb="FF000000"/>
            <rFont val="Calibri"/>
            <family val="2"/>
          </rPr>
          <t>Elsewhere EOl uses a value of 1480nm</t>
        </r>
      </text>
    </comment>
    <comment ref="M3" authorId="1" shapeId="0" xr:uid="{00000000-0006-0000-0300-000006000000}">
      <text>
        <r>
          <rPr>
            <b/>
            <sz val="10"/>
            <color rgb="FF000000"/>
            <rFont val="Calibri"/>
            <family val="2"/>
          </rPr>
          <t>bristowp:</t>
        </r>
        <r>
          <rPr>
            <sz val="10"/>
            <color rgb="FF000000"/>
            <rFont val="Calibri"/>
            <family val="2"/>
          </rPr>
          <t xml:space="preserve">
</t>
        </r>
        <r>
          <rPr>
            <sz val="10"/>
            <color rgb="FF000000"/>
            <rFont val="Calibri"/>
            <family val="2"/>
          </rPr>
          <t>Elsewhere EOl uses a value of 3.23deg</t>
        </r>
      </text>
    </comment>
    <comment ref="Q3" authorId="0" shapeId="0" xr:uid="{00000000-0006-0000-0300-000007000000}">
      <text>
        <r>
          <rPr>
            <sz val="11"/>
            <color rgb="FF000000"/>
            <rFont val="Calibri"/>
            <family val="2"/>
            <charset val="1"/>
          </rPr>
          <t xml:space="preserve">Author:
</t>
        </r>
        <r>
          <rPr>
            <sz val="11"/>
            <color rgb="FF000000"/>
            <rFont val="Calibri"/>
            <family val="2"/>
            <charset val="1"/>
          </rPr>
          <t xml:space="preserve">This value was derived from CD11 data, to within the measurement errors and over the range measured 300K-700K) the relationship seems to be linear, so this gradient and the zeropoint should be sufficient . Verified that the scale didn't change between CD8 and CD11 data even though the zeropoint had changed.
</t>
        </r>
      </text>
    </comment>
    <comment ref="S3" authorId="1" shapeId="0" xr:uid="{00000000-0006-0000-0300-000008000000}">
      <text>
        <r>
          <rPr>
            <b/>
            <sz val="10"/>
            <color rgb="FF000000"/>
            <rFont val="Calibri"/>
            <family val="2"/>
          </rPr>
          <t>bristowp:</t>
        </r>
        <r>
          <rPr>
            <sz val="10"/>
            <color rgb="FF000000"/>
            <rFont val="Calibri"/>
            <family val="2"/>
          </rPr>
          <t xml:space="preserve">
</t>
        </r>
        <r>
          <rPr>
            <sz val="10"/>
            <color rgb="FF000000"/>
            <rFont val="Calibri"/>
            <family val="2"/>
          </rPr>
          <t>Elsewhere EOl uses a value of 31600nm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bristowp</author>
  </authors>
  <commentList>
    <comment ref="AD2" authorId="0" shapeId="0" xr:uid="{362F1C6A-0617-1744-873F-7142658D4A2D}">
      <text>
        <r>
          <rPr>
            <b/>
            <sz val="10"/>
            <color rgb="FF000000"/>
            <rFont val="Tahoma"/>
            <family val="2"/>
          </rPr>
          <t>bristowp:</t>
        </r>
        <r>
          <rPr>
            <sz val="10"/>
            <color rgb="FF000000"/>
            <rFont val="Tahoma"/>
            <family val="2"/>
          </rPr>
          <t xml:space="preserve">
</t>
        </r>
        <r>
          <rPr>
            <sz val="10"/>
            <color rgb="FF000000"/>
            <rFont val="Calibri"/>
            <family val="2"/>
          </rPr>
          <t xml:space="preserve">Unfortunately this is not at all well known, the value chosen minimises the dependence between  y-co-ord and derived incident angle
</t>
        </r>
        <r>
          <rPr>
            <sz val="10"/>
            <color rgb="FF000000"/>
            <rFont val="Tahoma"/>
            <family val="2"/>
          </rPr>
          <t xml:space="preserve">
</t>
        </r>
        <r>
          <rPr>
            <sz val="10"/>
            <color rgb="FF000000"/>
            <rFont val="Tahoma"/>
            <family val="2"/>
          </rPr>
          <t>PROBALY IT DEPENDS UPON THE XDG, THIS VALUE WAS CALCULATED FOR K AND MAY NOT APPLY TO THE OTHERS</t>
        </r>
      </text>
    </comment>
    <comment ref="B11" authorId="0" shapeId="0" xr:uid="{A89A43E4-5712-C04C-8387-E0DFD005D7BF}">
      <text>
        <r>
          <rPr>
            <b/>
            <sz val="10"/>
            <color rgb="FF000000"/>
            <rFont val="Tahoma"/>
            <family val="2"/>
          </rPr>
          <t>bristowp:</t>
        </r>
        <r>
          <rPr>
            <sz val="10"/>
            <color rgb="FF000000"/>
            <rFont val="Tahoma"/>
            <family val="2"/>
          </rPr>
          <t xml:space="preserve">
</t>
        </r>
        <r>
          <rPr>
            <sz val="10"/>
            <color rgb="FF000000"/>
            <rFont val="Tahoma"/>
            <family val="2"/>
          </rPr>
          <t xml:space="preserve">strictly there should be another part of the rotation matrix here:
</t>
        </r>
        <r>
          <rPr>
            <sz val="10"/>
            <color rgb="FF000000"/>
            <rFont val="Tahoma"/>
            <family val="2"/>
          </rPr>
          <t xml:space="preserve">
</t>
        </r>
        <r>
          <rPr>
            <sz val="10"/>
            <color rgb="FF000000"/>
            <rFont val="Tahoma"/>
            <family val="2"/>
          </rPr>
          <t>+($C$9-1024)*EchelleFPAparam!$C$3*SIN(EchelleFPAparam!$AC$3)</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0A77D3-1EA6-F742-88A4-00DD9D4D1665}" name="temp" type="6" refreshedVersion="6" background="1" saveData="1">
    <textPr sourceFile="/Users/bristowp/Documents/drem/temp.csv" comma="1">
      <textFields count="5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<sst xmlns="http://schemas.openxmlformats.org/spreadsheetml/2006/main" count="1854" uniqueCount="821">
  <si>
    <t>European Organisation for Astronomical Research in the Southern Hemisphere</t>
  </si>
  <si>
    <t>Programme:</t>
  </si>
  <si>
    <t>INS</t>
  </si>
  <si>
    <t>Job:</t>
  </si>
  <si>
    <t>PDM Write Training</t>
  </si>
  <si>
    <t>Doc. Name:</t>
  </si>
  <si>
    <t>Approval Process Using a Template</t>
  </si>
  <si>
    <t>Doc. Number:</t>
  </si>
  <si>
    <t>ESO-239920</t>
  </si>
  <si>
    <t>Doc. Version:</t>
  </si>
  <si>
    <t>1</t>
  </si>
  <si>
    <t>Doc. Type:</t>
  </si>
  <si>
    <t>Procedure (PRO)</t>
  </si>
  <si>
    <t>Released On:</t>
  </si>
  <si>
    <t>2014-04-01</t>
  </si>
  <si>
    <t>Doc. Classification:</t>
  </si>
  <si>
    <t>ESO Internal</t>
  </si>
  <si>
    <t>Prepared by:</t>
  </si>
  <si>
    <t>PDM_Edit</t>
  </si>
  <si>
    <t>Validated by:</t>
  </si>
  <si>
    <t>Approved by:</t>
  </si>
  <si>
    <t>PDM_PM</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</si>
  <si>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</si>
  <si>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Ref WLEN</t>
  </si>
  <si>
    <t>Ref Name</t>
  </si>
  <si>
    <t>Central Order</t>
  </si>
  <si>
    <t>Central Dispersion</t>
  </si>
  <si>
    <t>GratAngleWlenRatio</t>
  </si>
  <si>
    <t>CDU Setting name</t>
  </si>
  <si>
    <t>CDU setting</t>
  </si>
  <si>
    <t>OSF setting name</t>
  </si>
  <si>
    <t>OSF setting</t>
  </si>
  <si>
    <t>PIEZOX</t>
  </si>
  <si>
    <t>PIEZOY</t>
  </si>
  <si>
    <t>Grating Setting</t>
  </si>
  <si>
    <t>Minimum order</t>
  </si>
  <si>
    <t>Maximum order</t>
  </si>
  <si>
    <t>O1 Central Wavelength</t>
  </si>
  <si>
    <t>O2 Central Wavelength</t>
  </si>
  <si>
    <t>O3 Central Wavelength</t>
  </si>
  <si>
    <t>O4 Central Wavelength</t>
  </si>
  <si>
    <t>O5 Central Wavelength</t>
  </si>
  <si>
    <t>O6 Central Wavelength</t>
  </si>
  <si>
    <t>O7 Central Wavelength</t>
  </si>
  <si>
    <t>O8 Central Wavelength</t>
  </si>
  <si>
    <t>O1 Central Y Det1</t>
  </si>
  <si>
    <t>O2 Central Y Det1</t>
  </si>
  <si>
    <t>O3 Central Y Det1</t>
  </si>
  <si>
    <t>O4 Central Y Det1</t>
  </si>
  <si>
    <t>O5 Central Y Det1</t>
  </si>
  <si>
    <t>O6 Central Y Det1</t>
  </si>
  <si>
    <t>O7 Central Y Det1</t>
  </si>
  <si>
    <t>O8 Central Y Det1</t>
  </si>
  <si>
    <t>O1 Central Y Det2</t>
  </si>
  <si>
    <t>O2 Central Y Det2</t>
  </si>
  <si>
    <t>O3 Central Y Det2</t>
  </si>
  <si>
    <t>O4 Central Y Det2</t>
  </si>
  <si>
    <t>O5 Central Y Det2</t>
  </si>
  <si>
    <t>O6 Central Y Det2</t>
  </si>
  <si>
    <t>O7 Central Y Det2</t>
  </si>
  <si>
    <t>O8 Central Y Det2</t>
  </si>
  <si>
    <t>O1 Central Y Det3</t>
  </si>
  <si>
    <t>O2 Central Y Det3</t>
  </si>
  <si>
    <t>O3 Central Y Det3</t>
  </si>
  <si>
    <t>O4 Central Y Det3</t>
  </si>
  <si>
    <t>O5 Central Y Det3</t>
  </si>
  <si>
    <t>O6 Central Y Det3</t>
  </si>
  <si>
    <t>O7 Central Y Det3</t>
  </si>
  <si>
    <t>O8 Central Y Det3</t>
  </si>
  <si>
    <t>O1 BEG DET1</t>
  </si>
  <si>
    <t>O2 BEG DET1</t>
  </si>
  <si>
    <t>O3 BEG DET1</t>
  </si>
  <si>
    <t>O4 BEG DET1</t>
  </si>
  <si>
    <t>O5 BEG DET1</t>
  </si>
  <si>
    <t>O6 BEG DET1</t>
  </si>
  <si>
    <t>O7 BEG DET1</t>
  </si>
  <si>
    <t>O8 BEG DET1</t>
  </si>
  <si>
    <t>O1 END DET1</t>
  </si>
  <si>
    <t>O2 END DET1</t>
  </si>
  <si>
    <t>O3 END DET1</t>
  </si>
  <si>
    <t>O4 END DET1</t>
  </si>
  <si>
    <t>O5 END DET1</t>
  </si>
  <si>
    <t>O6 END DET1</t>
  </si>
  <si>
    <t>O7 END DET1</t>
  </si>
  <si>
    <t>O8 END DET1</t>
  </si>
  <si>
    <t>O1 BEG DET2</t>
  </si>
  <si>
    <t>O2 BEG DET2</t>
  </si>
  <si>
    <t>O3 BEG DET2</t>
  </si>
  <si>
    <t>O4 BEG DET2</t>
  </si>
  <si>
    <t>O5 BEG DET2</t>
  </si>
  <si>
    <t>O6 BEG DET2</t>
  </si>
  <si>
    <t>O7 BEG DET2</t>
  </si>
  <si>
    <t>O8 BEG DET2</t>
  </si>
  <si>
    <t>O1 END DET2</t>
  </si>
  <si>
    <t>O2 END DET2</t>
  </si>
  <si>
    <t>O3 END DET2</t>
  </si>
  <si>
    <t>O4 END DET2</t>
  </si>
  <si>
    <t>O5 END DET2</t>
  </si>
  <si>
    <t>O6 END DET2</t>
  </si>
  <si>
    <t>O7 END DET2</t>
  </si>
  <si>
    <t>O8 END DET2</t>
  </si>
  <si>
    <t>O1 BEG DET3</t>
  </si>
  <si>
    <t>O2 BEG DET3</t>
  </si>
  <si>
    <t>O3 BEG DET3</t>
  </si>
  <si>
    <t>O4 BEG DET3</t>
  </si>
  <si>
    <t>O5 BEG DET3</t>
  </si>
  <si>
    <t>O6 BEG DET3</t>
  </si>
  <si>
    <t>O7 BEG DET3</t>
  </si>
  <si>
    <t>O8 BEG DET3</t>
  </si>
  <si>
    <t>O1 END DET3</t>
  </si>
  <si>
    <t>O2 END DET3</t>
  </si>
  <si>
    <t>O3 END DET3</t>
  </si>
  <si>
    <t>O4 END DET3</t>
  </si>
  <si>
    <t>O5 END DET3</t>
  </si>
  <si>
    <t>O6 END DET3</t>
  </si>
  <si>
    <t>O7 END DET3</t>
  </si>
  <si>
    <t>O8 END DET3</t>
  </si>
  <si>
    <t>Grating Angle</t>
  </si>
  <si>
    <t>WLEN Piezo X Ratio</t>
  </si>
  <si>
    <t>SLIT Piezo Y Ratio</t>
  </si>
  <si>
    <t>Encoder Grat Wlen Ratio</t>
  </si>
  <si>
    <t>Encoder Grat Pix Ratio</t>
  </si>
  <si>
    <t>MetroID_ES1</t>
  </si>
  <si>
    <t>MetroWavES1</t>
  </si>
  <si>
    <t>MetroPosES1D</t>
  </si>
  <si>
    <t>MetroPosES1x</t>
  </si>
  <si>
    <t>MetroPosES1y</t>
  </si>
  <si>
    <t>MetroTiltES1</t>
  </si>
  <si>
    <t>MetroID_ES2</t>
  </si>
  <si>
    <t>MetroWavES2</t>
  </si>
  <si>
    <t>MetroPosES2D</t>
  </si>
  <si>
    <t>MetroPosES2x</t>
  </si>
  <si>
    <t>MetroPosES2y</t>
  </si>
  <si>
    <t>MetroTiltES2</t>
  </si>
  <si>
    <t>MetroID_ES3</t>
  </si>
  <si>
    <t>MetroWavES3</t>
  </si>
  <si>
    <t>MetroPosES3D</t>
  </si>
  <si>
    <t>MetroPosES3x</t>
  </si>
  <si>
    <t>MetroPosES3y</t>
  </si>
  <si>
    <t>MetroTiltES3</t>
  </si>
  <si>
    <t>MetroID_ES4</t>
  </si>
  <si>
    <t>MetroWavES4</t>
  </si>
  <si>
    <t>MetroPosES4D</t>
  </si>
  <si>
    <t>MetroPosES4x</t>
  </si>
  <si>
    <t>MetroPosES4y</t>
  </si>
  <si>
    <t>MetroTiltES4</t>
  </si>
  <si>
    <t>MetroID_ES5</t>
  </si>
  <si>
    <t>MetroWavES5</t>
  </si>
  <si>
    <t>MetroPosES5D</t>
  </si>
  <si>
    <t>MetroPosES5x</t>
  </si>
  <si>
    <t>MetroPosES5y</t>
  </si>
  <si>
    <t>MetroTiltES5</t>
  </si>
  <si>
    <t>MetroID_ES6</t>
  </si>
  <si>
    <t>MetroWavES6</t>
  </si>
  <si>
    <t>MetroPosES6D</t>
  </si>
  <si>
    <t>MetroPosES6x</t>
  </si>
  <si>
    <t>MetroPosES6y</t>
  </si>
  <si>
    <t>MetroTiltES6</t>
  </si>
  <si>
    <t>MetroID_ES7</t>
  </si>
  <si>
    <t>MetroWavES7</t>
  </si>
  <si>
    <t>MetroPosES7D</t>
  </si>
  <si>
    <t>MetroPosES7x</t>
  </si>
  <si>
    <t>MetroPosES7y</t>
  </si>
  <si>
    <t>MetroTiltES7</t>
  </si>
  <si>
    <t>MetroID_ES8</t>
  </si>
  <si>
    <t>MetroWavES8</t>
  </si>
  <si>
    <t>MetroPosES8D</t>
  </si>
  <si>
    <t>MetroPosES8x</t>
  </si>
  <si>
    <t>MetroPosES8y</t>
  </si>
  <si>
    <t>MetroTiltES8</t>
  </si>
  <si>
    <t>MetroID_ES9</t>
  </si>
  <si>
    <t>MetroWavES9</t>
  </si>
  <si>
    <t>MetroPosES9D</t>
  </si>
  <si>
    <t>MetroPosES9x</t>
  </si>
  <si>
    <t>MetroPosES9y</t>
  </si>
  <si>
    <t>MetroTiltES9</t>
  </si>
  <si>
    <t>MetroID_ES10</t>
  </si>
  <si>
    <t>MetroWavES10</t>
  </si>
  <si>
    <t>MetroPosES10D</t>
  </si>
  <si>
    <t>MetroPosES10x</t>
  </si>
  <si>
    <t>MetroPosES10y</t>
  </si>
  <si>
    <t>MetroTiltES10</t>
  </si>
  <si>
    <t>MetroID_MF1</t>
  </si>
  <si>
    <t>MetroWavMF1</t>
  </si>
  <si>
    <t xml:space="preserve">MetroPosMF1_D </t>
  </si>
  <si>
    <t xml:space="preserve">MetroPosMF1_x </t>
  </si>
  <si>
    <t>MetroPosMF1_y</t>
  </si>
  <si>
    <t>MetroID_MF2</t>
  </si>
  <si>
    <t>MetroWavMF2</t>
  </si>
  <si>
    <t xml:space="preserve">MetroPosMF2_D </t>
  </si>
  <si>
    <t xml:space="preserve">MetroPosMF2_x </t>
  </si>
  <si>
    <t>MetroPosMF2_y</t>
  </si>
  <si>
    <t>MetroID_MF3</t>
  </si>
  <si>
    <t>MetroWavMF3</t>
  </si>
  <si>
    <t xml:space="preserve">MetroPosMF3_D </t>
  </si>
  <si>
    <t xml:space="preserve">MetroPosMF3_x </t>
  </si>
  <si>
    <t>MetroPosMF3_y</t>
  </si>
  <si>
    <t>MetroID_MF4</t>
  </si>
  <si>
    <t>MetroWavMF4</t>
  </si>
  <si>
    <t xml:space="preserve">MetroPosMF4_D </t>
  </si>
  <si>
    <t xml:space="preserve">MetroPosMF4_x </t>
  </si>
  <si>
    <t>MetroPosMF4_y</t>
  </si>
  <si>
    <t>MetroID_MF5</t>
  </si>
  <si>
    <t>MetroWavMF5</t>
  </si>
  <si>
    <t xml:space="preserve">MetroPosMF5_D </t>
  </si>
  <si>
    <t xml:space="preserve">MetroPosMF5_x </t>
  </si>
  <si>
    <t>MetroPosMF5_y</t>
  </si>
  <si>
    <t>MetroID_MF6</t>
  </si>
  <si>
    <t>MetroWavMF6</t>
  </si>
  <si>
    <t xml:space="preserve">MetroPosMF6_D </t>
  </si>
  <si>
    <t xml:space="preserve">MetroPosMF6_x </t>
  </si>
  <si>
    <t>MetroPosMF6_y</t>
  </si>
  <si>
    <t>MetroID_MF7</t>
  </si>
  <si>
    <t>MetroWavMF7</t>
  </si>
  <si>
    <t xml:space="preserve">MetroPosMF7_D </t>
  </si>
  <si>
    <t xml:space="preserve">MetroPosMF7_x </t>
  </si>
  <si>
    <t>MetroPosMF7_y</t>
  </si>
  <si>
    <t>MetroID_MF8</t>
  </si>
  <si>
    <t>MetroWavMF8</t>
  </si>
  <si>
    <t xml:space="preserve">MetroPosMF8_D </t>
  </si>
  <si>
    <t xml:space="preserve">MetroPosMF8_x </t>
  </si>
  <si>
    <t>MetroPosMF8_y</t>
  </si>
  <si>
    <t>MetroID_MF9</t>
  </si>
  <si>
    <t>MetroWavMF9</t>
  </si>
  <si>
    <t xml:space="preserve">MetroPosMF9_D </t>
  </si>
  <si>
    <t xml:space="preserve">MetroPosMF9_x </t>
  </si>
  <si>
    <t>MetroPosMF9_y</t>
  </si>
  <si>
    <t>MetroID_MF10</t>
  </si>
  <si>
    <t>MetroWavMF10</t>
  </si>
  <si>
    <t xml:space="preserve">MetroPosMF10_D </t>
  </si>
  <si>
    <t xml:space="preserve">MetroPosMF10_x </t>
  </si>
  <si>
    <t>MetroPosMF10_y</t>
  </si>
  <si>
    <t>Units</t>
  </si>
  <si>
    <t>nm</t>
  </si>
  <si>
    <t>nm/pix</t>
  </si>
  <si>
    <t>nm/deg</t>
  </si>
  <si>
    <t>encoder steps</t>
  </si>
  <si>
    <t>Volts</t>
  </si>
  <si>
    <t>pix</t>
  </si>
  <si>
    <t>deg</t>
  </si>
  <si>
    <t>pix/volt</t>
  </si>
  <si>
    <t>step/nm</t>
  </si>
  <si>
    <t>step/pix</t>
  </si>
  <si>
    <t>Format</t>
  </si>
  <si>
    <t>x</t>
  </si>
  <si>
    <t>Online DB parameter</t>
  </si>
  <si>
    <t>cwlen</t>
  </si>
  <si>
    <t>wlenGratRatio</t>
  </si>
  <si>
    <t>grat2</t>
  </si>
  <si>
    <t>filt2</t>
  </si>
  <si>
    <t>minord</t>
  </si>
  <si>
    <t>maxord</t>
  </si>
  <si>
    <t>grat1</t>
  </si>
  <si>
    <t>wlenPiezoRatioX</t>
  </si>
  <si>
    <t>wlenPiezoRatioY</t>
  </si>
  <si>
    <t>crmcfgWLEN equivalent</t>
  </si>
  <si>
    <t>Central Wavelength</t>
  </si>
  <si>
    <t>Reference</t>
  </si>
  <si>
    <t>*NEW*</t>
  </si>
  <si>
    <t>Angle Prism</t>
  </si>
  <si>
    <t>Intermediate Slit</t>
  </si>
  <si>
    <t>Piezo</t>
  </si>
  <si>
    <t>Angle Grating</t>
  </si>
  <si>
    <t>Wavelength Limit+</t>
  </si>
  <si>
    <t>Beg Det 1</t>
  </si>
  <si>
    <t>End Det 1</t>
  </si>
  <si>
    <t>Beg Det 2</t>
  </si>
  <si>
    <t>End Det 2</t>
  </si>
  <si>
    <t>Beg Det 3</t>
  </si>
  <si>
    <t>End Det 3</t>
  </si>
  <si>
    <t>wlenPiezoRatio</t>
  </si>
  <si>
    <t>spectrDITMetr</t>
  </si>
  <si>
    <t>preDisPosMetr1x</t>
  </si>
  <si>
    <t>preDisPosMetr1y</t>
  </si>
  <si>
    <t>preDisPosMetr2x</t>
  </si>
  <si>
    <t>preDisPosMetr2y</t>
  </si>
  <si>
    <t>preDisPosMetr3x</t>
  </si>
  <si>
    <t>preDisPosMetr3y</t>
  </si>
  <si>
    <t>preDisPosMetr4x</t>
  </si>
  <si>
    <t>preDisPosMetr4y</t>
  </si>
  <si>
    <t>spectrPosMetr1x</t>
  </si>
  <si>
    <t>spectrPosMetr1y</t>
  </si>
  <si>
    <t>spectrPosMetr2x</t>
  </si>
  <si>
    <t>spectrPosMetr2y</t>
  </si>
  <si>
    <t>spectrPosMetr3x</t>
  </si>
  <si>
    <t>spectrPosMetr3y</t>
  </si>
  <si>
    <t>spectrPosMetr4x</t>
  </si>
  <si>
    <t>spectrPosMetr4y</t>
  </si>
  <si>
    <t>spectrPosMetr10y</t>
  </si>
  <si>
    <t>FITS HKW</t>
  </si>
  <si>
    <t>INS.WLEN.CWLEN</t>
  </si>
  <si>
    <t>INS.WLEN.ID</t>
  </si>
  <si>
    <t>INS.GRAT1.ORDER</t>
  </si>
  <si>
    <t>INS.WLEN.CWLEN1</t>
  </si>
  <si>
    <t>INS.WLEN.CWLEN2</t>
  </si>
  <si>
    <t>INS.WLEN.CWLEN3</t>
  </si>
  <si>
    <t>INS.WLEN.CWLEN4</t>
  </si>
  <si>
    <t>INS.WLEN.CWLEN5</t>
  </si>
  <si>
    <t>INS.WLEN.CWLEN6</t>
  </si>
  <si>
    <t>INS.WLEN.CWLEN7</t>
  </si>
  <si>
    <t>INS.WLEN.CWLEN8</t>
  </si>
  <si>
    <t>INS.WLEN.MIN1</t>
  </si>
  <si>
    <t>INS.WLEN.MIN2</t>
  </si>
  <si>
    <t>INS.WLEN.MIN3</t>
  </si>
  <si>
    <t>INS.WLEN.MIN4</t>
  </si>
  <si>
    <t>INS.WLEN.MIN5</t>
  </si>
  <si>
    <t>INS.WLEN.MIN6</t>
  </si>
  <si>
    <t>INS.WLEN.MIN7</t>
  </si>
  <si>
    <t>INS.WLEN.MIN8</t>
  </si>
  <si>
    <t>INS.WLEN.MAX1</t>
  </si>
  <si>
    <t>INS.WLEN.MAX2</t>
  </si>
  <si>
    <t>INS.WLEN.MAX3</t>
  </si>
  <si>
    <t>INS.WLEN.MAX4</t>
  </si>
  <si>
    <t>INS.WLEN.MAX5</t>
  </si>
  <si>
    <t>INS.WLEN.MAX6</t>
  </si>
  <si>
    <t>INS.WLEN.MAX7</t>
  </si>
  <si>
    <t>INS.WLEN.MAX8</t>
  </si>
  <si>
    <t>Order</t>
  </si>
  <si>
    <t>!</t>
  </si>
  <si>
    <t>Input parameters</t>
  </si>
  <si>
    <t>Configutation parameters, do not modify!</t>
  </si>
  <si>
    <t>Echelle angle (deg)</t>
  </si>
  <si>
    <t>Gap btw detectors (mm)</t>
  </si>
  <si>
    <t>Array size (mm)</t>
  </si>
  <si>
    <t>F-coll (mm)</t>
  </si>
  <si>
    <t>Beta wlmin  #1</t>
  </si>
  <si>
    <t>Beta wlmax #1</t>
  </si>
  <si>
    <t>Beta wlmin  #2</t>
  </si>
  <si>
    <t>Beta wlmax #2</t>
  </si>
  <si>
    <t>Beta wlmin  #3</t>
  </si>
  <si>
    <t>Beta wlmax #3</t>
  </si>
  <si>
    <t>alpha echelle (rad)</t>
  </si>
  <si>
    <t>D-alpha echelle (rad)</t>
  </si>
  <si>
    <t>pi</t>
  </si>
  <si>
    <t>Encoder Grat Ratio (deg/step)</t>
  </si>
  <si>
    <t>sigma echelle (nm)</t>
  </si>
  <si>
    <t>Blaze Angle</t>
  </si>
  <si>
    <t>theta</t>
  </si>
  <si>
    <t>sin(alpha-blaze)</t>
  </si>
  <si>
    <t>sin(beta-blaze), wlmin1</t>
  </si>
  <si>
    <t>sin(beta-blaze), wlmax3</t>
  </si>
  <si>
    <t>Setting WLEN</t>
  </si>
  <si>
    <t>Setting ref</t>
  </si>
  <si>
    <t>Band</t>
  </si>
  <si>
    <t>CDU</t>
  </si>
  <si>
    <t>Echelle Grating angle (deg)</t>
  </si>
  <si>
    <t>Echelle Grating angle (rad)</t>
  </si>
  <si>
    <t>Order min</t>
  </si>
  <si>
    <t>Order max</t>
  </si>
  <si>
    <t>Y/1/2</t>
  </si>
  <si>
    <t>Y</t>
  </si>
  <si>
    <t>YJ</t>
  </si>
  <si>
    <t>Y/2/2</t>
  </si>
  <si>
    <t>J</t>
  </si>
  <si>
    <t>H/1/4</t>
  </si>
  <si>
    <t>H</t>
  </si>
  <si>
    <t>HK</t>
  </si>
  <si>
    <t>H/2/4</t>
  </si>
  <si>
    <t>H/3/4</t>
  </si>
  <si>
    <t>H/4/4</t>
  </si>
  <si>
    <t>K/1/4</t>
  </si>
  <si>
    <t>K</t>
  </si>
  <si>
    <t>K/2/4</t>
  </si>
  <si>
    <t>K/3/4</t>
  </si>
  <si>
    <t>K/4/4</t>
  </si>
  <si>
    <t>L/1/7</t>
  </si>
  <si>
    <t>L</t>
  </si>
  <si>
    <t>LM</t>
  </si>
  <si>
    <t>L/2/7</t>
  </si>
  <si>
    <t>L/3/7</t>
  </si>
  <si>
    <t>L/4/7</t>
  </si>
  <si>
    <t>L/5/7</t>
  </si>
  <si>
    <t>L/6/7</t>
  </si>
  <si>
    <t>L/7/7</t>
  </si>
  <si>
    <t>M/1/9</t>
  </si>
  <si>
    <t>M</t>
  </si>
  <si>
    <t>M/2/9</t>
  </si>
  <si>
    <t>M/3/9</t>
  </si>
  <si>
    <t>M/4/9</t>
  </si>
  <si>
    <t>M/5/9</t>
  </si>
  <si>
    <t>M/6/9</t>
  </si>
  <si>
    <t>M/7/9</t>
  </si>
  <si>
    <t>M/8/9</t>
  </si>
  <si>
    <t>M/9/9</t>
  </si>
  <si>
    <t>N/A</t>
  </si>
  <si>
    <t>SPU Turret Setting</t>
  </si>
  <si>
    <t>SPU Setting Name</t>
  </si>
  <si>
    <t>INS.GRAT1.MINORD</t>
  </si>
  <si>
    <t>INS.GRAT1.MAXORD</t>
  </si>
  <si>
    <t>Parameter Name</t>
  </si>
  <si>
    <t>Wavelength Limit-</t>
  </si>
  <si>
    <t>metroIdES1</t>
  </si>
  <si>
    <t>metroWavES1</t>
  </si>
  <si>
    <t>metroTiltES1</t>
  </si>
  <si>
    <t>metroIdES2</t>
  </si>
  <si>
    <t>metroWavES2</t>
  </si>
  <si>
    <t>metroTiltES2</t>
  </si>
  <si>
    <t>metroIdES3</t>
  </si>
  <si>
    <t>metroWavES3</t>
  </si>
  <si>
    <t>metroTiltES3</t>
  </si>
  <si>
    <t>metroIdES4</t>
  </si>
  <si>
    <t>metroWavES4</t>
  </si>
  <si>
    <t>metroTiltES4</t>
  </si>
  <si>
    <t>metroIdES5</t>
  </si>
  <si>
    <t>metroWavES5</t>
  </si>
  <si>
    <t>metroTiltES5</t>
  </si>
  <si>
    <t>metroIdES6</t>
  </si>
  <si>
    <t>metroWavES6</t>
  </si>
  <si>
    <t>metroTiltES6</t>
  </si>
  <si>
    <t>metroIdES7</t>
  </si>
  <si>
    <t>metroWavES7</t>
  </si>
  <si>
    <t>metroTiltES7</t>
  </si>
  <si>
    <t>metroIdES8</t>
  </si>
  <si>
    <t>metroWavES8</t>
  </si>
  <si>
    <t>metroTiltES8</t>
  </si>
  <si>
    <t>metroIdES9</t>
  </si>
  <si>
    <t>metroWavES9</t>
  </si>
  <si>
    <t>metroTiltES9</t>
  </si>
  <si>
    <t>metroIdES10</t>
  </si>
  <si>
    <t>metroWavES10</t>
  </si>
  <si>
    <t>metroTiltES10</t>
  </si>
  <si>
    <t>SV Filter name</t>
  </si>
  <si>
    <t>SV filter setting</t>
  </si>
  <si>
    <t>filt1</t>
  </si>
  <si>
    <t>Effective wlmin</t>
  </si>
  <si>
    <t>Effective wlmax</t>
  </si>
  <si>
    <t>ewlmin</t>
  </si>
  <si>
    <t>ewlmax</t>
  </si>
  <si>
    <t>INS.EWLEN.MIN</t>
  </si>
  <si>
    <t>INS.EWLEN.MAX</t>
  </si>
  <si>
    <t>INS.WLEN.CWLEN9</t>
  </si>
  <si>
    <t>wlenId</t>
  </si>
  <si>
    <t>grat2Enc</t>
  </si>
  <si>
    <t>filt1Enc</t>
  </si>
  <si>
    <t>filt2Enc</t>
  </si>
  <si>
    <t>piezo1</t>
  </si>
  <si>
    <t>piezo2</t>
  </si>
  <si>
    <t>spuTurret</t>
  </si>
  <si>
    <t>spuTurretEnc</t>
  </si>
  <si>
    <t>grat1Enc</t>
  </si>
  <si>
    <t>O1</t>
  </si>
  <si>
    <t>O1CentralWL</t>
  </si>
  <si>
    <t>O9 Central Wavelength</t>
  </si>
  <si>
    <t>O2CentralWL</t>
  </si>
  <si>
    <t>O3CentralWL</t>
  </si>
  <si>
    <t>O4CentralWL</t>
  </si>
  <si>
    <t>O5CentralWL</t>
  </si>
  <si>
    <t>O6CentralWL</t>
  </si>
  <si>
    <t>O7CentralWL</t>
  </si>
  <si>
    <t>O8CentralWL</t>
  </si>
  <si>
    <t>O9CentralWL</t>
  </si>
  <si>
    <t>O9 Central Y Det1</t>
  </si>
  <si>
    <t>O9 Central Y Det2</t>
  </si>
  <si>
    <t>O9 Central Y Det3</t>
  </si>
  <si>
    <t>O1 Blaze Wavelength</t>
  </si>
  <si>
    <t>O2 Blaze Wavelength</t>
  </si>
  <si>
    <t>O3 Blaze Wavelength</t>
  </si>
  <si>
    <t>O4 Blaze Wavelength</t>
  </si>
  <si>
    <t>O5 Blaze Wavelength</t>
  </si>
  <si>
    <t>O6 Blaze Wavelength</t>
  </si>
  <si>
    <t>O7 Blaze Wavelength</t>
  </si>
  <si>
    <t>O8 Blaze Wavelength</t>
  </si>
  <si>
    <t>O9 Blaze Wavelength</t>
  </si>
  <si>
    <t>O1 FSR min</t>
  </si>
  <si>
    <t>O2 FSR min</t>
  </si>
  <si>
    <t>O3 FSR min</t>
  </si>
  <si>
    <t>O4 FSR min</t>
  </si>
  <si>
    <t>O5 FSR min</t>
  </si>
  <si>
    <t>O6 FSR min</t>
  </si>
  <si>
    <t>O7 FSR min</t>
  </si>
  <si>
    <t>O8 FSR min</t>
  </si>
  <si>
    <t>O9 FSR min</t>
  </si>
  <si>
    <t>O1 FSR max</t>
  </si>
  <si>
    <t>O2 FSR max</t>
  </si>
  <si>
    <t>O3 FSR max</t>
  </si>
  <si>
    <t>O4 FSR max</t>
  </si>
  <si>
    <t>O5 FSR max</t>
  </si>
  <si>
    <t>O6 FSR max</t>
  </si>
  <si>
    <t>O7 FSR max</t>
  </si>
  <si>
    <t>O8 FSR max</t>
  </si>
  <si>
    <t>O9 FSR max</t>
  </si>
  <si>
    <t>O1WLstartDet1</t>
  </si>
  <si>
    <t>O9WLmax</t>
  </si>
  <si>
    <t>O1CentralYDet1</t>
  </si>
  <si>
    <t>O2CentralYDet1</t>
  </si>
  <si>
    <t>O3CentralYDet1</t>
  </si>
  <si>
    <t>O4CentralYDet1</t>
  </si>
  <si>
    <t>O5CentralYDet1</t>
  </si>
  <si>
    <t>O6CentralYDet1</t>
  </si>
  <si>
    <t>O7CentralYDet1</t>
  </si>
  <si>
    <t>O8CentralYDet1</t>
  </si>
  <si>
    <t>O9CentralYDet1</t>
  </si>
  <si>
    <t>O1CentralYDet2</t>
  </si>
  <si>
    <t>O2CentralYDet2</t>
  </si>
  <si>
    <t>O3CentralYDet2</t>
  </si>
  <si>
    <t>O4CentralYDet2</t>
  </si>
  <si>
    <t>O5CentralYDet2</t>
  </si>
  <si>
    <t>O6CentralYDet2</t>
  </si>
  <si>
    <t>O7CentralYDet2</t>
  </si>
  <si>
    <t>O8CentralYDet2</t>
  </si>
  <si>
    <t>O9CentralYDet2</t>
  </si>
  <si>
    <t>O1CentralYDet3</t>
  </si>
  <si>
    <t>O2CentralYDet3</t>
  </si>
  <si>
    <t>O3CentralYDet3</t>
  </si>
  <si>
    <t>O4CentralYDet3</t>
  </si>
  <si>
    <t>O5CentralYDet3</t>
  </si>
  <si>
    <t>O6CentralYDet3</t>
  </si>
  <si>
    <t>O7CentralYDet3</t>
  </si>
  <si>
    <t>O8CentralYDet3</t>
  </si>
  <si>
    <t>O9CentralYDet3</t>
  </si>
  <si>
    <t>O1BlazeWL</t>
  </si>
  <si>
    <t>O2BlazeWL</t>
  </si>
  <si>
    <t>O3BlazeWL</t>
  </si>
  <si>
    <t>O4BlazeWL</t>
  </si>
  <si>
    <t>O5BlazeWL</t>
  </si>
  <si>
    <t>O6BlazeWL</t>
  </si>
  <si>
    <t>O7BlazeWL</t>
  </si>
  <si>
    <t>O8BlazeWL</t>
  </si>
  <si>
    <t>O9BlazeWL</t>
  </si>
  <si>
    <t>O1WLmin</t>
  </si>
  <si>
    <t>O2WLmin</t>
  </si>
  <si>
    <t>O3WLmin</t>
  </si>
  <si>
    <t>O4WLmin</t>
  </si>
  <si>
    <t>O5WLmin</t>
  </si>
  <si>
    <t>O6WLmin</t>
  </si>
  <si>
    <t>O7WLmin</t>
  </si>
  <si>
    <t>O8WLmin</t>
  </si>
  <si>
    <t>O9WLmin</t>
  </si>
  <si>
    <t>O1WLmax</t>
  </si>
  <si>
    <t>O2WLmax</t>
  </si>
  <si>
    <t>O3WLmax</t>
  </si>
  <si>
    <t>O4WLmax</t>
  </si>
  <si>
    <t>O5WLmax</t>
  </si>
  <si>
    <t>O6WLmax</t>
  </si>
  <si>
    <t>O7WLmax</t>
  </si>
  <si>
    <t>O8WLmax</t>
  </si>
  <si>
    <t>O9 BEG DET1</t>
  </si>
  <si>
    <t>O2WLstartDet1</t>
  </si>
  <si>
    <t>O3WLstartDet1</t>
  </si>
  <si>
    <t>O4WLstartDet1</t>
  </si>
  <si>
    <t>O5WLstartDet1</t>
  </si>
  <si>
    <t>O6WLstartDet1</t>
  </si>
  <si>
    <t>O7WLstartDet1</t>
  </si>
  <si>
    <t>O8WLstartDet1</t>
  </si>
  <si>
    <t>O9WLstartDet1</t>
  </si>
  <si>
    <t>O1WLendDet1</t>
  </si>
  <si>
    <t>O9 END DET1</t>
  </si>
  <si>
    <t>O2WLendDet1</t>
  </si>
  <si>
    <t>O3WLendDet1</t>
  </si>
  <si>
    <t>O4WLendDet1</t>
  </si>
  <si>
    <t>O5WLendDet1</t>
  </si>
  <si>
    <t>O6WLendDet1</t>
  </si>
  <si>
    <t>O7WLendDet1</t>
  </si>
  <si>
    <t>O8WLendDet1</t>
  </si>
  <si>
    <t>O9WLendDet1</t>
  </si>
  <si>
    <t>O9 BEG DET2</t>
  </si>
  <si>
    <t>O9WLendDet2</t>
  </si>
  <si>
    <t>O1WLendDet2</t>
  </si>
  <si>
    <t>O2WLendDet2</t>
  </si>
  <si>
    <t>O3WLendDet2</t>
  </si>
  <si>
    <t>O4WLendDet2</t>
  </si>
  <si>
    <t>O5WLendDet2</t>
  </si>
  <si>
    <t>O6WLendDet2</t>
  </si>
  <si>
    <t>O7WLendDet2</t>
  </si>
  <si>
    <t>O8WLendDet2</t>
  </si>
  <si>
    <t>O9 END DET2</t>
  </si>
  <si>
    <t>O1WLstartDet2</t>
  </si>
  <si>
    <t>O2WLstartDet2</t>
  </si>
  <si>
    <t>O3WLstartDet2</t>
  </si>
  <si>
    <t>O4WLstartDet2</t>
  </si>
  <si>
    <t>O5WLstartDet2</t>
  </si>
  <si>
    <t>O6WLstartDet2</t>
  </si>
  <si>
    <t>O7WLstartDet2</t>
  </si>
  <si>
    <t>O8WLstartDet2</t>
  </si>
  <si>
    <t>O9WLstartDet2</t>
  </si>
  <si>
    <t>O9 BEG DET3</t>
  </si>
  <si>
    <t>O9 END DET3</t>
  </si>
  <si>
    <t>O1WLstartDet3</t>
  </si>
  <si>
    <t>O2WLstartDet3</t>
  </si>
  <si>
    <t>O3WLstartDet3</t>
  </si>
  <si>
    <t>O4WLstartDet3</t>
  </si>
  <si>
    <t>O5WLstartDet3</t>
  </si>
  <si>
    <t>O6WLstartDet3</t>
  </si>
  <si>
    <t>O7WLstartDet3</t>
  </si>
  <si>
    <t>O8WLstartDet3</t>
  </si>
  <si>
    <t>O9WLstartDet3</t>
  </si>
  <si>
    <t>O1WLendDet3</t>
  </si>
  <si>
    <t>O2WLendDet3</t>
  </si>
  <si>
    <t>O3WLendDet3</t>
  </si>
  <si>
    <t>O4WLendDet3</t>
  </si>
  <si>
    <t>O5WLendDet3</t>
  </si>
  <si>
    <t>O6WLendDet3</t>
  </si>
  <si>
    <t>O7WLendDet3</t>
  </si>
  <si>
    <t>O8WLendDet3</t>
  </si>
  <si>
    <t>O9WLendDet3</t>
  </si>
  <si>
    <t>encGratWLnRatio</t>
  </si>
  <si>
    <t>metroPosESD1</t>
  </si>
  <si>
    <t>metroPosESx1</t>
  </si>
  <si>
    <t>metroPosESy1</t>
  </si>
  <si>
    <t>metroPosESD2</t>
  </si>
  <si>
    <t>metroPosESx2</t>
  </si>
  <si>
    <t>metroPosESy2</t>
  </si>
  <si>
    <t>metroPosESD3</t>
  </si>
  <si>
    <t>metroPosESx3</t>
  </si>
  <si>
    <t>metroPosESy3</t>
  </si>
  <si>
    <t>metroPosESD4</t>
  </si>
  <si>
    <t>metroPosESx4</t>
  </si>
  <si>
    <t>metroPosESy4</t>
  </si>
  <si>
    <t>metroPosESD5</t>
  </si>
  <si>
    <t>metroPosESx5</t>
  </si>
  <si>
    <t>metroPosESy5</t>
  </si>
  <si>
    <t>metroPosESD6</t>
  </si>
  <si>
    <t>metroPosESx6</t>
  </si>
  <si>
    <t>metroPosESy6</t>
  </si>
  <si>
    <t>metroPosESD7</t>
  </si>
  <si>
    <t>metroPosESx7</t>
  </si>
  <si>
    <t>metroPosESy7</t>
  </si>
  <si>
    <t>metroPosESD8</t>
  </si>
  <si>
    <t>metroPosESx8</t>
  </si>
  <si>
    <t>metroPosESy8</t>
  </si>
  <si>
    <t>metroPosESD9</t>
  </si>
  <si>
    <t>metroPosESx9</t>
  </si>
  <si>
    <t>metroPosESy9</t>
  </si>
  <si>
    <t>metroPosESD10</t>
  </si>
  <si>
    <t>metroPosESx10</t>
  </si>
  <si>
    <t>metroPosESy10</t>
  </si>
  <si>
    <t>double</t>
  </si>
  <si>
    <t>bytes8</t>
  </si>
  <si>
    <t>int32</t>
  </si>
  <si>
    <t>bytes7</t>
  </si>
  <si>
    <t>INS.FILT1.NAME</t>
  </si>
  <si>
    <t>INS.FILT2.NAME</t>
  </si>
  <si>
    <t>INS.ROT.DEVDESC</t>
  </si>
  <si>
    <t>INS.GRAT1.POS</t>
  </si>
  <si>
    <t>INS.GRAT2.NAME</t>
  </si>
  <si>
    <t>INS.WLEN.MIN9</t>
  </si>
  <si>
    <t>INS.WLEN.MAX9</t>
  </si>
  <si>
    <t>INS.GRAT1.DISP</t>
  </si>
  <si>
    <t>INS.GRAT1.RATIO</t>
  </si>
  <si>
    <t>1:INS.WLEN.END1</t>
  </si>
  <si>
    <t>1:INS.WLEN.END2</t>
  </si>
  <si>
    <t>1:INS.WLEN.END3</t>
  </si>
  <si>
    <t>1:INS.WLEN.END4</t>
  </si>
  <si>
    <t>1:INS.WLEN.END5</t>
  </si>
  <si>
    <t>1:INS.WLEN.END6</t>
  </si>
  <si>
    <t>1:INS.WLEN.END7</t>
  </si>
  <si>
    <t>1:INS.WLEN.END8</t>
  </si>
  <si>
    <t>1:INS.WLEN.END9</t>
  </si>
  <si>
    <t>2:INS.WLEN.END1</t>
  </si>
  <si>
    <t>2:INS.WLEN.END2</t>
  </si>
  <si>
    <t>2:INS.WLEN.END3</t>
  </si>
  <si>
    <t>2:INS.WLEN.END4</t>
  </si>
  <si>
    <t>2:INS.WLEN.END5</t>
  </si>
  <si>
    <t>2:INS.WLEN.END6</t>
  </si>
  <si>
    <t>2:INS.WLEN.END7</t>
  </si>
  <si>
    <t>2:INS.WLEN.END8</t>
  </si>
  <si>
    <t>2:INS.WLEN.END9</t>
  </si>
  <si>
    <t>3:INS.WLEN.END1</t>
  </si>
  <si>
    <t>3:INS.WLEN.END2</t>
  </si>
  <si>
    <t>3:INS.WLEN.END3</t>
  </si>
  <si>
    <t>3:INS.WLEN.END4</t>
  </si>
  <si>
    <t>3:INS.WLEN.END5</t>
  </si>
  <si>
    <t>3:INS.WLEN.END6</t>
  </si>
  <si>
    <t>3:INS.WLEN.END7</t>
  </si>
  <si>
    <t>3:INS.WLEN.END8</t>
  </si>
  <si>
    <t>3:INS.WLEN.END9</t>
  </si>
  <si>
    <t>1:INS.WLEN.CENY1</t>
  </si>
  <si>
    <t>1:INS.WLEN.CENY2</t>
  </si>
  <si>
    <t>1:INS.WLEN.CENY3</t>
  </si>
  <si>
    <t>1:INS.WLEN.CENY4</t>
  </si>
  <si>
    <t>1:INS.WLEN.CENY5</t>
  </si>
  <si>
    <t>1:INS.WLEN.CENY6</t>
  </si>
  <si>
    <t>1:INS.WLEN.CENY7</t>
  </si>
  <si>
    <t>1:INS.WLEN.CENY8</t>
  </si>
  <si>
    <t>1:INS.WLEN.CENY9</t>
  </si>
  <si>
    <t>2:INS.WLEN.CENY1</t>
  </si>
  <si>
    <t>2:INS.WLEN.CENY2</t>
  </si>
  <si>
    <t>2:INS.WLEN.CENY3</t>
  </si>
  <si>
    <t>2:INS.WLEN.CENY4</t>
  </si>
  <si>
    <t>2:INS.WLEN.CENY5</t>
  </si>
  <si>
    <t>2:INS.WLEN.CENY6</t>
  </si>
  <si>
    <t>2:INS.WLEN.CENY7</t>
  </si>
  <si>
    <t>2:INS.WLEN.CENY8</t>
  </si>
  <si>
    <t>2:INS.WLEN.CENY9</t>
  </si>
  <si>
    <t>3:INS.WLEN.CENY1</t>
  </si>
  <si>
    <t>3:INS.WLEN.CENY2</t>
  </si>
  <si>
    <t>3:INS.WLEN.CENY3</t>
  </si>
  <si>
    <t>3:INS.WLEN.CENY4</t>
  </si>
  <si>
    <t>3:INS.WLEN.CENY5</t>
  </si>
  <si>
    <t>3:INS.WLEN.CENY6</t>
  </si>
  <si>
    <t>3:INS.WLEN.CENY7</t>
  </si>
  <si>
    <t>3:INS.WLEN.CENY8</t>
  </si>
  <si>
    <t>3:INS.WLEN.CENY9</t>
  </si>
  <si>
    <t>Hx5E-2</t>
  </si>
  <si>
    <t>centrOrder</t>
  </si>
  <si>
    <t>centrDispersion</t>
  </si>
  <si>
    <t>ADU/s</t>
  </si>
  <si>
    <t>KrSmaxF</t>
  </si>
  <si>
    <t>NeSmaxF</t>
  </si>
  <si>
    <t>HalSmaxF</t>
  </si>
  <si>
    <t>IRSmaxF</t>
  </si>
  <si>
    <t>U/Ne Slit Flux</t>
  </si>
  <si>
    <t>Kr Slit Flux</t>
  </si>
  <si>
    <t>Ne Slit Flux</t>
  </si>
  <si>
    <t>HAL Slit Flux</t>
  </si>
  <si>
    <t>IR Em Slit Flux</t>
  </si>
  <si>
    <t>Laser Slit Flux</t>
  </si>
  <si>
    <t>Kr PH Flux</t>
  </si>
  <si>
    <t>Ne PH Flux</t>
  </si>
  <si>
    <t>Hal PH Flux</t>
  </si>
  <si>
    <t>IR Em PH Flux</t>
  </si>
  <si>
    <t>Laser PH Flux</t>
  </si>
  <si>
    <t>LaserSmaxF</t>
  </si>
  <si>
    <t>FPEtSmaxF</t>
  </si>
  <si>
    <t>KrPHmaxF</t>
  </si>
  <si>
    <t>NePHmaxF</t>
  </si>
  <si>
    <t>HalPHmaxF</t>
  </si>
  <si>
    <t>LaserPHmaxF</t>
  </si>
  <si>
    <t>metmaxF</t>
  </si>
  <si>
    <t>Metro flux</t>
  </si>
  <si>
    <t>GratAnglePixRatio</t>
  </si>
  <si>
    <t>pix/deg</t>
  </si>
  <si>
    <t>R (FWHM=1pix)</t>
  </si>
  <si>
    <t>FPA Angle (deg)</t>
  </si>
  <si>
    <t>Echelle Grating Encoder</t>
  </si>
  <si>
    <t>1:INS.WLEN.BEGIN2</t>
  </si>
  <si>
    <t>1:INS.WLEN.BEGIN3</t>
  </si>
  <si>
    <t>1:INS.WLEN.BEGIN4</t>
  </si>
  <si>
    <t>1:INS.WLEN.BEGIN5</t>
  </si>
  <si>
    <t>1:INS.WLEN.BEGIN6</t>
  </si>
  <si>
    <t>1:INS.WLEN.BEGIN7</t>
  </si>
  <si>
    <t>1:INS.WLEN.BEGIN8</t>
  </si>
  <si>
    <t>1:INS.WLEN.BEGIN9</t>
  </si>
  <si>
    <t>2:INS.WLEN.BEGIN1</t>
  </si>
  <si>
    <t>2:INS.WLEN.BEGIN2</t>
  </si>
  <si>
    <t>2:INS.WLEN.BEGIN3</t>
  </si>
  <si>
    <t>2:INS.WLEN.BEGIN4</t>
  </si>
  <si>
    <t>2:INS.WLEN.BEGIN5</t>
  </si>
  <si>
    <t>2:INS.WLEN.BEGIN6</t>
  </si>
  <si>
    <t>2:INS.WLEN.BEGIN7</t>
  </si>
  <si>
    <t>2:INS.WLEN.BEGIN8</t>
  </si>
  <si>
    <t>2:INS.WLEN.BEGIN9</t>
  </si>
  <si>
    <t>3:INS.WLEN.BEGIN1</t>
  </si>
  <si>
    <t>3:INS.WLEN.BEGIN2</t>
  </si>
  <si>
    <t>3:INS.WLEN.BEGIN3</t>
  </si>
  <si>
    <t>3:INS.WLEN.BEGIN4</t>
  </si>
  <si>
    <t>3:INS.WLEN.BEGIN5</t>
  </si>
  <si>
    <t>3:INS.WLEN.BEGIN6</t>
  </si>
  <si>
    <t>3:INS.WLEN.BEGIN7</t>
  </si>
  <si>
    <t>3:INS.WLEN.BEGIN8</t>
  </si>
  <si>
    <t>3:INS.WLEN.BEGIN9</t>
  </si>
  <si>
    <t>1:INS.WLEN.BEGIN1</t>
  </si>
  <si>
    <t>INS.WLEN.CWLEN10</t>
  </si>
  <si>
    <t>O10 Central Wavelength</t>
  </si>
  <si>
    <t>O10 Central Y Det1</t>
  </si>
  <si>
    <t>O10CentralYDet1</t>
  </si>
  <si>
    <t>1:INS.WLEN.CENY10</t>
  </si>
  <si>
    <t>O10 Central Y Det2</t>
  </si>
  <si>
    <t>O10CentralYDet2</t>
  </si>
  <si>
    <t>2:INS.WLEN.CENY10</t>
  </si>
  <si>
    <t>O10 Central Y Det3</t>
  </si>
  <si>
    <t>O10CentralYDet3</t>
  </si>
  <si>
    <t>3:INS.WLEN.CENY10</t>
  </si>
  <si>
    <t>O10 Blaze Wavelength</t>
  </si>
  <si>
    <t>O10BlazeWL</t>
  </si>
  <si>
    <t>O10 FSR min</t>
  </si>
  <si>
    <t>O10WLmin</t>
  </si>
  <si>
    <t>INS.WLEN.MIN10</t>
  </si>
  <si>
    <t>O10 FSR max</t>
  </si>
  <si>
    <t>O10WLmax</t>
  </si>
  <si>
    <t>INS.WLEN.MAX10</t>
  </si>
  <si>
    <t>O10 BEG DET1</t>
  </si>
  <si>
    <t>O10WLstartDet1</t>
  </si>
  <si>
    <t>1:INS.WLEN.BEGIN10</t>
  </si>
  <si>
    <t>O10 END DET1</t>
  </si>
  <si>
    <t>O10WLendDet1</t>
  </si>
  <si>
    <t>1:INS.WLEN.END10</t>
  </si>
  <si>
    <t>O10 BEG DET2</t>
  </si>
  <si>
    <t>O10WLstartDet2</t>
  </si>
  <si>
    <t>2:INS.WLEN.BEGIN10</t>
  </si>
  <si>
    <t>O10 END DET2</t>
  </si>
  <si>
    <t>O10WLendDet2</t>
  </si>
  <si>
    <t>2:INS.WLEN.END10</t>
  </si>
  <si>
    <t>O10 BEG DET3</t>
  </si>
  <si>
    <t>O10WLstartDet3</t>
  </si>
  <si>
    <t>3:INS.WLEN.BEGIN10</t>
  </si>
  <si>
    <t>O10 END DET3</t>
  </si>
  <si>
    <t>O10WLendDet3</t>
  </si>
  <si>
    <t>3:INS.WLEN.END10</t>
  </si>
  <si>
    <t>Echelle Zeropoint (deg)</t>
  </si>
  <si>
    <t>GratEncPixRatio</t>
  </si>
  <si>
    <t>pix/enc</t>
  </si>
  <si>
    <t>Real enc</t>
  </si>
  <si>
    <t>real angle</t>
  </si>
  <si>
    <t>crifors angle</t>
  </si>
  <si>
    <t>crifors enc</t>
  </si>
  <si>
    <t>O10</t>
  </si>
  <si>
    <t>O10CentralWL</t>
  </si>
  <si>
    <t>encGratPixRatio</t>
  </si>
  <si>
    <t>wlen</t>
  </si>
  <si>
    <t>y</t>
  </si>
  <si>
    <t>D</t>
  </si>
  <si>
    <t>d</t>
  </si>
  <si>
    <t>D_theta</t>
  </si>
  <si>
    <t>m</t>
  </si>
  <si>
    <t>gamma</t>
  </si>
  <si>
    <t>gamma_zero</t>
  </si>
  <si>
    <t>IRPHmaxF</t>
  </si>
  <si>
    <t>FPEtPHmaxF</t>
  </si>
  <si>
    <t>UNeSmaxF</t>
  </si>
  <si>
    <t>pixel size (mm)</t>
  </si>
  <si>
    <t>x-fudge</t>
  </si>
  <si>
    <t>FPEt Slit Flux</t>
  </si>
  <si>
    <t>FPEt PH Flux</t>
  </si>
  <si>
    <t>CD12</t>
  </si>
  <si>
    <t>J/1/3</t>
  </si>
  <si>
    <t>J/2/3</t>
  </si>
  <si>
    <t>J/3/3</t>
  </si>
  <si>
    <t xml:space="preserve">THIS IS A SNAPSHOT OF THIS DOCUMENT FOR RELEASE AT THE PAE MILESTONE. IT WILL CONTINUE TO BE UPDATED AS APPROPRIATE. 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 some supplementary information about how the echellogram changes as echelle grating/piezos move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includes an approximate correction to wavelengths arising from cross-dispersion. However, the central Y co-ordinate columns are  filled empirically
- The blaze wavelength and free spectral range of each order (blaze angle of the echelle is a configuration parameter [EchelleFPAparam])
- The maximum flux (anywhere on the FPA) for all calibration lamps
  + Full slit illumination
  + pinhole (for sources located in the integrating sphere) 
- Metrology parameters:
  + Fiducial positions of 10 Ar lines (from dedicated U/Ar lamp) for each fibre in each setting (NOT USED AT PAE):
    * Line identification
    * Line wavelength
    * Detector that line falls on
    * Fiducial X centroid 
    * Fiducial Y centroid  
  + Fiducial positions of 10 selected (during PAE testing) U/Ne (entrance slit) lines in each setting:
    * Line identification (NOT USED AT PAE)
    * Line wavelength (NOT USED AT PAE)
    * Detector that line falls on 
    * Fiducial X centroid (measured during PAE testing) 
    * Fiducial Y centroid (measured during PAE testing) 
    * The slit image tilt (NOT USED AT PAE)
  + Optimal U/Ar lamp DIT (NOT CHARACTERISED AT PAE)
</t>
  </si>
  <si>
    <t>stretch</t>
  </si>
  <si>
    <t>shift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</si>
</sst>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0"/>
    <numFmt numFmtId="166" formatCode="0.0"/>
    <numFmt numFmtId="167" formatCode="0.00000"/>
    <numFmt numFmtId="168" formatCode="0.0000000"/>
  </numFmts>
  <fonts count="36" x14ac:knownFonts="1">
    <font>
      <sz val="11"/>
      <color rgb="FF000000"/>
      <name val="Calibri"/>
      <family val="2"/>
      <charset val="1"/>
    </font>
    <font>
      <sz val="10"/>
      <color rgb="FF000000"/>
      <name val="Arial"/>
      <family val="2"/>
    </font>
    <font>
      <sz val="10"/>
      <color rgb="FF000000"/>
      <name val="Arial"/>
      <family val="2"/>
      <charset val="1"/>
    </font>
    <font>
      <sz val="11"/>
      <color rgb="FF000000"/>
      <name val="Arial"/>
      <family val="2"/>
      <charset val="1"/>
    </font>
    <font>
      <sz val="12"/>
      <color rgb="FF000000"/>
      <name val="Arial"/>
      <family val="2"/>
      <charset val="1"/>
    </font>
    <font>
      <b/>
      <sz val="12"/>
      <color rgb="FF000000"/>
      <name val="Arial"/>
      <family val="2"/>
      <charset val="1"/>
    </font>
    <font>
      <b/>
      <sz val="16"/>
      <color rgb="FF000000"/>
      <name val="Arial"/>
      <family val="2"/>
      <charset val="1"/>
    </font>
    <font>
      <sz val="18"/>
      <color rgb="FF000000"/>
      <name val="Arial"/>
      <family val="2"/>
      <charset val="1"/>
    </font>
    <font>
      <i/>
      <sz val="10"/>
      <color rgb="FF000000"/>
      <name val="Arial"/>
      <family val="2"/>
      <charset val="1"/>
    </font>
    <font>
      <sz val="10"/>
      <color rgb="FF000000"/>
      <name val="Arial Unicode MS"/>
      <family val="2"/>
      <charset val="1"/>
    </font>
    <font>
      <sz val="10"/>
      <color rgb="FFA6A6A6"/>
      <name val="Arial"/>
      <family val="2"/>
      <charset val="1"/>
    </font>
    <font>
      <b/>
      <sz val="11"/>
      <color rgb="FF000000"/>
      <name val="Arial"/>
      <family val="2"/>
      <charset val="1"/>
    </font>
    <font>
      <sz val="11"/>
      <color rgb="FF000000"/>
      <name val="Calibri"/>
      <family val="2"/>
      <charset val="1"/>
    </font>
    <font>
      <sz val="11"/>
      <color theme="0"/>
      <name val="Calibri"/>
      <family val="2"/>
      <charset val="1"/>
    </font>
    <font>
      <sz val="10"/>
      <color indexed="81"/>
      <name val="Calibri"/>
      <family val="2"/>
    </font>
    <font>
      <b/>
      <sz val="10"/>
      <color indexed="81"/>
      <name val="Calibri"/>
      <family val="2"/>
    </font>
    <font>
      <sz val="10"/>
      <color theme="0"/>
      <name val="Arial"/>
      <family val="2"/>
      <charset val="1"/>
    </font>
    <font>
      <sz val="11"/>
      <color theme="1"/>
      <name val="Arial"/>
      <family val="2"/>
      <charset val="1"/>
    </font>
    <font>
      <sz val="10"/>
      <color theme="1"/>
      <name val="Arial"/>
      <family val="2"/>
      <charset val="1"/>
    </font>
    <font>
      <u/>
      <sz val="11"/>
      <color theme="10"/>
      <name val="Calibri"/>
      <family val="2"/>
      <charset val="1"/>
    </font>
    <font>
      <u/>
      <sz val="11"/>
      <color theme="11"/>
      <name val="Calibri"/>
      <family val="2"/>
      <charset val="1"/>
    </font>
    <font>
      <i/>
      <sz val="12"/>
      <color rgb="FF7F7F7F"/>
      <name val="Calibri"/>
      <family val="2"/>
      <scheme val="minor"/>
    </font>
    <font>
      <i/>
      <sz val="10"/>
      <color theme="1"/>
      <name val="Arial"/>
      <family val="2"/>
      <charset val="1"/>
    </font>
    <font>
      <sz val="11"/>
      <color theme="1"/>
      <name val="Calibri"/>
      <family val="2"/>
      <charset val="1"/>
    </font>
    <font>
      <sz val="10"/>
      <color rgb="FF000000"/>
      <name val="Arial"/>
      <family val="2"/>
    </font>
    <font>
      <sz val="10"/>
      <name val="Arial"/>
      <family val="2"/>
      <charset val="1"/>
    </font>
    <font>
      <sz val="10"/>
      <name val="Monaco"/>
      <family val="2"/>
    </font>
    <font>
      <sz val="10"/>
      <color rgb="FF000000"/>
      <name val="Tahoma"/>
      <family val="2"/>
    </font>
    <font>
      <b/>
      <sz val="10"/>
      <color rgb="FF000000"/>
      <name val="Tahoma"/>
      <family val="2"/>
    </font>
    <font>
      <sz val="10"/>
      <color rgb="FF000000"/>
      <name val="Calibri"/>
      <family val="2"/>
    </font>
    <font>
      <sz val="18"/>
      <color rgb="FF000000"/>
      <name val="Calibri"/>
      <family val="2"/>
    </font>
    <font>
      <b/>
      <sz val="10"/>
      <color rgb="FF000000"/>
      <name val="Calibri"/>
      <family val="2"/>
    </font>
    <font>
      <sz val="10"/>
      <color rgb="FF1930F2"/>
      <name val="Monaco"/>
      <family val="2"/>
    </font>
    <font>
      <sz val="11"/>
      <color theme="9"/>
      <name val="Calibri"/>
      <family val="2"/>
      <charset val="1"/>
    </font>
    <font>
      <sz val="10"/>
      <color theme="1"/>
      <name val="Arial"/>
      <family val="2"/>
    </font>
    <font>
      <sz val="10"/>
      <name val="Arial"/>
      <family val="2"/>
    </font>
  </fonts>
  <fills count="36">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E6E0EC"/>
        <bgColor rgb="FFDCE6F2"/>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C00000"/>
        <bgColor indexed="64"/>
      </patternFill>
    </fill>
    <fill>
      <patternFill patternType="solid">
        <fgColor rgb="FFC00000"/>
        <bgColor rgb="FFDDD9C3"/>
      </patternFill>
    </fill>
    <fill>
      <patternFill patternType="solid">
        <fgColor rgb="FFDDD9C3"/>
        <bgColor rgb="FFD7E4BD"/>
      </patternFill>
    </fill>
    <fill>
      <patternFill patternType="solid">
        <fgColor rgb="FFFFFF00"/>
        <bgColor indexed="64"/>
      </patternFill>
    </fill>
    <fill>
      <patternFill patternType="solid">
        <fgColor theme="2" tint="-0.249977111117893"/>
        <bgColor rgb="FFDBEEF4"/>
      </patternFill>
    </fill>
    <fill>
      <patternFill patternType="solid">
        <fgColor rgb="FF92D05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EB9C"/>
        <bgColor rgb="FFDDD9C3"/>
      </patternFill>
    </fill>
    <fill>
      <patternFill patternType="solid">
        <fgColor theme="0" tint="-0.499984740745262"/>
        <bgColor indexed="64"/>
      </patternFill>
    </fill>
    <fill>
      <patternFill patternType="solid">
        <fgColor theme="5" tint="0.39997558519241921"/>
        <bgColor indexed="64"/>
      </patternFill>
    </fill>
    <fill>
      <patternFill patternType="solid">
        <fgColor theme="9"/>
        <bgColor indexed="64"/>
      </patternFill>
    </fill>
    <fill>
      <patternFill patternType="solid">
        <fgColor theme="3"/>
        <bgColor indexed="64"/>
      </patternFill>
    </fill>
    <fill>
      <patternFill patternType="solid">
        <fgColor rgb="FFFF000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59999389629810485"/>
        <bgColor rgb="FFD7E4BD"/>
      </patternFill>
    </fill>
    <fill>
      <patternFill patternType="solid">
        <fgColor theme="9" tint="0.79998168889431442"/>
        <bgColor rgb="FFD7E4BD"/>
      </patternFill>
    </fill>
    <fill>
      <patternFill patternType="solid">
        <fgColor theme="9" tint="0.39997558519241921"/>
        <bgColor rgb="FFD7E4BD"/>
      </patternFill>
    </fill>
    <fill>
      <patternFill patternType="solid">
        <fgColor theme="6" tint="0.79998168889431442"/>
        <bgColor rgb="FFDDD9C3"/>
      </patternFill>
    </fill>
    <fill>
      <patternFill patternType="solid">
        <fgColor theme="6" tint="0.59999389629810485"/>
        <bgColor rgb="FFDDD9C3"/>
      </patternFill>
    </fill>
    <fill>
      <patternFill patternType="solid">
        <fgColor theme="6" tint="0.39997558519241921"/>
        <bgColor rgb="FFDDD9C3"/>
      </patternFill>
    </fill>
    <fill>
      <patternFill patternType="solid">
        <fgColor theme="6" tint="-0.249977111117893"/>
        <bgColor rgb="FFDDD9C3"/>
      </patternFill>
    </fill>
    <fill>
      <patternFill patternType="solid">
        <fgColor theme="6" tint="-0.499984740745262"/>
        <bgColor rgb="FFDDD9C3"/>
      </patternFill>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12" fillId="0" borderId="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65">
    <xf numFmtId="0" fontId="0" fillId="0" borderId="0" xfId="0" applyAlignment="1"/>
    <xf numFmtId="0" fontId="3" fillId="0" borderId="0" xfId="1" applyFont="1" applyAlignment="1"/>
    <xf numFmtId="0" fontId="3" fillId="0" borderId="0" xfId="1" applyFont="1" applyAlignment="1">
      <alignment wrapText="1"/>
    </xf>
    <xf numFmtId="0" fontId="3" fillId="0" borderId="0" xfId="1" applyFont="1" applyAlignment="1">
      <alignment horizontal="left" vertical="center" wrapText="1"/>
    </xf>
    <xf numFmtId="0" fontId="5" fillId="0" borderId="0" xfId="1" applyFont="1" applyAlignment="1">
      <alignment vertical="center"/>
    </xf>
    <xf numFmtId="0" fontId="4" fillId="0" borderId="0" xfId="1" applyFont="1" applyAlignment="1">
      <alignment vertical="center"/>
    </xf>
    <xf numFmtId="0" fontId="6" fillId="0" borderId="0" xfId="1" applyFont="1" applyAlignment="1">
      <alignment vertical="center" wrapText="1"/>
    </xf>
    <xf numFmtId="0" fontId="7" fillId="0" borderId="0" xfId="1" applyFont="1" applyAlignment="1">
      <alignment wrapText="1"/>
    </xf>
    <xf numFmtId="0" fontId="4" fillId="0" borderId="1" xfId="1" applyFont="1" applyBorder="1" applyAlignment="1">
      <alignment vertical="center"/>
    </xf>
    <xf numFmtId="0" fontId="5" fillId="0" borderId="1" xfId="1" applyFont="1" applyBorder="1" applyAlignment="1">
      <alignment vertical="center"/>
    </xf>
    <xf numFmtId="0" fontId="2" fillId="0" borderId="0" xfId="1" applyFont="1" applyAlignment="1"/>
    <xf numFmtId="0" fontId="2" fillId="0" borderId="0" xfId="1" applyFont="1" applyAlignment="1">
      <alignment wrapText="1"/>
    </xf>
    <xf numFmtId="2" fontId="2" fillId="0" borderId="0" xfId="1" applyNumberFormat="1" applyFont="1" applyAlignment="1">
      <alignment horizontal="left" vertical="top" wrapText="1"/>
    </xf>
    <xf numFmtId="0" fontId="2" fillId="2" borderId="0" xfId="1" applyFont="1" applyFill="1" applyAlignment="1">
      <alignment horizontal="left" vertical="top" wrapText="1"/>
    </xf>
    <xf numFmtId="0" fontId="3" fillId="2" borderId="0" xfId="1" applyFont="1" applyFill="1" applyAlignment="1">
      <alignment vertical="top"/>
    </xf>
    <xf numFmtId="0" fontId="3" fillId="0" borderId="0" xfId="1" applyFont="1" applyAlignment="1">
      <alignment vertical="top"/>
    </xf>
    <xf numFmtId="0" fontId="8" fillId="0" borderId="0" xfId="1" applyFont="1" applyAlignment="1">
      <alignment horizontal="left" vertical="top" wrapText="1"/>
    </xf>
    <xf numFmtId="0" fontId="9" fillId="0" borderId="0" xfId="1" applyFont="1" applyAlignment="1"/>
    <xf numFmtId="164" fontId="2" fillId="0" borderId="0" xfId="1" applyNumberFormat="1" applyFont="1" applyAlignment="1">
      <alignment horizontal="left" vertical="top" wrapText="1"/>
    </xf>
    <xf numFmtId="165" fontId="2" fillId="0" borderId="0" xfId="1" applyNumberFormat="1" applyFont="1" applyAlignment="1">
      <alignment horizontal="left" vertical="top" wrapText="1"/>
    </xf>
    <xf numFmtId="0" fontId="2" fillId="3" borderId="0" xfId="1" applyFont="1" applyFill="1" applyAlignment="1">
      <alignment horizontal="left" vertical="top" wrapText="1"/>
    </xf>
    <xf numFmtId="1" fontId="2" fillId="0" borderId="0" xfId="1" applyNumberFormat="1" applyFont="1" applyAlignment="1">
      <alignment horizontal="left" vertical="top" wrapText="1"/>
    </xf>
    <xf numFmtId="1" fontId="10" fillId="0" borderId="0" xfId="1" applyNumberFormat="1" applyFont="1" applyAlignment="1">
      <alignment horizontal="left" vertical="top" wrapText="1"/>
    </xf>
    <xf numFmtId="164" fontId="2" fillId="4" borderId="0" xfId="1" applyNumberFormat="1" applyFont="1" applyFill="1" applyAlignment="1">
      <alignment horizontal="left" vertical="top" wrapText="1"/>
    </xf>
    <xf numFmtId="164" fontId="2" fillId="5" borderId="0" xfId="1" applyNumberFormat="1" applyFont="1" applyFill="1" applyAlignment="1">
      <alignment horizontal="left" vertical="top" wrapText="1"/>
    </xf>
    <xf numFmtId="164" fontId="2" fillId="6" borderId="0" xfId="1" applyNumberFormat="1" applyFont="1" applyFill="1" applyAlignment="1">
      <alignment horizontal="left" vertical="top" wrapText="1"/>
    </xf>
    <xf numFmtId="164" fontId="2" fillId="7" borderId="0" xfId="1" applyNumberFormat="1" applyFont="1" applyFill="1" applyAlignment="1">
      <alignment horizontal="left" vertical="top" wrapText="1"/>
    </xf>
    <xf numFmtId="0" fontId="2" fillId="0" borderId="0" xfId="1" applyFont="1" applyAlignment="1">
      <alignment horizontal="left" vertical="top" wrapText="1"/>
    </xf>
    <xf numFmtId="0" fontId="2" fillId="0" borderId="0" xfId="1" applyFont="1" applyAlignment="1">
      <alignment horizontal="center"/>
    </xf>
    <xf numFmtId="167" fontId="2" fillId="0" borderId="0" xfId="1" applyNumberFormat="1" applyFont="1" applyAlignment="1"/>
    <xf numFmtId="165" fontId="2" fillId="0" borderId="0" xfId="1" applyNumberFormat="1" applyFont="1" applyAlignment="1"/>
    <xf numFmtId="0" fontId="11" fillId="0" borderId="0" xfId="1" applyFont="1" applyAlignment="1">
      <alignment horizontal="center" vertical="center" wrapText="1"/>
    </xf>
    <xf numFmtId="0" fontId="8" fillId="0" borderId="0" xfId="1" applyFont="1" applyAlignment="1">
      <alignment horizontal="center" vertical="center" wrapText="1"/>
    </xf>
    <xf numFmtId="0" fontId="8" fillId="0" borderId="0" xfId="1" applyFont="1" applyAlignment="1">
      <alignment vertical="center" wrapText="1"/>
    </xf>
    <xf numFmtId="167" fontId="8" fillId="0" borderId="0" xfId="1" applyNumberFormat="1" applyFont="1" applyAlignment="1">
      <alignment horizontal="center" vertical="center" wrapText="1"/>
    </xf>
    <xf numFmtId="165" fontId="8" fillId="0" borderId="0" xfId="1" applyNumberFormat="1" applyFont="1" applyAlignment="1">
      <alignment horizontal="center" vertical="center" wrapText="1"/>
    </xf>
    <xf numFmtId="0" fontId="2" fillId="0" borderId="0" xfId="1" applyFont="1" applyAlignment="1">
      <alignment vertical="center" wrapText="1"/>
    </xf>
    <xf numFmtId="2" fontId="11" fillId="8" borderId="0" xfId="1" applyNumberFormat="1" applyFont="1" applyFill="1" applyAlignment="1"/>
    <xf numFmtId="2" fontId="2" fillId="8" borderId="0" xfId="1" applyNumberFormat="1" applyFont="1" applyFill="1" applyAlignment="1"/>
    <xf numFmtId="0" fontId="2" fillId="8" borderId="0" xfId="1" applyFont="1" applyFill="1" applyAlignment="1"/>
    <xf numFmtId="164" fontId="2" fillId="0" borderId="0" xfId="1" applyNumberFormat="1" applyFont="1" applyAlignment="1"/>
    <xf numFmtId="168" fontId="2" fillId="0" borderId="0" xfId="1" applyNumberFormat="1" applyFont="1" applyAlignment="1"/>
    <xf numFmtId="1" fontId="2" fillId="8" borderId="0" xfId="1" applyNumberFormat="1" applyFont="1" applyFill="1" applyAlignment="1"/>
    <xf numFmtId="0" fontId="2" fillId="3" borderId="0" xfId="1" applyFont="1" applyFill="1" applyAlignment="1"/>
    <xf numFmtId="2" fontId="2" fillId="0" borderId="0" xfId="1" applyNumberFormat="1" applyFont="1" applyAlignment="1">
      <alignment horizontal="center"/>
    </xf>
    <xf numFmtId="0" fontId="2" fillId="3" borderId="0" xfId="1" applyFont="1" applyFill="1" applyAlignment="1">
      <alignment horizontal="center"/>
    </xf>
    <xf numFmtId="0" fontId="13" fillId="9" borderId="0" xfId="0" applyFont="1" applyFill="1" applyAlignment="1"/>
    <xf numFmtId="0" fontId="1" fillId="0" borderId="0" xfId="1" applyFont="1" applyAlignment="1">
      <alignment horizontal="left" vertical="top" wrapText="1"/>
    </xf>
    <xf numFmtId="2" fontId="1" fillId="0" borderId="0" xfId="1" applyNumberFormat="1" applyFont="1" applyAlignment="1">
      <alignment horizontal="left" vertical="top" wrapText="1"/>
    </xf>
    <xf numFmtId="0" fontId="1" fillId="0" borderId="0" xfId="1" applyFont="1" applyFill="1" applyAlignment="1">
      <alignment horizontal="left" vertical="top" wrapText="1"/>
    </xf>
    <xf numFmtId="0" fontId="16" fillId="10" borderId="0" xfId="1" applyFont="1" applyFill="1" applyAlignment="1">
      <alignment horizontal="left" vertical="top" wrapText="1"/>
    </xf>
    <xf numFmtId="0" fontId="17" fillId="0" borderId="0" xfId="1" applyFont="1" applyFill="1" applyAlignment="1">
      <alignment vertical="top"/>
    </xf>
    <xf numFmtId="0" fontId="18" fillId="0" borderId="0" xfId="1" applyFont="1" applyFill="1" applyAlignment="1">
      <alignment horizontal="left" vertical="top" wrapText="1"/>
    </xf>
    <xf numFmtId="0" fontId="0" fillId="0" borderId="0" xfId="0" applyAlignment="1">
      <alignment horizontal="center"/>
    </xf>
    <xf numFmtId="0" fontId="1" fillId="2" borderId="0" xfId="1" applyFont="1" applyFill="1" applyAlignment="1">
      <alignment horizontal="left" vertical="top" wrapText="1"/>
    </xf>
    <xf numFmtId="0" fontId="18" fillId="0" borderId="0" xfId="1" applyFont="1" applyAlignment="1">
      <alignment horizontal="left" vertical="top" wrapText="1"/>
    </xf>
    <xf numFmtId="0" fontId="22" fillId="0" borderId="0" xfId="1" applyFont="1" applyAlignment="1">
      <alignment horizontal="left" vertical="top" wrapText="1"/>
    </xf>
    <xf numFmtId="0" fontId="23" fillId="9" borderId="0" xfId="0" applyFont="1" applyFill="1" applyAlignment="1"/>
    <xf numFmtId="0" fontId="23" fillId="0" borderId="0" xfId="0" applyFont="1" applyAlignment="1"/>
    <xf numFmtId="0" fontId="23" fillId="12" borderId="0" xfId="0" applyFont="1" applyFill="1" applyAlignment="1"/>
    <xf numFmtId="164" fontId="2" fillId="13" borderId="0" xfId="1" applyNumberFormat="1" applyFont="1" applyFill="1" applyAlignment="1">
      <alignment horizontal="left" vertical="top" wrapText="1"/>
    </xf>
    <xf numFmtId="0" fontId="24" fillId="0" borderId="0" xfId="1" applyFont="1" applyAlignment="1">
      <alignment horizontal="left" vertical="top" wrapText="1"/>
    </xf>
    <xf numFmtId="0" fontId="24" fillId="2" borderId="0" xfId="1" applyFont="1" applyFill="1" applyAlignment="1">
      <alignment horizontal="left" vertical="top" wrapText="1"/>
    </xf>
    <xf numFmtId="0" fontId="2" fillId="14" borderId="0" xfId="1" applyFont="1" applyFill="1" applyAlignment="1">
      <alignment horizontal="left" vertical="top" wrapText="1"/>
    </xf>
    <xf numFmtId="0" fontId="18" fillId="14" borderId="0" xfId="1" applyFont="1" applyFill="1" applyAlignment="1">
      <alignment horizontal="left" vertical="top" wrapText="1"/>
    </xf>
    <xf numFmtId="0" fontId="1" fillId="14" borderId="0" xfId="1" applyFont="1" applyFill="1" applyAlignment="1">
      <alignment horizontal="left" vertical="top" wrapText="1"/>
    </xf>
    <xf numFmtId="2" fontId="1" fillId="14" borderId="0" xfId="1" applyNumberFormat="1" applyFont="1" applyFill="1" applyAlignment="1">
      <alignment horizontal="left" vertical="top" wrapText="1"/>
    </xf>
    <xf numFmtId="0" fontId="24" fillId="0" borderId="0" xfId="1" applyFont="1" applyFill="1" applyAlignment="1">
      <alignment horizontal="left" vertical="top" wrapText="1"/>
    </xf>
    <xf numFmtId="0" fontId="0" fillId="0" borderId="0" xfId="0" applyFont="1" applyAlignment="1">
      <alignment vertical="top"/>
    </xf>
    <xf numFmtId="2" fontId="24" fillId="0" borderId="0" xfId="1" applyNumberFormat="1" applyFont="1" applyAlignment="1">
      <alignment horizontal="left" vertical="top" wrapText="1"/>
    </xf>
    <xf numFmtId="0" fontId="2" fillId="15" borderId="0" xfId="1" applyFont="1" applyFill="1" applyAlignment="1">
      <alignment horizontal="left" vertical="top" wrapText="1"/>
    </xf>
    <xf numFmtId="0" fontId="2" fillId="16" borderId="0" xfId="1" applyFont="1" applyFill="1" applyAlignment="1">
      <alignment horizontal="left" vertical="top" wrapText="1"/>
    </xf>
    <xf numFmtId="0" fontId="2" fillId="17" borderId="0" xfId="1" applyFont="1" applyFill="1" applyAlignment="1">
      <alignment horizontal="left" vertical="top" wrapText="1"/>
    </xf>
    <xf numFmtId="0" fontId="25" fillId="14" borderId="0" xfId="1" applyFont="1" applyFill="1" applyAlignment="1">
      <alignment horizontal="left" vertical="top" wrapText="1"/>
    </xf>
    <xf numFmtId="0" fontId="24" fillId="17" borderId="0" xfId="1" applyFont="1" applyFill="1" applyAlignment="1">
      <alignment horizontal="left" vertical="top" wrapText="1"/>
    </xf>
    <xf numFmtId="0" fontId="24" fillId="15" borderId="0" xfId="1" applyFont="1" applyFill="1" applyAlignment="1">
      <alignment horizontal="left" vertical="top" wrapText="1"/>
    </xf>
    <xf numFmtId="0" fontId="2" fillId="18" borderId="0" xfId="1" applyFont="1" applyFill="1" applyAlignment="1">
      <alignment horizontal="left" vertical="top" wrapText="1"/>
    </xf>
    <xf numFmtId="0" fontId="24" fillId="16" borderId="0" xfId="1" applyFont="1" applyFill="1" applyAlignment="1">
      <alignment horizontal="left" vertical="top" wrapText="1"/>
    </xf>
    <xf numFmtId="0" fontId="1" fillId="0" borderId="0" xfId="1" applyFont="1" applyAlignment="1">
      <alignment wrapText="1"/>
    </xf>
    <xf numFmtId="166" fontId="1" fillId="0" borderId="0" xfId="1" applyNumberFormat="1" applyFont="1" applyAlignment="1">
      <alignment horizontal="left" vertical="top" wrapText="1"/>
    </xf>
    <xf numFmtId="166" fontId="2" fillId="0" borderId="0" xfId="1" applyNumberFormat="1" applyFont="1" applyAlignment="1">
      <alignment horizontal="left" vertical="top" wrapText="1"/>
    </xf>
    <xf numFmtId="166" fontId="24" fillId="0" borderId="0" xfId="1" applyNumberFormat="1" applyFont="1" applyFill="1" applyAlignment="1">
      <alignment horizontal="left" vertical="top" wrapText="1"/>
    </xf>
    <xf numFmtId="166" fontId="1" fillId="17" borderId="0" xfId="1" applyNumberFormat="1" applyFont="1" applyFill="1" applyAlignment="1">
      <alignment horizontal="left" vertical="top" wrapText="1"/>
    </xf>
    <xf numFmtId="166" fontId="2" fillId="17" borderId="0" xfId="1" applyNumberFormat="1" applyFont="1" applyFill="1" applyAlignment="1">
      <alignment horizontal="left" vertical="top" wrapText="1"/>
    </xf>
    <xf numFmtId="166" fontId="1" fillId="15" borderId="0" xfId="1" applyNumberFormat="1" applyFont="1" applyFill="1" applyAlignment="1">
      <alignment horizontal="left" vertical="top" wrapText="1"/>
    </xf>
    <xf numFmtId="166" fontId="2" fillId="15" borderId="0" xfId="1" applyNumberFormat="1" applyFont="1" applyFill="1" applyAlignment="1">
      <alignment horizontal="left" vertical="top" wrapText="1"/>
    </xf>
    <xf numFmtId="166" fontId="1" fillId="16" borderId="0" xfId="1" applyNumberFormat="1" applyFont="1" applyFill="1" applyAlignment="1">
      <alignment horizontal="left" vertical="top" wrapText="1"/>
    </xf>
    <xf numFmtId="166" fontId="2" fillId="16" borderId="0" xfId="1" applyNumberFormat="1" applyFont="1" applyFill="1" applyAlignment="1">
      <alignment horizontal="left" vertical="top" wrapText="1"/>
    </xf>
    <xf numFmtId="1" fontId="1" fillId="0" borderId="0" xfId="1" applyNumberFormat="1" applyFont="1" applyFill="1" applyAlignment="1">
      <alignment horizontal="left" vertical="top" wrapText="1"/>
    </xf>
    <xf numFmtId="2" fontId="2" fillId="0" borderId="0" xfId="1" applyNumberFormat="1" applyFont="1" applyFill="1" applyAlignment="1">
      <alignment horizontal="left" vertical="top" wrapText="1"/>
    </xf>
    <xf numFmtId="0" fontId="25" fillId="0" borderId="0" xfId="1" applyFont="1" applyFill="1" applyAlignment="1">
      <alignment horizontal="left" vertical="top" wrapText="1"/>
    </xf>
    <xf numFmtId="166" fontId="2" fillId="0" borderId="0" xfId="1" applyNumberFormat="1" applyFont="1" applyFill="1" applyAlignment="1">
      <alignment horizontal="left" vertical="top" wrapText="1"/>
    </xf>
    <xf numFmtId="11" fontId="2" fillId="0" borderId="0" xfId="1" applyNumberFormat="1" applyFont="1" applyAlignment="1">
      <alignment horizontal="left" vertical="top" wrapText="1"/>
    </xf>
    <xf numFmtId="11" fontId="26" fillId="0" borderId="0" xfId="0" applyNumberFormat="1" applyFont="1" applyAlignment="1"/>
    <xf numFmtId="11" fontId="2" fillId="0" borderId="0" xfId="1" applyNumberFormat="1" applyFont="1" applyAlignment="1"/>
    <xf numFmtId="0" fontId="16" fillId="19" borderId="0" xfId="1" applyFont="1" applyFill="1" applyAlignment="1">
      <alignment horizontal="left" vertical="top" wrapText="1"/>
    </xf>
    <xf numFmtId="1" fontId="2" fillId="3" borderId="0" xfId="1" applyNumberFormat="1" applyFont="1" applyFill="1" applyAlignment="1">
      <alignment horizontal="left" vertical="top" wrapText="1"/>
    </xf>
    <xf numFmtId="1" fontId="0" fillId="0" borderId="0" xfId="0" applyNumberFormat="1" applyAlignment="1"/>
    <xf numFmtId="2" fontId="0" fillId="0" borderId="0" xfId="0" applyNumberFormat="1" applyAlignment="1"/>
    <xf numFmtId="2" fontId="11" fillId="20" borderId="0" xfId="1" applyNumberFormat="1" applyFont="1" applyFill="1" applyAlignment="1"/>
    <xf numFmtId="0" fontId="32" fillId="0" borderId="0" xfId="0" applyFont="1" applyAlignment="1"/>
    <xf numFmtId="166" fontId="1" fillId="0" borderId="0" xfId="1" applyNumberFormat="1" applyFont="1" applyFill="1" applyAlignment="1">
      <alignment horizontal="left" vertical="top" wrapText="1"/>
    </xf>
    <xf numFmtId="0" fontId="1" fillId="17" borderId="0" xfId="1" applyFont="1" applyFill="1" applyAlignment="1">
      <alignment horizontal="left" vertical="top" wrapText="1"/>
    </xf>
    <xf numFmtId="0" fontId="1" fillId="15" borderId="0" xfId="1" applyFont="1" applyFill="1" applyAlignment="1">
      <alignment horizontal="left" vertical="top" wrapText="1"/>
    </xf>
    <xf numFmtId="0" fontId="1" fillId="16" borderId="0" xfId="1" applyFont="1" applyFill="1" applyAlignment="1">
      <alignment horizontal="left" vertical="top" wrapText="1"/>
    </xf>
    <xf numFmtId="167" fontId="2" fillId="8" borderId="0" xfId="1" applyNumberFormat="1" applyFont="1" applyFill="1" applyAlignment="1"/>
    <xf numFmtId="1" fontId="16" fillId="21" borderId="0" xfId="1" applyNumberFormat="1" applyFont="1" applyFill="1" applyAlignment="1">
      <alignment horizontal="left" vertical="top" wrapText="1"/>
    </xf>
    <xf numFmtId="167" fontId="0" fillId="0" borderId="0" xfId="0" applyNumberFormat="1" applyAlignment="1"/>
    <xf numFmtId="167" fontId="2" fillId="0" borderId="0" xfId="1" applyNumberFormat="1" applyFont="1" applyFill="1" applyAlignment="1"/>
    <xf numFmtId="0" fontId="2" fillId="22" borderId="0" xfId="1" applyFont="1" applyFill="1" applyAlignment="1"/>
    <xf numFmtId="1" fontId="33" fillId="0" borderId="0" xfId="0" applyNumberFormat="1" applyFont="1" applyAlignment="1"/>
    <xf numFmtId="2" fontId="0" fillId="22" borderId="0" xfId="0" applyNumberFormat="1" applyFill="1" applyAlignment="1"/>
    <xf numFmtId="166" fontId="34" fillId="11" borderId="0" xfId="4" applyNumberFormat="1" applyFont="1" applyFill="1" applyAlignment="1">
      <alignment horizontal="left" vertical="top" wrapText="1"/>
    </xf>
    <xf numFmtId="1" fontId="2" fillId="0" borderId="0" xfId="1" applyNumberFormat="1" applyFont="1" applyAlignment="1"/>
    <xf numFmtId="0" fontId="3" fillId="0" borderId="0" xfId="1" applyFont="1" applyAlignment="1">
      <alignment vertical="center" wrapText="1"/>
    </xf>
    <xf numFmtId="0" fontId="2" fillId="23" borderId="0" xfId="1" applyFont="1" applyFill="1" applyAlignment="1"/>
    <xf numFmtId="0" fontId="2" fillId="23" borderId="0" xfId="1" applyFont="1" applyFill="1" applyAlignment="1">
      <alignment horizontal="center"/>
    </xf>
    <xf numFmtId="167" fontId="2" fillId="23" borderId="0" xfId="1" applyNumberFormat="1" applyFont="1" applyFill="1" applyAlignment="1"/>
    <xf numFmtId="165" fontId="2" fillId="23" borderId="0" xfId="1" applyNumberFormat="1" applyFont="1" applyFill="1" applyAlignment="1"/>
    <xf numFmtId="11" fontId="2" fillId="23" borderId="0" xfId="1" applyNumberFormat="1" applyFont="1" applyFill="1" applyAlignment="1"/>
    <xf numFmtId="0" fontId="0" fillId="23" borderId="0" xfId="0" applyFill="1" applyAlignment="1"/>
    <xf numFmtId="0" fontId="2" fillId="0" borderId="0" xfId="0" applyFont="1" applyAlignment="1"/>
    <xf numFmtId="0" fontId="2" fillId="24" borderId="0" xfId="1" applyFont="1" applyFill="1" applyAlignment="1"/>
    <xf numFmtId="0" fontId="2" fillId="14" borderId="0" xfId="1" applyFont="1" applyFill="1" applyAlignment="1"/>
    <xf numFmtId="0" fontId="2" fillId="25" borderId="0" xfId="1" applyFont="1" applyFill="1" applyAlignment="1"/>
    <xf numFmtId="0" fontId="2" fillId="21" borderId="0" xfId="1" applyFont="1" applyFill="1" applyAlignment="1"/>
    <xf numFmtId="0" fontId="2" fillId="26" borderId="0" xfId="1" applyFont="1" applyFill="1" applyAlignment="1"/>
    <xf numFmtId="0" fontId="0" fillId="0" borderId="0" xfId="0"/>
    <xf numFmtId="166" fontId="0" fillId="0" borderId="0" xfId="0" applyNumberFormat="1"/>
    <xf numFmtId="0" fontId="0" fillId="26" borderId="0" xfId="0" applyFill="1"/>
    <xf numFmtId="166" fontId="34" fillId="27" borderId="0" xfId="4" applyNumberFormat="1" applyFont="1" applyFill="1" applyAlignment="1">
      <alignment horizontal="left" vertical="top" wrapText="1"/>
    </xf>
    <xf numFmtId="166" fontId="34" fillId="28" borderId="0" xfId="4" applyNumberFormat="1" applyFont="1" applyFill="1" applyAlignment="1">
      <alignment horizontal="left" vertical="top" wrapText="1"/>
    </xf>
    <xf numFmtId="166" fontId="34" fillId="29" borderId="0" xfId="4" applyNumberFormat="1" applyFont="1" applyFill="1" applyAlignment="1">
      <alignment horizontal="left" vertical="top" wrapText="1"/>
    </xf>
    <xf numFmtId="166" fontId="34" fillId="16" borderId="0" xfId="1" applyNumberFormat="1" applyFont="1" applyFill="1" applyAlignment="1">
      <alignment horizontal="left" vertical="top" wrapText="1"/>
    </xf>
    <xf numFmtId="167" fontId="2" fillId="0" borderId="0" xfId="0" applyNumberFormat="1" applyFont="1" applyAlignment="1"/>
    <xf numFmtId="165" fontId="2" fillId="0" borderId="0" xfId="0" applyNumberFormat="1" applyFont="1" applyAlignment="1"/>
    <xf numFmtId="0" fontId="2" fillId="0" borderId="0" xfId="1" applyFont="1" applyFill="1" applyAlignment="1">
      <alignment horizontal="left" vertical="top" wrapText="1"/>
    </xf>
    <xf numFmtId="0" fontId="2" fillId="30" borderId="0" xfId="1" applyFont="1" applyFill="1" applyAlignment="1">
      <alignment horizontal="left" vertical="top" wrapText="1"/>
    </xf>
    <xf numFmtId="0" fontId="3" fillId="30" borderId="0" xfId="1" applyFont="1" applyFill="1" applyAlignment="1">
      <alignment vertical="top"/>
    </xf>
    <xf numFmtId="0" fontId="24" fillId="30" borderId="0" xfId="1" applyFont="1" applyFill="1" applyAlignment="1">
      <alignment horizontal="left" vertical="top" wrapText="1"/>
    </xf>
    <xf numFmtId="0" fontId="2" fillId="31" borderId="0" xfId="1" applyFont="1" applyFill="1" applyAlignment="1">
      <alignment horizontal="left" vertical="top" wrapText="1"/>
    </xf>
    <xf numFmtId="0" fontId="3" fillId="31" borderId="0" xfId="1" applyFont="1" applyFill="1" applyAlignment="1">
      <alignment vertical="top"/>
    </xf>
    <xf numFmtId="0" fontId="24" fillId="31" borderId="0" xfId="1" applyFont="1" applyFill="1" applyAlignment="1">
      <alignment horizontal="left" vertical="top" wrapText="1"/>
    </xf>
    <xf numFmtId="0" fontId="2" fillId="32" borderId="0" xfId="1" applyFont="1" applyFill="1" applyAlignment="1">
      <alignment horizontal="left" vertical="top" wrapText="1"/>
    </xf>
    <xf numFmtId="0" fontId="3" fillId="32" borderId="0" xfId="1" applyFont="1" applyFill="1" applyAlignment="1">
      <alignment vertical="top"/>
    </xf>
    <xf numFmtId="0" fontId="24" fillId="32" borderId="0" xfId="1" applyFont="1" applyFill="1" applyAlignment="1">
      <alignment horizontal="left" vertical="top" wrapText="1"/>
    </xf>
    <xf numFmtId="0" fontId="2" fillId="33" borderId="0" xfId="1" applyFont="1" applyFill="1" applyAlignment="1">
      <alignment horizontal="left" vertical="top" wrapText="1"/>
    </xf>
    <xf numFmtId="0" fontId="3" fillId="33" borderId="0" xfId="1" applyFont="1" applyFill="1" applyAlignment="1">
      <alignment vertical="top"/>
    </xf>
    <xf numFmtId="0" fontId="24" fillId="33" borderId="0" xfId="1" applyFont="1" applyFill="1" applyAlignment="1">
      <alignment horizontal="left" vertical="top" wrapText="1"/>
    </xf>
    <xf numFmtId="0" fontId="2" fillId="34" borderId="0" xfId="1" applyFont="1" applyFill="1" applyAlignment="1">
      <alignment horizontal="left" vertical="top" wrapText="1"/>
    </xf>
    <xf numFmtId="0" fontId="3" fillId="34" borderId="0" xfId="1" applyFont="1" applyFill="1" applyAlignment="1">
      <alignment vertical="top"/>
    </xf>
    <xf numFmtId="0" fontId="24" fillId="34" borderId="0" xfId="1" applyFont="1" applyFill="1" applyAlignment="1">
      <alignment horizontal="left" vertical="top" wrapText="1"/>
    </xf>
    <xf numFmtId="0" fontId="1" fillId="30" borderId="0" xfId="1" applyFont="1" applyFill="1" applyAlignment="1">
      <alignment horizontal="left" vertical="top" wrapText="1"/>
    </xf>
    <xf numFmtId="0" fontId="1" fillId="31" borderId="0" xfId="1" applyFont="1" applyFill="1" applyAlignment="1">
      <alignment horizontal="left" vertical="top" wrapText="1"/>
    </xf>
    <xf numFmtId="0" fontId="1" fillId="32" borderId="0" xfId="1" applyFont="1" applyFill="1" applyAlignment="1">
      <alignment horizontal="left" vertical="top" wrapText="1"/>
    </xf>
    <xf numFmtId="0" fontId="1" fillId="33" borderId="0" xfId="1" applyFont="1" applyFill="1" applyAlignment="1">
      <alignment horizontal="left" vertical="top" wrapText="1"/>
    </xf>
    <xf numFmtId="0" fontId="1" fillId="34" borderId="0" xfId="1" applyFont="1" applyFill="1" applyAlignment="1">
      <alignment horizontal="left" vertical="top" wrapText="1"/>
    </xf>
    <xf numFmtId="166" fontId="35" fillId="11" borderId="0" xfId="4" applyNumberFormat="1" applyFont="1" applyFill="1" applyAlignment="1">
      <alignment horizontal="left" vertical="top" wrapText="1"/>
    </xf>
    <xf numFmtId="166" fontId="2" fillId="0" borderId="0" xfId="1" applyNumberFormat="1" applyFont="1" applyBorder="1" applyAlignment="1">
      <alignment horizontal="left" vertical="top" wrapText="1"/>
    </xf>
    <xf numFmtId="166" fontId="35" fillId="28" borderId="0" xfId="4" applyNumberFormat="1" applyFont="1" applyFill="1" applyAlignment="1">
      <alignment horizontal="left" vertical="top" wrapText="1"/>
    </xf>
    <xf numFmtId="166" fontId="35" fillId="27" borderId="0" xfId="4" applyNumberFormat="1" applyFont="1" applyFill="1" applyAlignment="1">
      <alignment horizontal="left" vertical="top" wrapText="1"/>
    </xf>
    <xf numFmtId="166" fontId="35" fillId="29" borderId="0" xfId="4" applyNumberFormat="1" applyFont="1" applyFill="1" applyAlignment="1">
      <alignment horizontal="left" vertical="top" wrapText="1"/>
    </xf>
    <xf numFmtId="166" fontId="2" fillId="35" borderId="0" xfId="1" applyNumberFormat="1" applyFont="1" applyFill="1" applyAlignment="1">
      <alignment horizontal="left" vertical="top" wrapText="1"/>
    </xf>
    <xf numFmtId="0" fontId="11" fillId="0" borderId="0" xfId="1" applyFont="1" applyAlignment="1">
      <alignment horizontal="center" vertical="center"/>
    </xf>
    <xf numFmtId="0" fontId="8" fillId="0" borderId="0" xfId="1" applyFont="1" applyAlignment="1">
      <alignment horizontal="center" vertical="center"/>
    </xf>
  </cellXfs>
  <cellStyles count="7">
    <cellStyle name="Currency [0]" xfId="1" builtinId="7"/>
    <cellStyle name="Explanatory Text" xfId="4" builtinId="53"/>
    <cellStyle name="Followed Hyperlink" xfId="3" builtinId="9" hidden="1"/>
    <cellStyle name="Followed Hyperlink" xfId="6" builtinId="9" hidden="1"/>
    <cellStyle name="Hyperlink" xfId="2" builtinId="8" hidden="1"/>
    <cellStyle name="Hyperlink" xfId="5" builtinId="8" hidden="1"/>
    <cellStyle name="Normal" xfId="0" builtinId="0"/>
  </cellStyles>
  <dxfs count="55">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
      <font>
        <sz val="11"/>
        <color rgb="FF9C5700"/>
        <name val="Calibri"/>
      </font>
      <fill>
        <patternFill>
          <bgColor rgb="FFFFEB9C"/>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s>
  <tableStyles count="0" defaultTableStyle="TableStyleMedium9" defaultPivotStyle="PivotStyleLight16"/>
  <colors>
    <indexedColors>
      <rgbColor rgb="FF000000"/>
      <rgbColor rgb="FFE6E0EC"/>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mruColors>
      <color rgb="FFFFEB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EchelleFPAparam!$N$12:$N$152</c:f>
              <c:numCache>
                <c:formatCode>General</c:formatCode>
                <c:ptCount val="141"/>
              </c:numCache>
            </c:numRef>
          </c:xVal>
          <c:yVal>
            <c:numRef>
              <c:f>EchelleFPAparam!$O$12:$O$152</c:f>
              <c:numCache>
                <c:formatCode>General</c:formatCode>
                <c:ptCount val="141"/>
              </c:numCache>
            </c:numRef>
          </c:yVal>
          <c:smooth val="0"/>
          <c:extLst>
            <c:ext xmlns:c16="http://schemas.microsoft.com/office/drawing/2014/chart" uri="{C3380CC4-5D6E-409C-BE32-E72D297353CC}">
              <c16:uniqueId val="{00000000-71FE-CB46-AC85-132022EDA95E}"/>
            </c:ext>
          </c:extLst>
        </c:ser>
        <c:dLbls>
          <c:showLegendKey val="0"/>
          <c:showVal val="0"/>
          <c:showCatName val="0"/>
          <c:showSerName val="0"/>
          <c:showPercent val="0"/>
          <c:showBubbleSize val="0"/>
        </c:dLbls>
        <c:axId val="1028013744"/>
        <c:axId val="558338576"/>
      </c:scatterChart>
      <c:valAx>
        <c:axId val="1028013744"/>
        <c:scaling>
          <c:orientation val="minMax"/>
          <c:min val="63.5"/>
        </c:scaling>
        <c:delete val="0"/>
        <c:axPos val="b"/>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38576"/>
        <c:crosses val="autoZero"/>
        <c:crossBetween val="midCat"/>
      </c:valAx>
      <c:valAx>
        <c:axId val="558338576"/>
        <c:scaling>
          <c:orientation val="minMax"/>
          <c:min val="2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13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xVal>
            <c:numRef>
              <c:f>encVangle!$L$175:$L$191</c:f>
              <c:numCache>
                <c:formatCode>General</c:formatCode>
                <c:ptCount val="17"/>
                <c:pt idx="0" formatCode="0.000000">
                  <c:v>863</c:v>
                </c:pt>
                <c:pt idx="4" formatCode="0.000000">
                  <c:v>1705</c:v>
                </c:pt>
                <c:pt idx="8" formatCode="0.000000">
                  <c:v>1167</c:v>
                </c:pt>
                <c:pt idx="12" formatCode="0.000000">
                  <c:v>161</c:v>
                </c:pt>
                <c:pt idx="16" formatCode="0.000000">
                  <c:v>1451</c:v>
                </c:pt>
              </c:numCache>
            </c:numRef>
          </c:xVal>
          <c:yVal>
            <c:numRef>
              <c:f>encVangle!$N$175:$N$191</c:f>
              <c:numCache>
                <c:formatCode>General</c:formatCode>
                <c:ptCount val="17"/>
                <c:pt idx="0" formatCode="0.00000">
                  <c:v>65.608975524629372</c:v>
                </c:pt>
                <c:pt idx="4" formatCode="0.00000">
                  <c:v>65.607977744248714</c:v>
                </c:pt>
                <c:pt idx="8" formatCode="0.00000">
                  <c:v>65.609047894615159</c:v>
                </c:pt>
                <c:pt idx="12" formatCode="0.00000">
                  <c:v>65.607168303832921</c:v>
                </c:pt>
                <c:pt idx="16" formatCode="0.00000">
                  <c:v>65.609072833698875</c:v>
                </c:pt>
              </c:numCache>
            </c:numRef>
          </c:yVal>
          <c:smooth val="0"/>
          <c:extLst>
            <c:ext xmlns:c16="http://schemas.microsoft.com/office/drawing/2014/chart" uri="{C3380CC4-5D6E-409C-BE32-E72D297353CC}">
              <c16:uniqueId val="{00000000-6E6F-7541-908E-B5EA59C232E4}"/>
            </c:ext>
          </c:extLst>
        </c:ser>
        <c:ser>
          <c:idx val="0"/>
          <c:order val="1"/>
          <c:spPr>
            <a:ln w="25400" cap="rnd">
              <a:noFill/>
              <a:round/>
            </a:ln>
            <a:effectLst/>
          </c:spPr>
          <c:marker>
            <c:symbol val="circle"/>
            <c:size val="5"/>
            <c:spPr>
              <a:solidFill>
                <a:schemeClr val="accent1"/>
              </a:solidFill>
              <a:ln w="9525">
                <a:solidFill>
                  <a:schemeClr val="accent1"/>
                </a:solidFill>
              </a:ln>
              <a:effectLst/>
            </c:spPr>
          </c:marker>
          <c:xVal>
            <c:numRef>
              <c:f>encVangle!$L$279:$L$363</c:f>
              <c:numCache>
                <c:formatCode>General</c:formatCode>
                <c:ptCount val="85"/>
                <c:pt idx="0" formatCode="0.000000">
                  <c:v>1989</c:v>
                </c:pt>
                <c:pt idx="4" formatCode="0.000000">
                  <c:v>1573</c:v>
                </c:pt>
                <c:pt idx="8" formatCode="0.000000">
                  <c:v>1572</c:v>
                </c:pt>
                <c:pt idx="12" formatCode="0.000000">
                  <c:v>1989</c:v>
                </c:pt>
                <c:pt idx="16" formatCode="0.000000">
                  <c:v>1347</c:v>
                </c:pt>
                <c:pt idx="20" formatCode="0.000000">
                  <c:v>853</c:v>
                </c:pt>
                <c:pt idx="24" formatCode="0.000000">
                  <c:v>1110</c:v>
                </c:pt>
                <c:pt idx="28" formatCode="0.000000">
                  <c:v>583</c:v>
                </c:pt>
                <c:pt idx="32" formatCode="0.000000">
                  <c:v>292</c:v>
                </c:pt>
                <c:pt idx="36" formatCode="0.000000">
                  <c:v>1787</c:v>
                </c:pt>
                <c:pt idx="40" formatCode="0.000000">
                  <c:v>1988</c:v>
                </c:pt>
                <c:pt idx="44" formatCode="0.000000">
                  <c:v>1570</c:v>
                </c:pt>
                <c:pt idx="48" formatCode="0.000000">
                  <c:v>1342</c:v>
                </c:pt>
                <c:pt idx="52" formatCode="0.000000">
                  <c:v>1343</c:v>
                </c:pt>
                <c:pt idx="56" formatCode="0.000000">
                  <c:v>1784</c:v>
                </c:pt>
                <c:pt idx="60" formatCode="0.000000">
                  <c:v>1784</c:v>
                </c:pt>
                <c:pt idx="64" formatCode="0.000000">
                  <c:v>1568</c:v>
                </c:pt>
                <c:pt idx="68" formatCode="0.000000">
                  <c:v>1340</c:v>
                </c:pt>
                <c:pt idx="72" formatCode="0.000000">
                  <c:v>1095</c:v>
                </c:pt>
                <c:pt idx="76" formatCode="0.000000">
                  <c:v>838</c:v>
                </c:pt>
                <c:pt idx="80" formatCode="0.000000">
                  <c:v>268</c:v>
                </c:pt>
                <c:pt idx="84" formatCode="0.000000">
                  <c:v>569</c:v>
                </c:pt>
              </c:numCache>
            </c:numRef>
          </c:xVal>
          <c:yVal>
            <c:numRef>
              <c:f>encVangle!$N$279:$N$363</c:f>
              <c:numCache>
                <c:formatCode>General</c:formatCode>
                <c:ptCount val="85"/>
                <c:pt idx="0" formatCode="0.00000">
                  <c:v>65.616800226347692</c:v>
                </c:pt>
                <c:pt idx="4" formatCode="0.00000">
                  <c:v>65.618095197233757</c:v>
                </c:pt>
                <c:pt idx="8" formatCode="0.00000">
                  <c:v>65.618101352241624</c:v>
                </c:pt>
                <c:pt idx="12" formatCode="0.00000">
                  <c:v>65.616487133092406</c:v>
                </c:pt>
                <c:pt idx="16" formatCode="0.00000">
                  <c:v>65.618444008240388</c:v>
                </c:pt>
                <c:pt idx="20" formatCode="0.00000">
                  <c:v>65.619182457780539</c:v>
                </c:pt>
                <c:pt idx="24" formatCode="0.00000">
                  <c:v>65.61922651832117</c:v>
                </c:pt>
                <c:pt idx="28" formatCode="0.00000">
                  <c:v>65.61957402286545</c:v>
                </c:pt>
                <c:pt idx="32" formatCode="0.00000">
                  <c:v>65.619341443502293</c:v>
                </c:pt>
                <c:pt idx="36" formatCode="0.00000">
                  <c:v>65.617526556961352</c:v>
                </c:pt>
                <c:pt idx="40" formatCode="0.00000">
                  <c:v>65.619606282719445</c:v>
                </c:pt>
                <c:pt idx="44" formatCode="0.00000">
                  <c:v>65.620372203014597</c:v>
                </c:pt>
                <c:pt idx="48" formatCode="0.00000">
                  <c:v>65.62010419408746</c:v>
                </c:pt>
                <c:pt idx="52" formatCode="0.00000">
                  <c:v>65.62000931009365</c:v>
                </c:pt>
                <c:pt idx="56" formatCode="0.00000">
                  <c:v>65.620419656406398</c:v>
                </c:pt>
                <c:pt idx="60" formatCode="0.00000">
                  <c:v>65.620944189892327</c:v>
                </c:pt>
                <c:pt idx="64" formatCode="0.00000">
                  <c:v>65.62063795989107</c:v>
                </c:pt>
                <c:pt idx="68" formatCode="0.00000">
                  <c:v>65.62030771864876</c:v>
                </c:pt>
                <c:pt idx="72" formatCode="0.00000">
                  <c:v>65.619908497889</c:v>
                </c:pt>
                <c:pt idx="76" formatCode="0.00000">
                  <c:v>65.619431161842286</c:v>
                </c:pt>
                <c:pt idx="80" formatCode="0.00000">
                  <c:v>65.617516385478879</c:v>
                </c:pt>
                <c:pt idx="84" formatCode="0.00000">
                  <c:v>65.619015762114159</c:v>
                </c:pt>
              </c:numCache>
            </c:numRef>
          </c:yVal>
          <c:smooth val="0"/>
          <c:extLst>
            <c:ext xmlns:c16="http://schemas.microsoft.com/office/drawing/2014/chart" uri="{C3380CC4-5D6E-409C-BE32-E72D297353CC}">
              <c16:uniqueId val="{00000001-6E6F-7541-908E-B5EA59C232E4}"/>
            </c:ext>
          </c:extLst>
        </c:ser>
        <c:dLbls>
          <c:showLegendKey val="0"/>
          <c:showVal val="0"/>
          <c:showCatName val="0"/>
          <c:showSerName val="0"/>
          <c:showPercent val="0"/>
          <c:showBubbleSize val="0"/>
        </c:dLbls>
        <c:axId val="947647840"/>
        <c:axId val="553664576"/>
      </c:scatterChart>
      <c:valAx>
        <c:axId val="947647840"/>
        <c:scaling>
          <c:orientation val="minMax"/>
          <c:max val="2000"/>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64576"/>
        <c:crosses val="autoZero"/>
        <c:crossBetween val="midCat"/>
        <c:majorUnit val="400"/>
      </c:valAx>
      <c:valAx>
        <c:axId val="553664576"/>
        <c:scaling>
          <c:orientation val="minMax"/>
          <c:max val="65.624999999999986"/>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647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0"/>
          <c:spPr>
            <a:ln w="28575" cap="rnd">
              <a:noFill/>
              <a:round/>
            </a:ln>
            <a:effectLst/>
          </c:spPr>
          <c:marker>
            <c:symbol val="circle"/>
            <c:size val="5"/>
            <c:spPr>
              <a:solidFill>
                <a:schemeClr val="accent4"/>
              </a:solidFill>
              <a:ln w="9525">
                <a:solidFill>
                  <a:schemeClr val="accent4"/>
                </a:solidFill>
              </a:ln>
              <a:effectLst/>
            </c:spPr>
          </c:marker>
          <c:xVal>
            <c:numRef>
              <c:f>encVangle!$J$175:$J$191</c:f>
              <c:numCache>
                <c:formatCode>General</c:formatCode>
                <c:ptCount val="17"/>
                <c:pt idx="0">
                  <c:v>2249.1909900000001</c:v>
                </c:pt>
                <c:pt idx="4">
                  <c:v>2021.5403200000001</c:v>
                </c:pt>
                <c:pt idx="8">
                  <c:v>2190.8505399999999</c:v>
                </c:pt>
                <c:pt idx="12">
                  <c:v>2477.5359800000001</c:v>
                </c:pt>
                <c:pt idx="16">
                  <c:v>2117.1263399999998</c:v>
                </c:pt>
              </c:numCache>
            </c:numRef>
          </c:xVal>
          <c:yVal>
            <c:numRef>
              <c:f>encVangle!$N$175:$N$191</c:f>
              <c:numCache>
                <c:formatCode>General</c:formatCode>
                <c:ptCount val="17"/>
                <c:pt idx="0" formatCode="0.00000">
                  <c:v>65.608975524629372</c:v>
                </c:pt>
                <c:pt idx="4" formatCode="0.00000">
                  <c:v>65.607977744248714</c:v>
                </c:pt>
                <c:pt idx="8" formatCode="0.00000">
                  <c:v>65.609047894615159</c:v>
                </c:pt>
                <c:pt idx="12" formatCode="0.00000">
                  <c:v>65.607168303832921</c:v>
                </c:pt>
                <c:pt idx="16" formatCode="0.00000">
                  <c:v>65.609072833698875</c:v>
                </c:pt>
              </c:numCache>
            </c:numRef>
          </c:yVal>
          <c:smooth val="0"/>
          <c:extLst>
            <c:ext xmlns:c16="http://schemas.microsoft.com/office/drawing/2014/chart" uri="{C3380CC4-5D6E-409C-BE32-E72D297353CC}">
              <c16:uniqueId val="{00000000-CE9F-D042-93A8-FF8497C4A21E}"/>
            </c:ext>
          </c:extLst>
        </c:ser>
        <c:ser>
          <c:idx val="0"/>
          <c:order val="1"/>
          <c:spPr>
            <a:ln w="25400" cap="rnd">
              <a:noFill/>
              <a:round/>
            </a:ln>
            <a:effectLst/>
          </c:spPr>
          <c:marker>
            <c:symbol val="circle"/>
            <c:size val="5"/>
            <c:spPr>
              <a:solidFill>
                <a:schemeClr val="accent1"/>
              </a:solidFill>
              <a:ln w="9525">
                <a:solidFill>
                  <a:schemeClr val="accent1"/>
                </a:solidFill>
              </a:ln>
              <a:effectLst/>
            </c:spPr>
          </c:marker>
          <c:xVal>
            <c:numRef>
              <c:f>encVangle!$J$279:$J$363</c:f>
              <c:numCache>
                <c:formatCode>General</c:formatCode>
                <c:ptCount val="85"/>
                <c:pt idx="0">
                  <c:v>1443.07365</c:v>
                </c:pt>
                <c:pt idx="4">
                  <c:v>1521.3688099999999</c:v>
                </c:pt>
                <c:pt idx="8">
                  <c:v>1524.37861</c:v>
                </c:pt>
                <c:pt idx="12">
                  <c:v>1440.61608</c:v>
                </c:pt>
                <c:pt idx="16">
                  <c:v>1563.97632</c:v>
                </c:pt>
                <c:pt idx="20">
                  <c:v>1657.7574400000001</c:v>
                </c:pt>
                <c:pt idx="24">
                  <c:v>1605.57952</c:v>
                </c:pt>
                <c:pt idx="28">
                  <c:v>1707.4674500000001</c:v>
                </c:pt>
                <c:pt idx="32">
                  <c:v>1762.16579</c:v>
                </c:pt>
                <c:pt idx="36">
                  <c:v>1476.9505899999999</c:v>
                </c:pt>
                <c:pt idx="40">
                  <c:v>1452.1804999999999</c:v>
                </c:pt>
                <c:pt idx="44">
                  <c:v>1533.91572</c:v>
                </c:pt>
                <c:pt idx="48">
                  <c:v>1577.6153899999999</c:v>
                </c:pt>
                <c:pt idx="52">
                  <c:v>1568.5307399999999</c:v>
                </c:pt>
                <c:pt idx="56">
                  <c:v>1497.80375</c:v>
                </c:pt>
                <c:pt idx="60">
                  <c:v>1500.9407900000001</c:v>
                </c:pt>
                <c:pt idx="64">
                  <c:v>1539.91786</c:v>
                </c:pt>
                <c:pt idx="68">
                  <c:v>1582.44111</c:v>
                </c:pt>
                <c:pt idx="72">
                  <c:v>1631.97136</c:v>
                </c:pt>
                <c:pt idx="76">
                  <c:v>1678.97191</c:v>
                </c:pt>
                <c:pt idx="80">
                  <c:v>1784.76261</c:v>
                </c:pt>
                <c:pt idx="84">
                  <c:v>1723.54297</c:v>
                </c:pt>
              </c:numCache>
            </c:numRef>
          </c:xVal>
          <c:yVal>
            <c:numRef>
              <c:f>encVangle!$N$279:$N$363</c:f>
              <c:numCache>
                <c:formatCode>General</c:formatCode>
                <c:ptCount val="85"/>
                <c:pt idx="0" formatCode="0.00000">
                  <c:v>65.616800226347692</c:v>
                </c:pt>
                <c:pt idx="4" formatCode="0.00000">
                  <c:v>65.618095197233757</c:v>
                </c:pt>
                <c:pt idx="8" formatCode="0.00000">
                  <c:v>65.618101352241624</c:v>
                </c:pt>
                <c:pt idx="12" formatCode="0.00000">
                  <c:v>65.616487133092406</c:v>
                </c:pt>
                <c:pt idx="16" formatCode="0.00000">
                  <c:v>65.618444008240388</c:v>
                </c:pt>
                <c:pt idx="20" formatCode="0.00000">
                  <c:v>65.619182457780539</c:v>
                </c:pt>
                <c:pt idx="24" formatCode="0.00000">
                  <c:v>65.61922651832117</c:v>
                </c:pt>
                <c:pt idx="28" formatCode="0.00000">
                  <c:v>65.61957402286545</c:v>
                </c:pt>
                <c:pt idx="32" formatCode="0.00000">
                  <c:v>65.619341443502293</c:v>
                </c:pt>
                <c:pt idx="36" formatCode="0.00000">
                  <c:v>65.617526556961352</c:v>
                </c:pt>
                <c:pt idx="40" formatCode="0.00000">
                  <c:v>65.619606282719445</c:v>
                </c:pt>
                <c:pt idx="44" formatCode="0.00000">
                  <c:v>65.620372203014597</c:v>
                </c:pt>
                <c:pt idx="48" formatCode="0.00000">
                  <c:v>65.62010419408746</c:v>
                </c:pt>
                <c:pt idx="52" formatCode="0.00000">
                  <c:v>65.62000931009365</c:v>
                </c:pt>
                <c:pt idx="56" formatCode="0.00000">
                  <c:v>65.620419656406398</c:v>
                </c:pt>
                <c:pt idx="60" formatCode="0.00000">
                  <c:v>65.620944189892327</c:v>
                </c:pt>
                <c:pt idx="64" formatCode="0.00000">
                  <c:v>65.62063795989107</c:v>
                </c:pt>
                <c:pt idx="68" formatCode="0.00000">
                  <c:v>65.62030771864876</c:v>
                </c:pt>
                <c:pt idx="72" formatCode="0.00000">
                  <c:v>65.619908497889</c:v>
                </c:pt>
                <c:pt idx="76" formatCode="0.00000">
                  <c:v>65.619431161842286</c:v>
                </c:pt>
                <c:pt idx="80" formatCode="0.00000">
                  <c:v>65.617516385478879</c:v>
                </c:pt>
                <c:pt idx="84" formatCode="0.00000">
                  <c:v>65.619015762114159</c:v>
                </c:pt>
              </c:numCache>
            </c:numRef>
          </c:yVal>
          <c:smooth val="0"/>
          <c:extLst>
            <c:ext xmlns:c16="http://schemas.microsoft.com/office/drawing/2014/chart" uri="{C3380CC4-5D6E-409C-BE32-E72D297353CC}">
              <c16:uniqueId val="{00000003-CE9F-D042-93A8-FF8497C4A21E}"/>
            </c:ext>
          </c:extLst>
        </c:ser>
        <c:dLbls>
          <c:showLegendKey val="0"/>
          <c:showVal val="0"/>
          <c:showCatName val="0"/>
          <c:showSerName val="0"/>
          <c:showPercent val="0"/>
          <c:showBubbleSize val="0"/>
        </c:dLbls>
        <c:axId val="534454000"/>
        <c:axId val="534540544"/>
      </c:scatterChart>
      <c:valAx>
        <c:axId val="534454000"/>
        <c:scaling>
          <c:orientation val="minMax"/>
          <c:max val="2500"/>
          <c:min val="14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40544"/>
        <c:crosses val="autoZero"/>
        <c:crossBetween val="midCat"/>
      </c:valAx>
      <c:valAx>
        <c:axId val="53454054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54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encVangle!$N$159:$N$547</c:f>
              <c:numCache>
                <c:formatCode>General</c:formatCode>
                <c:ptCount val="389"/>
                <c:pt idx="0" formatCode="0.00000">
                  <c:v>66.079873656549282</c:v>
                </c:pt>
                <c:pt idx="4" formatCode="0.00000">
                  <c:v>66.083170914324214</c:v>
                </c:pt>
                <c:pt idx="8" formatCode="0.00000">
                  <c:v>66.082507215173038</c:v>
                </c:pt>
                <c:pt idx="12" formatCode="0.00000">
                  <c:v>66.082124324066072</c:v>
                </c:pt>
                <c:pt idx="16" formatCode="0.00000">
                  <c:v>65.608975524629372</c:v>
                </c:pt>
                <c:pt idx="20" formatCode="0.00000">
                  <c:v>65.607977744248714</c:v>
                </c:pt>
                <c:pt idx="24" formatCode="0.00000">
                  <c:v>65.609047894615159</c:v>
                </c:pt>
                <c:pt idx="28" formatCode="0.00000">
                  <c:v>65.607168303832921</c:v>
                </c:pt>
                <c:pt idx="32" formatCode="0.00000">
                  <c:v>65.609072833698875</c:v>
                </c:pt>
                <c:pt idx="36" formatCode="0.00000">
                  <c:v>65.131034120290934</c:v>
                </c:pt>
                <c:pt idx="40" formatCode="0.00000">
                  <c:v>65.130444179873265</c:v>
                </c:pt>
                <c:pt idx="44" formatCode="0.00000">
                  <c:v>64.65590213778701</c:v>
                </c:pt>
                <c:pt idx="48" formatCode="0.00000">
                  <c:v>64.655897231585627</c:v>
                </c:pt>
                <c:pt idx="52" formatCode="0.00000">
                  <c:v>64.176744559146513</c:v>
                </c:pt>
                <c:pt idx="56" formatCode="0.00000">
                  <c:v>64.175390408439625</c:v>
                </c:pt>
                <c:pt idx="60" formatCode="0.00000">
                  <c:v>63.701623566556414</c:v>
                </c:pt>
                <c:pt idx="64" formatCode="0.00000">
                  <c:v>63.701757909227489</c:v>
                </c:pt>
                <c:pt idx="68" formatCode="0.00000">
                  <c:v>63.222772930812958</c:v>
                </c:pt>
                <c:pt idx="72" formatCode="0.00000">
                  <c:v>63.221805594501603</c:v>
                </c:pt>
                <c:pt idx="76" formatCode="0.00000">
                  <c:v>66.557731532953667</c:v>
                </c:pt>
                <c:pt idx="80" formatCode="0.00000">
                  <c:v>66.561180123887212</c:v>
                </c:pt>
                <c:pt idx="84" formatCode="0.00000">
                  <c:v>66.561296426769843</c:v>
                </c:pt>
                <c:pt idx="88" formatCode="0.00000">
                  <c:v>66.560539246206773</c:v>
                </c:pt>
                <c:pt idx="92" formatCode="0.00000">
                  <c:v>67.035438307021664</c:v>
                </c:pt>
                <c:pt idx="96" formatCode="0.00000">
                  <c:v>67.035881469271033</c:v>
                </c:pt>
                <c:pt idx="100" formatCode="0.00000">
                  <c:v>67.035478000693715</c:v>
                </c:pt>
                <c:pt idx="104" formatCode="0.00000">
                  <c:v>67.037591965217459</c:v>
                </c:pt>
                <c:pt idx="108" formatCode="0.00000">
                  <c:v>67.511593519609789</c:v>
                </c:pt>
                <c:pt idx="112" formatCode="0.00000">
                  <c:v>67.511068480453744</c:v>
                </c:pt>
                <c:pt idx="116" formatCode="0.00000">
                  <c:v>67.982639745021558</c:v>
                </c:pt>
                <c:pt idx="120" formatCode="0.00000">
                  <c:v>65.616800226347692</c:v>
                </c:pt>
                <c:pt idx="124" formatCode="0.00000">
                  <c:v>65.618095197233757</c:v>
                </c:pt>
                <c:pt idx="128" formatCode="0.00000">
                  <c:v>65.618101352241624</c:v>
                </c:pt>
                <c:pt idx="132" formatCode="0.00000">
                  <c:v>65.616487133092406</c:v>
                </c:pt>
                <c:pt idx="136" formatCode="0.00000">
                  <c:v>65.618444008240388</c:v>
                </c:pt>
                <c:pt idx="140" formatCode="0.00000">
                  <c:v>65.619182457780539</c:v>
                </c:pt>
                <c:pt idx="144" formatCode="0.00000">
                  <c:v>65.61922651832117</c:v>
                </c:pt>
                <c:pt idx="148" formatCode="0.00000">
                  <c:v>65.61957402286545</c:v>
                </c:pt>
                <c:pt idx="152" formatCode="0.00000">
                  <c:v>65.619341443502293</c:v>
                </c:pt>
                <c:pt idx="156" formatCode="0.00000">
                  <c:v>65.617526556961352</c:v>
                </c:pt>
                <c:pt idx="160" formatCode="0.00000">
                  <c:v>65.619606282719445</c:v>
                </c:pt>
                <c:pt idx="164" formatCode="0.00000">
                  <c:v>65.620372203014597</c:v>
                </c:pt>
                <c:pt idx="168" formatCode="0.00000">
                  <c:v>65.62010419408746</c:v>
                </c:pt>
                <c:pt idx="172" formatCode="0.00000">
                  <c:v>65.62000931009365</c:v>
                </c:pt>
                <c:pt idx="176" formatCode="0.00000">
                  <c:v>65.620419656406398</c:v>
                </c:pt>
                <c:pt idx="180" formatCode="0.00000">
                  <c:v>65.620944189892327</c:v>
                </c:pt>
                <c:pt idx="184" formatCode="0.00000">
                  <c:v>65.62063795989107</c:v>
                </c:pt>
                <c:pt idx="188" formatCode="0.00000">
                  <c:v>65.62030771864876</c:v>
                </c:pt>
                <c:pt idx="192" formatCode="0.00000">
                  <c:v>65.619908497889</c:v>
                </c:pt>
                <c:pt idx="196" formatCode="0.00000">
                  <c:v>65.619431161842286</c:v>
                </c:pt>
                <c:pt idx="200" formatCode="0.00000">
                  <c:v>65.617516385478879</c:v>
                </c:pt>
                <c:pt idx="204" formatCode="0.00000">
                  <c:v>65.619015762114159</c:v>
                </c:pt>
                <c:pt idx="208" formatCode="0.00000">
                  <c:v>65.139245917744063</c:v>
                </c:pt>
                <c:pt idx="212" formatCode="0.00000">
                  <c:v>65.141807398074107</c:v>
                </c:pt>
                <c:pt idx="216" formatCode="0.00000">
                  <c:v>65.141172028847578</c:v>
                </c:pt>
                <c:pt idx="220" formatCode="0.00000">
                  <c:v>65.142450297101021</c:v>
                </c:pt>
                <c:pt idx="224" formatCode="0.00000">
                  <c:v>65.138634583517273</c:v>
                </c:pt>
                <c:pt idx="228" formatCode="0.00000">
                  <c:v>64.667343797624454</c:v>
                </c:pt>
                <c:pt idx="232" formatCode="0.00000">
                  <c:v>64.666351976006794</c:v>
                </c:pt>
                <c:pt idx="236" formatCode="0.00000">
                  <c:v>64.189185725123579</c:v>
                </c:pt>
                <c:pt idx="240" formatCode="0.00000">
                  <c:v>64.18929173271961</c:v>
                </c:pt>
                <c:pt idx="244" formatCode="0.00000">
                  <c:v>64.185551888983255</c:v>
                </c:pt>
                <c:pt idx="248" formatCode="0.00000">
                  <c:v>66.092008819903839</c:v>
                </c:pt>
                <c:pt idx="252" formatCode="0.00000">
                  <c:v>66.094453939534802</c:v>
                </c:pt>
                <c:pt idx="256" formatCode="0.00000">
                  <c:v>66.093861584090433</c:v>
                </c:pt>
                <c:pt idx="260" formatCode="0.00000">
                  <c:v>66.093845348032545</c:v>
                </c:pt>
                <c:pt idx="264" formatCode="0.00000">
                  <c:v>66.569131536734105</c:v>
                </c:pt>
                <c:pt idx="268" formatCode="0.00000">
                  <c:v>66.571205760956715</c:v>
                </c:pt>
                <c:pt idx="272" formatCode="0.00000">
                  <c:v>66.570680206607236</c:v>
                </c:pt>
                <c:pt idx="276" formatCode="0.00000">
                  <c:v>67.043500733512488</c:v>
                </c:pt>
                <c:pt idx="280" formatCode="0.00000">
                  <c:v>67.043921062847176</c:v>
                </c:pt>
                <c:pt idx="284" formatCode="0.00000">
                  <c:v>65.813345803322008</c:v>
                </c:pt>
                <c:pt idx="288" formatCode="0.00000">
                  <c:v>65.808583782398642</c:v>
                </c:pt>
                <c:pt idx="292" formatCode="0.00000">
                  <c:v>65.815045052676311</c:v>
                </c:pt>
                <c:pt idx="296" formatCode="0.00000">
                  <c:v>65.814416879653876</c:v>
                </c:pt>
                <c:pt idx="300" formatCode="0.00000">
                  <c:v>65.809939261535021</c:v>
                </c:pt>
                <c:pt idx="304" formatCode="0.00000">
                  <c:v>65.812811440685877</c:v>
                </c:pt>
                <c:pt idx="308" formatCode="0.00000">
                  <c:v>65.81431034715628</c:v>
                </c:pt>
                <c:pt idx="312" formatCode="0.00000">
                  <c:v>65.813814960058195</c:v>
                </c:pt>
                <c:pt idx="316" formatCode="0.00000">
                  <c:v>65.814719293958078</c:v>
                </c:pt>
                <c:pt idx="320" formatCode="0.00000">
                  <c:v>65.812734148259196</c:v>
                </c:pt>
                <c:pt idx="324" formatCode="0.00000">
                  <c:v>65.813883641090825</c:v>
                </c:pt>
                <c:pt idx="328" formatCode="0.00000">
                  <c:v>65.813574078058551</c:v>
                </c:pt>
                <c:pt idx="332" formatCode="0.00000">
                  <c:v>65.813462193347803</c:v>
                </c:pt>
                <c:pt idx="336" formatCode="0.00000">
                  <c:v>65.812302470797562</c:v>
                </c:pt>
                <c:pt idx="340" formatCode="0.00000">
                  <c:v>65.812355551864073</c:v>
                </c:pt>
                <c:pt idx="344" formatCode="0.00000">
                  <c:v>65.432166092981689</c:v>
                </c:pt>
                <c:pt idx="348" formatCode="0.00000">
                  <c:v>65.431404743527679</c:v>
                </c:pt>
                <c:pt idx="352" formatCode="0.00000">
                  <c:v>65.050770083162604</c:v>
                </c:pt>
                <c:pt idx="356" formatCode="0.00000">
                  <c:v>65.04965172685705</c:v>
                </c:pt>
                <c:pt idx="360" formatCode="0.00000">
                  <c:v>64.670392843263443</c:v>
                </c:pt>
                <c:pt idx="364" formatCode="0.00000">
                  <c:v>64.670095564363208</c:v>
                </c:pt>
                <c:pt idx="368" formatCode="0.00000">
                  <c:v>66.568607538825077</c:v>
                </c:pt>
                <c:pt idx="372" formatCode="0.00000">
                  <c:v>66.573004439243292</c:v>
                </c:pt>
                <c:pt idx="376" formatCode="0.00000">
                  <c:v>66.571592043791355</c:v>
                </c:pt>
                <c:pt idx="380" formatCode="0.00000">
                  <c:v>66.191139280460348</c:v>
                </c:pt>
                <c:pt idx="384" formatCode="0.00000">
                  <c:v>66.189878064348349</c:v>
                </c:pt>
                <c:pt idx="388" formatCode="0.00000">
                  <c:v>66.191483721676306</c:v>
                </c:pt>
              </c:numCache>
            </c:numRef>
          </c:xVal>
          <c:yVal>
            <c:numRef>
              <c:f>encVangle!$O$159:$O$547</c:f>
              <c:numCache>
                <c:formatCode>General</c:formatCode>
                <c:ptCount val="389"/>
                <c:pt idx="0">
                  <c:v>450</c:v>
                </c:pt>
                <c:pt idx="4">
                  <c:v>450</c:v>
                </c:pt>
                <c:pt idx="8">
                  <c:v>450</c:v>
                </c:pt>
                <c:pt idx="12">
                  <c:v>450</c:v>
                </c:pt>
                <c:pt idx="16">
                  <c:v>500</c:v>
                </c:pt>
                <c:pt idx="20">
                  <c:v>500</c:v>
                </c:pt>
                <c:pt idx="24">
                  <c:v>500</c:v>
                </c:pt>
                <c:pt idx="28">
                  <c:v>500</c:v>
                </c:pt>
                <c:pt idx="32">
                  <c:v>500</c:v>
                </c:pt>
                <c:pt idx="36">
                  <c:v>550</c:v>
                </c:pt>
                <c:pt idx="40">
                  <c:v>550</c:v>
                </c:pt>
                <c:pt idx="44">
                  <c:v>600</c:v>
                </c:pt>
                <c:pt idx="48">
                  <c:v>600</c:v>
                </c:pt>
                <c:pt idx="52">
                  <c:v>650</c:v>
                </c:pt>
                <c:pt idx="56">
                  <c:v>650</c:v>
                </c:pt>
                <c:pt idx="60">
                  <c:v>700</c:v>
                </c:pt>
                <c:pt idx="64">
                  <c:v>700</c:v>
                </c:pt>
                <c:pt idx="68">
                  <c:v>750</c:v>
                </c:pt>
                <c:pt idx="72">
                  <c:v>750</c:v>
                </c:pt>
                <c:pt idx="76">
                  <c:v>400</c:v>
                </c:pt>
                <c:pt idx="80">
                  <c:v>400</c:v>
                </c:pt>
                <c:pt idx="84">
                  <c:v>400</c:v>
                </c:pt>
                <c:pt idx="88">
                  <c:v>400</c:v>
                </c:pt>
                <c:pt idx="92">
                  <c:v>350</c:v>
                </c:pt>
                <c:pt idx="96">
                  <c:v>350</c:v>
                </c:pt>
                <c:pt idx="100">
                  <c:v>350</c:v>
                </c:pt>
                <c:pt idx="104">
                  <c:v>350</c:v>
                </c:pt>
                <c:pt idx="108">
                  <c:v>300</c:v>
                </c:pt>
                <c:pt idx="112">
                  <c:v>300</c:v>
                </c:pt>
                <c:pt idx="116">
                  <c:v>250</c:v>
                </c:pt>
                <c:pt idx="120">
                  <c:v>500</c:v>
                </c:pt>
                <c:pt idx="124">
                  <c:v>500</c:v>
                </c:pt>
                <c:pt idx="128">
                  <c:v>500</c:v>
                </c:pt>
                <c:pt idx="132">
                  <c:v>500</c:v>
                </c:pt>
                <c:pt idx="136">
                  <c:v>500</c:v>
                </c:pt>
                <c:pt idx="140">
                  <c:v>500</c:v>
                </c:pt>
                <c:pt idx="144">
                  <c:v>500</c:v>
                </c:pt>
                <c:pt idx="148">
                  <c:v>500</c:v>
                </c:pt>
                <c:pt idx="152">
                  <c:v>500</c:v>
                </c:pt>
                <c:pt idx="156">
                  <c:v>500</c:v>
                </c:pt>
                <c:pt idx="160">
                  <c:v>500</c:v>
                </c:pt>
                <c:pt idx="164">
                  <c:v>500</c:v>
                </c:pt>
                <c:pt idx="168">
                  <c:v>500</c:v>
                </c:pt>
                <c:pt idx="172">
                  <c:v>500</c:v>
                </c:pt>
                <c:pt idx="176">
                  <c:v>500</c:v>
                </c:pt>
                <c:pt idx="180">
                  <c:v>500</c:v>
                </c:pt>
                <c:pt idx="184">
                  <c:v>500</c:v>
                </c:pt>
                <c:pt idx="188">
                  <c:v>500</c:v>
                </c:pt>
                <c:pt idx="192">
                  <c:v>500</c:v>
                </c:pt>
                <c:pt idx="196">
                  <c:v>500</c:v>
                </c:pt>
                <c:pt idx="200">
                  <c:v>500</c:v>
                </c:pt>
                <c:pt idx="204">
                  <c:v>500</c:v>
                </c:pt>
                <c:pt idx="208">
                  <c:v>550</c:v>
                </c:pt>
                <c:pt idx="212">
                  <c:v>550</c:v>
                </c:pt>
                <c:pt idx="216">
                  <c:v>550</c:v>
                </c:pt>
                <c:pt idx="220">
                  <c:v>550</c:v>
                </c:pt>
                <c:pt idx="224">
                  <c:v>550</c:v>
                </c:pt>
                <c:pt idx="228">
                  <c:v>600</c:v>
                </c:pt>
                <c:pt idx="232">
                  <c:v>600</c:v>
                </c:pt>
                <c:pt idx="236">
                  <c:v>650</c:v>
                </c:pt>
                <c:pt idx="240">
                  <c:v>650</c:v>
                </c:pt>
                <c:pt idx="244">
                  <c:v>650</c:v>
                </c:pt>
                <c:pt idx="248">
                  <c:v>450</c:v>
                </c:pt>
                <c:pt idx="252">
                  <c:v>450</c:v>
                </c:pt>
                <c:pt idx="256">
                  <c:v>450</c:v>
                </c:pt>
                <c:pt idx="260">
                  <c:v>450</c:v>
                </c:pt>
                <c:pt idx="264">
                  <c:v>400</c:v>
                </c:pt>
                <c:pt idx="268">
                  <c:v>400</c:v>
                </c:pt>
                <c:pt idx="272">
                  <c:v>400</c:v>
                </c:pt>
                <c:pt idx="276">
                  <c:v>350</c:v>
                </c:pt>
                <c:pt idx="280">
                  <c:v>350</c:v>
                </c:pt>
                <c:pt idx="284">
                  <c:v>480</c:v>
                </c:pt>
                <c:pt idx="288">
                  <c:v>480</c:v>
                </c:pt>
                <c:pt idx="292">
                  <c:v>480</c:v>
                </c:pt>
                <c:pt idx="296">
                  <c:v>480</c:v>
                </c:pt>
                <c:pt idx="300">
                  <c:v>480</c:v>
                </c:pt>
                <c:pt idx="304">
                  <c:v>480</c:v>
                </c:pt>
                <c:pt idx="308">
                  <c:v>480</c:v>
                </c:pt>
                <c:pt idx="312">
                  <c:v>480</c:v>
                </c:pt>
                <c:pt idx="316">
                  <c:v>480</c:v>
                </c:pt>
                <c:pt idx="320">
                  <c:v>480</c:v>
                </c:pt>
                <c:pt idx="324">
                  <c:v>480</c:v>
                </c:pt>
                <c:pt idx="328">
                  <c:v>480</c:v>
                </c:pt>
                <c:pt idx="332">
                  <c:v>480</c:v>
                </c:pt>
                <c:pt idx="336">
                  <c:v>480</c:v>
                </c:pt>
                <c:pt idx="340">
                  <c:v>480</c:v>
                </c:pt>
                <c:pt idx="344">
                  <c:v>520</c:v>
                </c:pt>
                <c:pt idx="348">
                  <c:v>520</c:v>
                </c:pt>
                <c:pt idx="352">
                  <c:v>560</c:v>
                </c:pt>
                <c:pt idx="356">
                  <c:v>560</c:v>
                </c:pt>
                <c:pt idx="360">
                  <c:v>600</c:v>
                </c:pt>
                <c:pt idx="364">
                  <c:v>600</c:v>
                </c:pt>
                <c:pt idx="368">
                  <c:v>400</c:v>
                </c:pt>
                <c:pt idx="372">
                  <c:v>400</c:v>
                </c:pt>
                <c:pt idx="376">
                  <c:v>400</c:v>
                </c:pt>
                <c:pt idx="380">
                  <c:v>440</c:v>
                </c:pt>
                <c:pt idx="384">
                  <c:v>440</c:v>
                </c:pt>
                <c:pt idx="388">
                  <c:v>440</c:v>
                </c:pt>
              </c:numCache>
            </c:numRef>
          </c:yVal>
          <c:smooth val="0"/>
          <c:extLst>
            <c:ext xmlns:c16="http://schemas.microsoft.com/office/drawing/2014/chart" uri="{C3380CC4-5D6E-409C-BE32-E72D297353CC}">
              <c16:uniqueId val="{00000000-64DC-7048-8F7E-FC19366A9122}"/>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encVangle!$N$551:$N$639</c:f>
              <c:numCache>
                <c:formatCode>General</c:formatCode>
                <c:ptCount val="89"/>
                <c:pt idx="0" formatCode="0.00000">
                  <c:v>65.73492195351551</c:v>
                </c:pt>
                <c:pt idx="4" formatCode="0.00000">
                  <c:v>65.737883401916861</c:v>
                </c:pt>
                <c:pt idx="8" formatCode="0.00000">
                  <c:v>65.734203826342792</c:v>
                </c:pt>
                <c:pt idx="12" formatCode="0.00000">
                  <c:v>65.733493566326999</c:v>
                </c:pt>
                <c:pt idx="16" formatCode="0.00000">
                  <c:v>65.737458511615287</c:v>
                </c:pt>
                <c:pt idx="20" formatCode="0.00000">
                  <c:v>65.737147566901484</c:v>
                </c:pt>
                <c:pt idx="24" formatCode="0.00000">
                  <c:v>65.738623276285807</c:v>
                </c:pt>
                <c:pt idx="28" formatCode="0.00000">
                  <c:v>65.738083988407212</c:v>
                </c:pt>
                <c:pt idx="32" formatCode="0.00000">
                  <c:v>65.738355635011629</c:v>
                </c:pt>
                <c:pt idx="36" formatCode="0.00000">
                  <c:v>65.739590175460236</c:v>
                </c:pt>
                <c:pt idx="40" formatCode="0.00000">
                  <c:v>65.737499627968077</c:v>
                </c:pt>
                <c:pt idx="44" formatCode="0.00000">
                  <c:v>65.738234839421139</c:v>
                </c:pt>
                <c:pt idx="48" formatCode="0.00000">
                  <c:v>65.738548467027115</c:v>
                </c:pt>
                <c:pt idx="52" formatCode="0.00000">
                  <c:v>66.110327267339116</c:v>
                </c:pt>
                <c:pt idx="56" formatCode="0.00000">
                  <c:v>66.113608994425874</c:v>
                </c:pt>
                <c:pt idx="60" formatCode="0.00000">
                  <c:v>66.114517431446998</c:v>
                </c:pt>
                <c:pt idx="64" formatCode="0.00000">
                  <c:v>65.544256226057072</c:v>
                </c:pt>
                <c:pt idx="68" formatCode="0.00000">
                  <c:v>65.546709107505805</c:v>
                </c:pt>
                <c:pt idx="72" formatCode="0.00000">
                  <c:v>65.547775404150627</c:v>
                </c:pt>
                <c:pt idx="76" formatCode="0.00000">
                  <c:v>65.353095625536398</c:v>
                </c:pt>
                <c:pt idx="80" formatCode="0.00000">
                  <c:v>65.162686505369166</c:v>
                </c:pt>
                <c:pt idx="84" formatCode="0.00000">
                  <c:v>65.165695617006648</c:v>
                </c:pt>
                <c:pt idx="88" formatCode="0.00000">
                  <c:v>65.165520054341741</c:v>
                </c:pt>
              </c:numCache>
            </c:numRef>
          </c:xVal>
          <c:yVal>
            <c:numRef>
              <c:f>encVangle!$O$551:$O$639</c:f>
              <c:numCache>
                <c:formatCode>General</c:formatCode>
                <c:ptCount val="89"/>
                <c:pt idx="0">
                  <c:v>490</c:v>
                </c:pt>
                <c:pt idx="4">
                  <c:v>490</c:v>
                </c:pt>
                <c:pt idx="8">
                  <c:v>490</c:v>
                </c:pt>
                <c:pt idx="12">
                  <c:v>490</c:v>
                </c:pt>
                <c:pt idx="16">
                  <c:v>490</c:v>
                </c:pt>
                <c:pt idx="20">
                  <c:v>490</c:v>
                </c:pt>
                <c:pt idx="24">
                  <c:v>490</c:v>
                </c:pt>
                <c:pt idx="28">
                  <c:v>490</c:v>
                </c:pt>
                <c:pt idx="32">
                  <c:v>490</c:v>
                </c:pt>
                <c:pt idx="36">
                  <c:v>490</c:v>
                </c:pt>
                <c:pt idx="40">
                  <c:v>490</c:v>
                </c:pt>
                <c:pt idx="44">
                  <c:v>490</c:v>
                </c:pt>
                <c:pt idx="48">
                  <c:v>490</c:v>
                </c:pt>
                <c:pt idx="52">
                  <c:v>450</c:v>
                </c:pt>
                <c:pt idx="56">
                  <c:v>450</c:v>
                </c:pt>
                <c:pt idx="60">
                  <c:v>450</c:v>
                </c:pt>
                <c:pt idx="64">
                  <c:v>510</c:v>
                </c:pt>
                <c:pt idx="68">
                  <c:v>510</c:v>
                </c:pt>
                <c:pt idx="72">
                  <c:v>510</c:v>
                </c:pt>
                <c:pt idx="76">
                  <c:v>530</c:v>
                </c:pt>
                <c:pt idx="80">
                  <c:v>550</c:v>
                </c:pt>
                <c:pt idx="84">
                  <c:v>550</c:v>
                </c:pt>
                <c:pt idx="88">
                  <c:v>550</c:v>
                </c:pt>
              </c:numCache>
            </c:numRef>
          </c:yVal>
          <c:smooth val="0"/>
          <c:extLst>
            <c:ext xmlns:c16="http://schemas.microsoft.com/office/drawing/2014/chart" uri="{C3380CC4-5D6E-409C-BE32-E72D297353CC}">
              <c16:uniqueId val="{00000007-64DC-7048-8F7E-FC19366A9122}"/>
            </c:ext>
          </c:extLst>
        </c:ser>
        <c:ser>
          <c:idx val="2"/>
          <c:order val="2"/>
          <c:spPr>
            <a:ln w="25400" cap="rnd">
              <a:noFill/>
              <a:round/>
            </a:ln>
            <a:effectLst/>
          </c:spPr>
          <c:marker>
            <c:symbol val="circle"/>
            <c:size val="5"/>
            <c:spPr>
              <a:solidFill>
                <a:schemeClr val="accent3"/>
              </a:solidFill>
              <a:ln w="9525">
                <a:solidFill>
                  <a:schemeClr val="accent3"/>
                </a:solidFill>
              </a:ln>
              <a:effectLst/>
            </c:spPr>
          </c:marker>
          <c:xVal>
            <c:numRef>
              <c:f>encVangle!$N$643:$N$715</c:f>
              <c:numCache>
                <c:formatCode>General</c:formatCode>
                <c:ptCount val="73"/>
                <c:pt idx="0" formatCode="0.00000">
                  <c:v>65.629652171037577</c:v>
                </c:pt>
                <c:pt idx="4" formatCode="0.00000">
                  <c:v>67.057700942646989</c:v>
                </c:pt>
                <c:pt idx="8" formatCode="0.00000">
                  <c:v>66.104897421137011</c:v>
                </c:pt>
                <c:pt idx="12" formatCode="0.00000">
                  <c:v>67.05693732455822</c:v>
                </c:pt>
                <c:pt idx="16" formatCode="0.00000">
                  <c:v>66.104403029173923</c:v>
                </c:pt>
                <c:pt idx="20" formatCode="0.00000">
                  <c:v>66.103662685215681</c:v>
                </c:pt>
                <c:pt idx="24" formatCode="0.00000">
                  <c:v>65.15181976082917</c:v>
                </c:pt>
                <c:pt idx="28" formatCode="0.00000">
                  <c:v>66.579479130453876</c:v>
                </c:pt>
                <c:pt idx="32" formatCode="0.00000">
                  <c:v>67.055495423365926</c:v>
                </c:pt>
                <c:pt idx="36" formatCode="0.00000">
                  <c:v>68.005855968021081</c:v>
                </c:pt>
                <c:pt idx="40" formatCode="0.00000">
                  <c:v>64.674527023925549</c:v>
                </c:pt>
                <c:pt idx="44" formatCode="0.00000">
                  <c:v>64.195731934088215</c:v>
                </c:pt>
                <c:pt idx="48" formatCode="0.00000">
                  <c:v>64.197564599273321</c:v>
                </c:pt>
                <c:pt idx="52" formatCode="0.00000">
                  <c:v>63.722037839572657</c:v>
                </c:pt>
                <c:pt idx="56" formatCode="0.00000">
                  <c:v>63.724198745918763</c:v>
                </c:pt>
                <c:pt idx="60" formatCode="0.00000">
                  <c:v>63.723984442350265</c:v>
                </c:pt>
                <c:pt idx="64" formatCode="0.00000">
                  <c:v>63.243630379869707</c:v>
                </c:pt>
                <c:pt idx="68" formatCode="0.00000">
                  <c:v>63.246258878415041</c:v>
                </c:pt>
                <c:pt idx="72" formatCode="0.00000">
                  <c:v>63.246275504331038</c:v>
                </c:pt>
              </c:numCache>
            </c:numRef>
          </c:xVal>
          <c:yVal>
            <c:numRef>
              <c:f>encVangle!$O$643:$O$715</c:f>
              <c:numCache>
                <c:formatCode>General</c:formatCode>
                <c:ptCount val="73"/>
                <c:pt idx="0">
                  <c:v>500</c:v>
                </c:pt>
                <c:pt idx="4">
                  <c:v>350</c:v>
                </c:pt>
                <c:pt idx="8">
                  <c:v>450</c:v>
                </c:pt>
                <c:pt idx="12">
                  <c:v>350</c:v>
                </c:pt>
                <c:pt idx="16">
                  <c:v>450</c:v>
                </c:pt>
                <c:pt idx="20">
                  <c:v>450</c:v>
                </c:pt>
                <c:pt idx="24">
                  <c:v>550</c:v>
                </c:pt>
                <c:pt idx="28">
                  <c:v>400</c:v>
                </c:pt>
                <c:pt idx="32">
                  <c:v>350</c:v>
                </c:pt>
                <c:pt idx="36">
                  <c:v>250</c:v>
                </c:pt>
                <c:pt idx="40">
                  <c:v>600</c:v>
                </c:pt>
                <c:pt idx="44">
                  <c:v>650</c:v>
                </c:pt>
                <c:pt idx="48">
                  <c:v>650</c:v>
                </c:pt>
                <c:pt idx="52">
                  <c:v>700</c:v>
                </c:pt>
                <c:pt idx="56">
                  <c:v>700</c:v>
                </c:pt>
                <c:pt idx="60">
                  <c:v>700</c:v>
                </c:pt>
                <c:pt idx="64">
                  <c:v>750</c:v>
                </c:pt>
                <c:pt idx="68">
                  <c:v>750</c:v>
                </c:pt>
                <c:pt idx="72">
                  <c:v>750</c:v>
                </c:pt>
              </c:numCache>
            </c:numRef>
          </c:yVal>
          <c:smooth val="0"/>
          <c:extLst>
            <c:ext xmlns:c16="http://schemas.microsoft.com/office/drawing/2014/chart" uri="{C3380CC4-5D6E-409C-BE32-E72D297353CC}">
              <c16:uniqueId val="{0000000B-64DC-7048-8F7E-FC19366A9122}"/>
            </c:ext>
          </c:extLst>
        </c:ser>
        <c:ser>
          <c:idx val="3"/>
          <c:order val="3"/>
          <c:spPr>
            <a:ln w="25400" cap="rnd">
              <a:noFill/>
              <a:round/>
            </a:ln>
            <a:effectLst/>
          </c:spPr>
          <c:marker>
            <c:symbol val="circle"/>
            <c:size val="5"/>
            <c:spPr>
              <a:solidFill>
                <a:schemeClr val="accent4"/>
              </a:solidFill>
              <a:ln w="9525">
                <a:solidFill>
                  <a:schemeClr val="accent4"/>
                </a:solidFill>
              </a:ln>
              <a:effectLst/>
            </c:spPr>
          </c:marker>
          <c:xVal>
            <c:numRef>
              <c:f>encVangle!$N$719:$N$727</c:f>
              <c:numCache>
                <c:formatCode>General</c:formatCode>
                <c:ptCount val="9"/>
                <c:pt idx="0" formatCode="0.00000">
                  <c:v>65.72964144394598</c:v>
                </c:pt>
                <c:pt idx="4" formatCode="0.00000">
                  <c:v>65.728920760087391</c:v>
                </c:pt>
                <c:pt idx="8" formatCode="0.00000">
                  <c:v>65.730421203280358</c:v>
                </c:pt>
              </c:numCache>
            </c:numRef>
          </c:xVal>
          <c:yVal>
            <c:numRef>
              <c:f>encVangle!$O$719:$O$727</c:f>
              <c:numCache>
                <c:formatCode>General</c:formatCode>
                <c:ptCount val="9"/>
                <c:pt idx="0">
                  <c:v>489.1</c:v>
                </c:pt>
                <c:pt idx="4">
                  <c:v>489.1</c:v>
                </c:pt>
                <c:pt idx="8">
                  <c:v>489.1</c:v>
                </c:pt>
              </c:numCache>
            </c:numRef>
          </c:yVal>
          <c:smooth val="0"/>
          <c:extLst>
            <c:ext xmlns:c16="http://schemas.microsoft.com/office/drawing/2014/chart" uri="{C3380CC4-5D6E-409C-BE32-E72D297353CC}">
              <c16:uniqueId val="{0000000C-64DC-7048-8F7E-FC19366A9122}"/>
            </c:ext>
          </c:extLst>
        </c:ser>
        <c:dLbls>
          <c:showLegendKey val="0"/>
          <c:showVal val="0"/>
          <c:showCatName val="0"/>
          <c:showSerName val="0"/>
          <c:showPercent val="0"/>
          <c:showBubbleSize val="0"/>
        </c:dLbls>
        <c:axId val="1028013744"/>
        <c:axId val="558338576"/>
      </c:scatterChart>
      <c:valAx>
        <c:axId val="1028013744"/>
        <c:scaling>
          <c:orientation val="minMax"/>
        </c:scaling>
        <c:delete val="0"/>
        <c:axPos val="b"/>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38576"/>
        <c:crosses val="autoZero"/>
        <c:crossBetween val="midCat"/>
      </c:valAx>
      <c:valAx>
        <c:axId val="558338576"/>
        <c:scaling>
          <c:orientation val="minMax"/>
          <c:min val="2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13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848613488531325"/>
          <c:y val="0.171915504206515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spPr>
            <a:ln w="28575" cap="rnd">
              <a:noFill/>
              <a:round/>
            </a:ln>
            <a:effectLst/>
          </c:spPr>
          <c:marker>
            <c:symbol val="circle"/>
            <c:size val="5"/>
            <c:spPr>
              <a:solidFill>
                <a:schemeClr val="accent3"/>
              </a:solidFill>
              <a:ln w="9525">
                <a:solidFill>
                  <a:schemeClr val="accent3"/>
                </a:solidFill>
              </a:ln>
              <a:effectLst/>
            </c:spPr>
          </c:marker>
          <c:xVal>
            <c:numRef>
              <c:f>encVangle!$K$159:$K$275</c:f>
              <c:numCache>
                <c:formatCode>0.000000</c:formatCode>
                <c:ptCount val="117"/>
                <c:pt idx="0" formatCode="General">
                  <c:v>1744.6731</c:v>
                </c:pt>
                <c:pt idx="4" formatCode="General">
                  <c:v>3800.8886000000002</c:v>
                </c:pt>
                <c:pt idx="8" formatCode="General">
                  <c:v>5241.4341599999998</c:v>
                </c:pt>
                <c:pt idx="12" formatCode="General">
                  <c:v>3971.7354999999998</c:v>
                </c:pt>
                <c:pt idx="16" formatCode="General">
                  <c:v>965.43700999999999</c:v>
                </c:pt>
                <c:pt idx="20" formatCode="General">
                  <c:v>3033.7605400000002</c:v>
                </c:pt>
                <c:pt idx="24" formatCode="General">
                  <c:v>5125.1551300000001</c:v>
                </c:pt>
                <c:pt idx="28" formatCode="General">
                  <c:v>5299.5261</c:v>
                </c:pt>
                <c:pt idx="32" formatCode="General">
                  <c:v>6334.5178999999998</c:v>
                </c:pt>
                <c:pt idx="36" formatCode="General">
                  <c:v>2261.612795</c:v>
                </c:pt>
                <c:pt idx="40" formatCode="General">
                  <c:v>5689.6509999999998</c:v>
                </c:pt>
                <c:pt idx="44" formatCode="General">
                  <c:v>3563.5118000000002</c:v>
                </c:pt>
                <c:pt idx="48" formatCode="General">
                  <c:v>5690.3558000000003</c:v>
                </c:pt>
                <c:pt idx="52" formatCode="General">
                  <c:v>4901.5131799999999</c:v>
                </c:pt>
                <c:pt idx="56" formatCode="General">
                  <c:v>6012.3487999999998</c:v>
                </c:pt>
                <c:pt idx="60" formatCode="General">
                  <c:v>6244.6908999999996</c:v>
                </c:pt>
                <c:pt idx="64" formatCode="General">
                  <c:v>5136.1835000000001</c:v>
                </c:pt>
                <c:pt idx="68" formatCode="General">
                  <c:v>5290.0941599999996</c:v>
                </c:pt>
                <c:pt idx="72" formatCode="General">
                  <c:v>5697.6722</c:v>
                </c:pt>
                <c:pt idx="76" formatCode="General">
                  <c:v>462.80471999999997</c:v>
                </c:pt>
                <c:pt idx="80" formatCode="General">
                  <c:v>2492.2075100000002</c:v>
                </c:pt>
                <c:pt idx="84" formatCode="General">
                  <c:v>2659.0574799999999</c:v>
                </c:pt>
                <c:pt idx="88" formatCode="General">
                  <c:v>5970.5666000000001</c:v>
                </c:pt>
                <c:pt idx="92" formatCode="General">
                  <c:v>4636.68577</c:v>
                </c:pt>
                <c:pt idx="96" formatCode="General">
                  <c:v>2366.56657</c:v>
                </c:pt>
                <c:pt idx="100" formatCode="General">
                  <c:v>1208.3188</c:v>
                </c:pt>
                <c:pt idx="104" formatCode="General">
                  <c:v>1369.1648</c:v>
                </c:pt>
                <c:pt idx="108" formatCode="General">
                  <c:v>3317.7156999999997</c:v>
                </c:pt>
                <c:pt idx="112" formatCode="General">
                  <c:v>1083.5843</c:v>
                </c:pt>
                <c:pt idx="116" formatCode="General">
                  <c:v>62.957102999999996</c:v>
                </c:pt>
              </c:numCache>
            </c:numRef>
          </c:xVal>
          <c:yVal>
            <c:numRef>
              <c:f>encVangle!$N$159:$N$275</c:f>
              <c:numCache>
                <c:formatCode>General</c:formatCode>
                <c:ptCount val="117"/>
                <c:pt idx="0" formatCode="0.00000">
                  <c:v>66.079873656549282</c:v>
                </c:pt>
                <c:pt idx="4" formatCode="0.00000">
                  <c:v>66.083170914324214</c:v>
                </c:pt>
                <c:pt idx="8" formatCode="0.00000">
                  <c:v>66.082507215173038</c:v>
                </c:pt>
                <c:pt idx="12" formatCode="0.00000">
                  <c:v>66.082124324066072</c:v>
                </c:pt>
                <c:pt idx="16" formatCode="0.00000">
                  <c:v>65.608975524629372</c:v>
                </c:pt>
                <c:pt idx="20" formatCode="0.00000">
                  <c:v>65.607977744248714</c:v>
                </c:pt>
                <c:pt idx="24" formatCode="0.00000">
                  <c:v>65.609047894615159</c:v>
                </c:pt>
                <c:pt idx="28" formatCode="0.00000">
                  <c:v>65.607168303832921</c:v>
                </c:pt>
                <c:pt idx="32" formatCode="0.00000">
                  <c:v>65.609072833698875</c:v>
                </c:pt>
                <c:pt idx="36" formatCode="0.00000">
                  <c:v>65.131034120290934</c:v>
                </c:pt>
                <c:pt idx="40" formatCode="0.00000">
                  <c:v>65.130444179873265</c:v>
                </c:pt>
                <c:pt idx="44" formatCode="0.00000">
                  <c:v>64.65590213778701</c:v>
                </c:pt>
                <c:pt idx="48" formatCode="0.00000">
                  <c:v>64.655897231585627</c:v>
                </c:pt>
                <c:pt idx="52" formatCode="0.00000">
                  <c:v>64.176744559146513</c:v>
                </c:pt>
                <c:pt idx="56" formatCode="0.00000">
                  <c:v>64.175390408439625</c:v>
                </c:pt>
                <c:pt idx="60" formatCode="0.00000">
                  <c:v>63.701623566556414</c:v>
                </c:pt>
                <c:pt idx="64" formatCode="0.00000">
                  <c:v>63.701757909227489</c:v>
                </c:pt>
                <c:pt idx="68" formatCode="0.00000">
                  <c:v>63.222772930812958</c:v>
                </c:pt>
                <c:pt idx="72" formatCode="0.00000">
                  <c:v>63.221805594501603</c:v>
                </c:pt>
                <c:pt idx="76" formatCode="0.00000">
                  <c:v>66.557731532953667</c:v>
                </c:pt>
                <c:pt idx="80" formatCode="0.00000">
                  <c:v>66.561180123887212</c:v>
                </c:pt>
                <c:pt idx="84" formatCode="0.00000">
                  <c:v>66.561296426769843</c:v>
                </c:pt>
                <c:pt idx="88" formatCode="0.00000">
                  <c:v>66.560539246206773</c:v>
                </c:pt>
                <c:pt idx="92" formatCode="0.00000">
                  <c:v>67.035438307021664</c:v>
                </c:pt>
                <c:pt idx="96" formatCode="0.00000">
                  <c:v>67.035881469271033</c:v>
                </c:pt>
                <c:pt idx="100" formatCode="0.00000">
                  <c:v>67.035478000693715</c:v>
                </c:pt>
                <c:pt idx="104" formatCode="0.00000">
                  <c:v>67.037591965217459</c:v>
                </c:pt>
                <c:pt idx="108" formatCode="0.00000">
                  <c:v>67.511593519609789</c:v>
                </c:pt>
                <c:pt idx="112" formatCode="0.00000">
                  <c:v>67.511068480453744</c:v>
                </c:pt>
                <c:pt idx="116" formatCode="0.00000">
                  <c:v>67.982639745021558</c:v>
                </c:pt>
              </c:numCache>
            </c:numRef>
          </c:yVal>
          <c:smooth val="0"/>
          <c:extLst>
            <c:ext xmlns:c16="http://schemas.microsoft.com/office/drawing/2014/chart" uri="{C3380CC4-5D6E-409C-BE32-E72D297353CC}">
              <c16:uniqueId val="{00000000-7454-C44B-A5D7-3F55CC8915FE}"/>
            </c:ext>
          </c:extLst>
        </c:ser>
        <c:ser>
          <c:idx val="0"/>
          <c:order val="1"/>
          <c:spPr>
            <a:ln w="25400" cap="rnd">
              <a:noFill/>
              <a:round/>
            </a:ln>
            <a:effectLst/>
          </c:spPr>
          <c:marker>
            <c:symbol val="circle"/>
            <c:size val="5"/>
            <c:spPr>
              <a:solidFill>
                <a:schemeClr val="accent1"/>
              </a:solidFill>
              <a:ln w="9525">
                <a:solidFill>
                  <a:schemeClr val="accent1"/>
                </a:solidFill>
              </a:ln>
              <a:effectLst/>
            </c:spPr>
          </c:marker>
          <c:xVal>
            <c:numRef>
              <c:f>encVangle!$K$159:$K$439</c:f>
              <c:numCache>
                <c:formatCode>0.000000</c:formatCode>
                <c:ptCount val="281"/>
                <c:pt idx="0" formatCode="General">
                  <c:v>1744.6731</c:v>
                </c:pt>
                <c:pt idx="4" formatCode="General">
                  <c:v>3800.8886000000002</c:v>
                </c:pt>
                <c:pt idx="8" formatCode="General">
                  <c:v>5241.4341599999998</c:v>
                </c:pt>
                <c:pt idx="12" formatCode="General">
                  <c:v>3971.7354999999998</c:v>
                </c:pt>
                <c:pt idx="16" formatCode="General">
                  <c:v>965.43700999999999</c:v>
                </c:pt>
                <c:pt idx="20" formatCode="General">
                  <c:v>3033.7605400000002</c:v>
                </c:pt>
                <c:pt idx="24" formatCode="General">
                  <c:v>5125.1551300000001</c:v>
                </c:pt>
                <c:pt idx="28" formatCode="General">
                  <c:v>5299.5261</c:v>
                </c:pt>
                <c:pt idx="32" formatCode="General">
                  <c:v>6334.5178999999998</c:v>
                </c:pt>
                <c:pt idx="36" formatCode="General">
                  <c:v>2261.612795</c:v>
                </c:pt>
                <c:pt idx="40" formatCode="General">
                  <c:v>5689.6509999999998</c:v>
                </c:pt>
                <c:pt idx="44" formatCode="General">
                  <c:v>3563.5118000000002</c:v>
                </c:pt>
                <c:pt idx="48" formatCode="General">
                  <c:v>5690.3558000000003</c:v>
                </c:pt>
                <c:pt idx="52" formatCode="General">
                  <c:v>4901.5131799999999</c:v>
                </c:pt>
                <c:pt idx="56" formatCode="General">
                  <c:v>6012.3487999999998</c:v>
                </c:pt>
                <c:pt idx="60" formatCode="General">
                  <c:v>6244.6908999999996</c:v>
                </c:pt>
                <c:pt idx="64" formatCode="General">
                  <c:v>5136.1835000000001</c:v>
                </c:pt>
                <c:pt idx="68" formatCode="General">
                  <c:v>5290.0941599999996</c:v>
                </c:pt>
                <c:pt idx="72" formatCode="General">
                  <c:v>5697.6722</c:v>
                </c:pt>
                <c:pt idx="76" formatCode="General">
                  <c:v>462.80471999999997</c:v>
                </c:pt>
                <c:pt idx="80" formatCode="General">
                  <c:v>2492.2075100000002</c:v>
                </c:pt>
                <c:pt idx="84" formatCode="General">
                  <c:v>2659.0574799999999</c:v>
                </c:pt>
                <c:pt idx="88" formatCode="General">
                  <c:v>5970.5666000000001</c:v>
                </c:pt>
                <c:pt idx="92" formatCode="General">
                  <c:v>4636.68577</c:v>
                </c:pt>
                <c:pt idx="96" formatCode="General">
                  <c:v>2366.56657</c:v>
                </c:pt>
                <c:pt idx="100" formatCode="General">
                  <c:v>1208.3188</c:v>
                </c:pt>
                <c:pt idx="104" formatCode="General">
                  <c:v>1369.1648</c:v>
                </c:pt>
                <c:pt idx="108" formatCode="General">
                  <c:v>3317.7156999999997</c:v>
                </c:pt>
                <c:pt idx="112" formatCode="General">
                  <c:v>1083.5843</c:v>
                </c:pt>
                <c:pt idx="116" formatCode="General">
                  <c:v>62.957102999999996</c:v>
                </c:pt>
                <c:pt idx="120" formatCode="General">
                  <c:v>1211.4595999999999</c:v>
                </c:pt>
                <c:pt idx="124" formatCode="General">
                  <c:v>1262.3152</c:v>
                </c:pt>
                <c:pt idx="128" formatCode="General">
                  <c:v>1874.1641</c:v>
                </c:pt>
                <c:pt idx="132" formatCode="General">
                  <c:v>692.53227000000004</c:v>
                </c:pt>
                <c:pt idx="136" formatCode="General">
                  <c:v>1330.4154000000001</c:v>
                </c:pt>
                <c:pt idx="140" formatCode="General">
                  <c:v>1670.3742999999999</c:v>
                </c:pt>
                <c:pt idx="144" formatCode="General">
                  <c:v>745.43257000000006</c:v>
                </c:pt>
                <c:pt idx="148" formatCode="General">
                  <c:v>1583.692</c:v>
                </c:pt>
                <c:pt idx="152" formatCode="General">
                  <c:v>1834.7373</c:v>
                </c:pt>
                <c:pt idx="156" formatCode="General">
                  <c:v>364.68027999999998</c:v>
                </c:pt>
                <c:pt idx="160" formatCode="General">
                  <c:v>3187.25218</c:v>
                </c:pt>
                <c:pt idx="164" formatCode="General">
                  <c:v>3868.3874000000001</c:v>
                </c:pt>
                <c:pt idx="168" formatCode="General">
                  <c:v>4097.8431</c:v>
                </c:pt>
                <c:pt idx="172" formatCode="General">
                  <c:v>2236.2439169999998</c:v>
                </c:pt>
                <c:pt idx="176" formatCode="General">
                  <c:v>4820.7569800000001</c:v>
                </c:pt>
                <c:pt idx="180" formatCode="General">
                  <c:v>5531.2399000000005</c:v>
                </c:pt>
                <c:pt idx="184" formatCode="General">
                  <c:v>5177.9520899999998</c:v>
                </c:pt>
                <c:pt idx="188" formatCode="General">
                  <c:v>5125.5795600000001</c:v>
                </c:pt>
                <c:pt idx="192" formatCode="General">
                  <c:v>6042.3427000000001</c:v>
                </c:pt>
                <c:pt idx="196" formatCode="General">
                  <c:v>5844.1570000000002</c:v>
                </c:pt>
                <c:pt idx="200" formatCode="General">
                  <c:v>6043.8027000000002</c:v>
                </c:pt>
                <c:pt idx="204" formatCode="General">
                  <c:v>4611.4980400000004</c:v>
                </c:pt>
                <c:pt idx="208" formatCode="General">
                  <c:v>1593.2059999999999</c:v>
                </c:pt>
                <c:pt idx="212" formatCode="General">
                  <c:v>3178.5443100000002</c:v>
                </c:pt>
                <c:pt idx="216" formatCode="General">
                  <c:v>3420.5951999999997</c:v>
                </c:pt>
                <c:pt idx="220" formatCode="General">
                  <c:v>5206.2114799999999</c:v>
                </c:pt>
                <c:pt idx="224" formatCode="General">
                  <c:v>6006.6702000000005</c:v>
                </c:pt>
                <c:pt idx="228" formatCode="General">
                  <c:v>2942.1264499999997</c:v>
                </c:pt>
                <c:pt idx="232" formatCode="General">
                  <c:v>4742.6214799999998</c:v>
                </c:pt>
                <c:pt idx="236" formatCode="General">
                  <c:v>4205.6048000000001</c:v>
                </c:pt>
                <c:pt idx="240" formatCode="General">
                  <c:v>5204.2974299999996</c:v>
                </c:pt>
                <c:pt idx="244" formatCode="General">
                  <c:v>5809.8149000000003</c:v>
                </c:pt>
                <c:pt idx="248" formatCode="General">
                  <c:v>599.46078</c:v>
                </c:pt>
                <c:pt idx="252" formatCode="General">
                  <c:v>830.08321999999998</c:v>
                </c:pt>
                <c:pt idx="256" formatCode="General">
                  <c:v>3333.8883000000001</c:v>
                </c:pt>
                <c:pt idx="260" formatCode="General">
                  <c:v>4513.1040199999998</c:v>
                </c:pt>
                <c:pt idx="264" formatCode="General">
                  <c:v>1278.8091999999999</c:v>
                </c:pt>
                <c:pt idx="268" formatCode="General">
                  <c:v>3191.2686899999999</c:v>
                </c:pt>
                <c:pt idx="272" formatCode="General">
                  <c:v>2890.6656000000003</c:v>
                </c:pt>
                <c:pt idx="276" formatCode="General">
                  <c:v>1903.8811000000001</c:v>
                </c:pt>
                <c:pt idx="280" formatCode="General">
                  <c:v>2697.26665</c:v>
                </c:pt>
              </c:numCache>
            </c:numRef>
          </c:xVal>
          <c:yVal>
            <c:numRef>
              <c:f>encVangle!$N$159:$N$439</c:f>
              <c:numCache>
                <c:formatCode>General</c:formatCode>
                <c:ptCount val="281"/>
                <c:pt idx="0" formatCode="0.00000">
                  <c:v>66.079873656549282</c:v>
                </c:pt>
                <c:pt idx="4" formatCode="0.00000">
                  <c:v>66.083170914324214</c:v>
                </c:pt>
                <c:pt idx="8" formatCode="0.00000">
                  <c:v>66.082507215173038</c:v>
                </c:pt>
                <c:pt idx="12" formatCode="0.00000">
                  <c:v>66.082124324066072</c:v>
                </c:pt>
                <c:pt idx="16" formatCode="0.00000">
                  <c:v>65.608975524629372</c:v>
                </c:pt>
                <c:pt idx="20" formatCode="0.00000">
                  <c:v>65.607977744248714</c:v>
                </c:pt>
                <c:pt idx="24" formatCode="0.00000">
                  <c:v>65.609047894615159</c:v>
                </c:pt>
                <c:pt idx="28" formatCode="0.00000">
                  <c:v>65.607168303832921</c:v>
                </c:pt>
                <c:pt idx="32" formatCode="0.00000">
                  <c:v>65.609072833698875</c:v>
                </c:pt>
                <c:pt idx="36" formatCode="0.00000">
                  <c:v>65.131034120290934</c:v>
                </c:pt>
                <c:pt idx="40" formatCode="0.00000">
                  <c:v>65.130444179873265</c:v>
                </c:pt>
                <c:pt idx="44" formatCode="0.00000">
                  <c:v>64.65590213778701</c:v>
                </c:pt>
                <c:pt idx="48" formatCode="0.00000">
                  <c:v>64.655897231585627</c:v>
                </c:pt>
                <c:pt idx="52" formatCode="0.00000">
                  <c:v>64.176744559146513</c:v>
                </c:pt>
                <c:pt idx="56" formatCode="0.00000">
                  <c:v>64.175390408439625</c:v>
                </c:pt>
                <c:pt idx="60" formatCode="0.00000">
                  <c:v>63.701623566556414</c:v>
                </c:pt>
                <c:pt idx="64" formatCode="0.00000">
                  <c:v>63.701757909227489</c:v>
                </c:pt>
                <c:pt idx="68" formatCode="0.00000">
                  <c:v>63.222772930812958</c:v>
                </c:pt>
                <c:pt idx="72" formatCode="0.00000">
                  <c:v>63.221805594501603</c:v>
                </c:pt>
                <c:pt idx="76" formatCode="0.00000">
                  <c:v>66.557731532953667</c:v>
                </c:pt>
                <c:pt idx="80" formatCode="0.00000">
                  <c:v>66.561180123887212</c:v>
                </c:pt>
                <c:pt idx="84" formatCode="0.00000">
                  <c:v>66.561296426769843</c:v>
                </c:pt>
                <c:pt idx="88" formatCode="0.00000">
                  <c:v>66.560539246206773</c:v>
                </c:pt>
                <c:pt idx="92" formatCode="0.00000">
                  <c:v>67.035438307021664</c:v>
                </c:pt>
                <c:pt idx="96" formatCode="0.00000">
                  <c:v>67.035881469271033</c:v>
                </c:pt>
                <c:pt idx="100" formatCode="0.00000">
                  <c:v>67.035478000693715</c:v>
                </c:pt>
                <c:pt idx="104" formatCode="0.00000">
                  <c:v>67.037591965217459</c:v>
                </c:pt>
                <c:pt idx="108" formatCode="0.00000">
                  <c:v>67.511593519609789</c:v>
                </c:pt>
                <c:pt idx="112" formatCode="0.00000">
                  <c:v>67.511068480453744</c:v>
                </c:pt>
                <c:pt idx="116" formatCode="0.00000">
                  <c:v>67.982639745021558</c:v>
                </c:pt>
                <c:pt idx="120" formatCode="0.00000">
                  <c:v>65.616800226347692</c:v>
                </c:pt>
                <c:pt idx="124" formatCode="0.00000">
                  <c:v>65.618095197233757</c:v>
                </c:pt>
                <c:pt idx="128" formatCode="0.00000">
                  <c:v>65.618101352241624</c:v>
                </c:pt>
                <c:pt idx="132" formatCode="0.00000">
                  <c:v>65.616487133092406</c:v>
                </c:pt>
                <c:pt idx="136" formatCode="0.00000">
                  <c:v>65.618444008240388</c:v>
                </c:pt>
                <c:pt idx="140" formatCode="0.00000">
                  <c:v>65.619182457780539</c:v>
                </c:pt>
                <c:pt idx="144" formatCode="0.00000">
                  <c:v>65.61922651832117</c:v>
                </c:pt>
                <c:pt idx="148" formatCode="0.00000">
                  <c:v>65.61957402286545</c:v>
                </c:pt>
                <c:pt idx="152" formatCode="0.00000">
                  <c:v>65.619341443502293</c:v>
                </c:pt>
                <c:pt idx="156" formatCode="0.00000">
                  <c:v>65.617526556961352</c:v>
                </c:pt>
                <c:pt idx="160" formatCode="0.00000">
                  <c:v>65.619606282719445</c:v>
                </c:pt>
                <c:pt idx="164" formatCode="0.00000">
                  <c:v>65.620372203014597</c:v>
                </c:pt>
                <c:pt idx="168" formatCode="0.00000">
                  <c:v>65.62010419408746</c:v>
                </c:pt>
                <c:pt idx="172" formatCode="0.00000">
                  <c:v>65.62000931009365</c:v>
                </c:pt>
                <c:pt idx="176" formatCode="0.00000">
                  <c:v>65.620419656406398</c:v>
                </c:pt>
                <c:pt idx="180" formatCode="0.00000">
                  <c:v>65.620944189892327</c:v>
                </c:pt>
                <c:pt idx="184" formatCode="0.00000">
                  <c:v>65.62063795989107</c:v>
                </c:pt>
                <c:pt idx="188" formatCode="0.00000">
                  <c:v>65.62030771864876</c:v>
                </c:pt>
                <c:pt idx="192" formatCode="0.00000">
                  <c:v>65.619908497889</c:v>
                </c:pt>
                <c:pt idx="196" formatCode="0.00000">
                  <c:v>65.619431161842286</c:v>
                </c:pt>
                <c:pt idx="200" formatCode="0.00000">
                  <c:v>65.617516385478879</c:v>
                </c:pt>
                <c:pt idx="204" formatCode="0.00000">
                  <c:v>65.619015762114159</c:v>
                </c:pt>
                <c:pt idx="208" formatCode="0.00000">
                  <c:v>65.139245917744063</c:v>
                </c:pt>
                <c:pt idx="212" formatCode="0.00000">
                  <c:v>65.141807398074107</c:v>
                </c:pt>
                <c:pt idx="216" formatCode="0.00000">
                  <c:v>65.141172028847578</c:v>
                </c:pt>
                <c:pt idx="220" formatCode="0.00000">
                  <c:v>65.142450297101021</c:v>
                </c:pt>
                <c:pt idx="224" formatCode="0.00000">
                  <c:v>65.138634583517273</c:v>
                </c:pt>
                <c:pt idx="228" formatCode="0.00000">
                  <c:v>64.667343797624454</c:v>
                </c:pt>
                <c:pt idx="232" formatCode="0.00000">
                  <c:v>64.666351976006794</c:v>
                </c:pt>
                <c:pt idx="236" formatCode="0.00000">
                  <c:v>64.189185725123579</c:v>
                </c:pt>
                <c:pt idx="240" formatCode="0.00000">
                  <c:v>64.18929173271961</c:v>
                </c:pt>
                <c:pt idx="244" formatCode="0.00000">
                  <c:v>64.185551888983255</c:v>
                </c:pt>
                <c:pt idx="248" formatCode="0.00000">
                  <c:v>66.092008819903839</c:v>
                </c:pt>
                <c:pt idx="252" formatCode="0.00000">
                  <c:v>66.094453939534802</c:v>
                </c:pt>
                <c:pt idx="256" formatCode="0.00000">
                  <c:v>66.093861584090433</c:v>
                </c:pt>
                <c:pt idx="260" formatCode="0.00000">
                  <c:v>66.093845348032545</c:v>
                </c:pt>
                <c:pt idx="264" formatCode="0.00000">
                  <c:v>66.569131536734105</c:v>
                </c:pt>
                <c:pt idx="268" formatCode="0.00000">
                  <c:v>66.571205760956715</c:v>
                </c:pt>
                <c:pt idx="272" formatCode="0.00000">
                  <c:v>66.570680206607236</c:v>
                </c:pt>
                <c:pt idx="276" formatCode="0.00000">
                  <c:v>67.043500733512488</c:v>
                </c:pt>
                <c:pt idx="280" formatCode="0.00000">
                  <c:v>67.043921062847176</c:v>
                </c:pt>
              </c:numCache>
            </c:numRef>
          </c:yVal>
          <c:smooth val="0"/>
          <c:extLst>
            <c:ext xmlns:c16="http://schemas.microsoft.com/office/drawing/2014/chart" uri="{C3380CC4-5D6E-409C-BE32-E72D297353CC}">
              <c16:uniqueId val="{00000001-7454-C44B-A5D7-3F55CC8915FE}"/>
            </c:ext>
          </c:extLst>
        </c:ser>
        <c:dLbls>
          <c:showLegendKey val="0"/>
          <c:showVal val="0"/>
          <c:showCatName val="0"/>
          <c:showSerName val="0"/>
          <c:showPercent val="0"/>
          <c:showBubbleSize val="0"/>
        </c:dLbls>
        <c:axId val="1025747472"/>
        <c:axId val="533454880"/>
      </c:scatterChart>
      <c:valAx>
        <c:axId val="1025747472"/>
        <c:scaling>
          <c:orientation val="minMax"/>
          <c:max val="6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54880"/>
        <c:crosses val="autoZero"/>
        <c:crossBetween val="midCat"/>
      </c:valAx>
      <c:valAx>
        <c:axId val="53345488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47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0"/>
          <c:spPr>
            <a:ln w="28575" cap="rnd">
              <a:noFill/>
              <a:round/>
            </a:ln>
            <a:effectLst/>
          </c:spPr>
          <c:marker>
            <c:symbol val="circle"/>
            <c:size val="5"/>
            <c:spPr>
              <a:solidFill>
                <a:schemeClr val="accent4"/>
              </a:solidFill>
              <a:ln w="9525">
                <a:solidFill>
                  <a:schemeClr val="accent4"/>
                </a:solidFill>
              </a:ln>
              <a:effectLst/>
            </c:spPr>
          </c:marker>
          <c:xVal>
            <c:numRef>
              <c:f>encVangle!$J$159:$J$275</c:f>
              <c:numCache>
                <c:formatCode>General</c:formatCode>
                <c:ptCount val="117"/>
                <c:pt idx="0">
                  <c:v>2021.5403200000001</c:v>
                </c:pt>
                <c:pt idx="4">
                  <c:v>2190.8505399999999</c:v>
                </c:pt>
                <c:pt idx="8">
                  <c:v>2042.9532300000001</c:v>
                </c:pt>
                <c:pt idx="12">
                  <c:v>2477.5359800000001</c:v>
                </c:pt>
                <c:pt idx="16">
                  <c:v>2249.1909900000001</c:v>
                </c:pt>
                <c:pt idx="20">
                  <c:v>2021.5403200000001</c:v>
                </c:pt>
                <c:pt idx="24">
                  <c:v>2190.8505399999999</c:v>
                </c:pt>
                <c:pt idx="28">
                  <c:v>2477.5359800000001</c:v>
                </c:pt>
                <c:pt idx="32">
                  <c:v>2117.1263399999998</c:v>
                </c:pt>
                <c:pt idx="36">
                  <c:v>2249.1909900000001</c:v>
                </c:pt>
                <c:pt idx="40">
                  <c:v>1959.65995</c:v>
                </c:pt>
                <c:pt idx="44">
                  <c:v>2249.1909900000001</c:v>
                </c:pt>
                <c:pt idx="48">
                  <c:v>2021.5403200000001</c:v>
                </c:pt>
                <c:pt idx="52">
                  <c:v>2249.1909900000001</c:v>
                </c:pt>
                <c:pt idx="56">
                  <c:v>2350.88724</c:v>
                </c:pt>
                <c:pt idx="60">
                  <c:v>2249.1909900000001</c:v>
                </c:pt>
                <c:pt idx="64">
                  <c:v>2334.6783</c:v>
                </c:pt>
                <c:pt idx="68">
                  <c:v>2426.7148400000001</c:v>
                </c:pt>
                <c:pt idx="72">
                  <c:v>2429.88553</c:v>
                </c:pt>
                <c:pt idx="76">
                  <c:v>2021.5403200000001</c:v>
                </c:pt>
                <c:pt idx="80">
                  <c:v>2190.8505399999999</c:v>
                </c:pt>
                <c:pt idx="84">
                  <c:v>2477.5359800000001</c:v>
                </c:pt>
                <c:pt idx="88">
                  <c:v>2054.9360700000002</c:v>
                </c:pt>
                <c:pt idx="92">
                  <c:v>2054.9360700000002</c:v>
                </c:pt>
                <c:pt idx="96">
                  <c:v>2117.1263399999998</c:v>
                </c:pt>
                <c:pt idx="100">
                  <c:v>2190.8505399999999</c:v>
                </c:pt>
                <c:pt idx="104">
                  <c:v>2477.5359800000001</c:v>
                </c:pt>
                <c:pt idx="108">
                  <c:v>2054.9360700000002</c:v>
                </c:pt>
                <c:pt idx="112">
                  <c:v>2117.1263399999998</c:v>
                </c:pt>
                <c:pt idx="116">
                  <c:v>2042.9532300000001</c:v>
                </c:pt>
              </c:numCache>
            </c:numRef>
          </c:xVal>
          <c:yVal>
            <c:numRef>
              <c:f>encVangle!$N$159:$N$275</c:f>
              <c:numCache>
                <c:formatCode>General</c:formatCode>
                <c:ptCount val="117"/>
                <c:pt idx="0" formatCode="0.00000">
                  <c:v>66.079873656549282</c:v>
                </c:pt>
                <c:pt idx="4" formatCode="0.00000">
                  <c:v>66.083170914324214</c:v>
                </c:pt>
                <c:pt idx="8" formatCode="0.00000">
                  <c:v>66.082507215173038</c:v>
                </c:pt>
                <c:pt idx="12" formatCode="0.00000">
                  <c:v>66.082124324066072</c:v>
                </c:pt>
                <c:pt idx="16" formatCode="0.00000">
                  <c:v>65.608975524629372</c:v>
                </c:pt>
                <c:pt idx="20" formatCode="0.00000">
                  <c:v>65.607977744248714</c:v>
                </c:pt>
                <c:pt idx="24" formatCode="0.00000">
                  <c:v>65.609047894615159</c:v>
                </c:pt>
                <c:pt idx="28" formatCode="0.00000">
                  <c:v>65.607168303832921</c:v>
                </c:pt>
                <c:pt idx="32" formatCode="0.00000">
                  <c:v>65.609072833698875</c:v>
                </c:pt>
                <c:pt idx="36" formatCode="0.00000">
                  <c:v>65.131034120290934</c:v>
                </c:pt>
                <c:pt idx="40" formatCode="0.00000">
                  <c:v>65.130444179873265</c:v>
                </c:pt>
                <c:pt idx="44" formatCode="0.00000">
                  <c:v>64.65590213778701</c:v>
                </c:pt>
                <c:pt idx="48" formatCode="0.00000">
                  <c:v>64.655897231585627</c:v>
                </c:pt>
                <c:pt idx="52" formatCode="0.00000">
                  <c:v>64.176744559146513</c:v>
                </c:pt>
                <c:pt idx="56" formatCode="0.00000">
                  <c:v>64.175390408439625</c:v>
                </c:pt>
                <c:pt idx="60" formatCode="0.00000">
                  <c:v>63.701623566556414</c:v>
                </c:pt>
                <c:pt idx="64" formatCode="0.00000">
                  <c:v>63.701757909227489</c:v>
                </c:pt>
                <c:pt idx="68" formatCode="0.00000">
                  <c:v>63.222772930812958</c:v>
                </c:pt>
                <c:pt idx="72" formatCode="0.00000">
                  <c:v>63.221805594501603</c:v>
                </c:pt>
                <c:pt idx="76" formatCode="0.00000">
                  <c:v>66.557731532953667</c:v>
                </c:pt>
                <c:pt idx="80" formatCode="0.00000">
                  <c:v>66.561180123887212</c:v>
                </c:pt>
                <c:pt idx="84" formatCode="0.00000">
                  <c:v>66.561296426769843</c:v>
                </c:pt>
                <c:pt idx="88" formatCode="0.00000">
                  <c:v>66.560539246206773</c:v>
                </c:pt>
                <c:pt idx="92" formatCode="0.00000">
                  <c:v>67.035438307021664</c:v>
                </c:pt>
                <c:pt idx="96" formatCode="0.00000">
                  <c:v>67.035881469271033</c:v>
                </c:pt>
                <c:pt idx="100" formatCode="0.00000">
                  <c:v>67.035478000693715</c:v>
                </c:pt>
                <c:pt idx="104" formatCode="0.00000">
                  <c:v>67.037591965217459</c:v>
                </c:pt>
                <c:pt idx="108" formatCode="0.00000">
                  <c:v>67.511593519609789</c:v>
                </c:pt>
                <c:pt idx="112" formatCode="0.00000">
                  <c:v>67.511068480453744</c:v>
                </c:pt>
                <c:pt idx="116" formatCode="0.00000">
                  <c:v>67.982639745021558</c:v>
                </c:pt>
              </c:numCache>
            </c:numRef>
          </c:yVal>
          <c:smooth val="0"/>
          <c:extLst>
            <c:ext xmlns:c16="http://schemas.microsoft.com/office/drawing/2014/chart" uri="{C3380CC4-5D6E-409C-BE32-E72D297353CC}">
              <c16:uniqueId val="{00000000-D600-EC44-9192-09C8A042F262}"/>
            </c:ext>
          </c:extLst>
        </c:ser>
        <c:ser>
          <c:idx val="0"/>
          <c:order val="1"/>
          <c:spPr>
            <a:ln w="25400" cap="rnd">
              <a:noFill/>
              <a:round/>
            </a:ln>
            <a:effectLst/>
          </c:spPr>
          <c:marker>
            <c:symbol val="circle"/>
            <c:size val="5"/>
            <c:spPr>
              <a:solidFill>
                <a:schemeClr val="accent1"/>
              </a:solidFill>
              <a:ln w="9525">
                <a:solidFill>
                  <a:schemeClr val="accent1"/>
                </a:solidFill>
              </a:ln>
              <a:effectLst/>
            </c:spPr>
          </c:marker>
          <c:xVal>
            <c:numRef>
              <c:f>encVangle!$J$159:$J$439</c:f>
              <c:numCache>
                <c:formatCode>General</c:formatCode>
                <c:ptCount val="281"/>
                <c:pt idx="0">
                  <c:v>2021.5403200000001</c:v>
                </c:pt>
                <c:pt idx="4">
                  <c:v>2190.8505399999999</c:v>
                </c:pt>
                <c:pt idx="8">
                  <c:v>2042.9532300000001</c:v>
                </c:pt>
                <c:pt idx="12">
                  <c:v>2477.5359800000001</c:v>
                </c:pt>
                <c:pt idx="16">
                  <c:v>2249.1909900000001</c:v>
                </c:pt>
                <c:pt idx="20">
                  <c:v>2021.5403200000001</c:v>
                </c:pt>
                <c:pt idx="24">
                  <c:v>2190.8505399999999</c:v>
                </c:pt>
                <c:pt idx="28">
                  <c:v>2477.5359800000001</c:v>
                </c:pt>
                <c:pt idx="32">
                  <c:v>2117.1263399999998</c:v>
                </c:pt>
                <c:pt idx="36">
                  <c:v>2249.1909900000001</c:v>
                </c:pt>
                <c:pt idx="40">
                  <c:v>1959.65995</c:v>
                </c:pt>
                <c:pt idx="44">
                  <c:v>2249.1909900000001</c:v>
                </c:pt>
                <c:pt idx="48">
                  <c:v>2021.5403200000001</c:v>
                </c:pt>
                <c:pt idx="52">
                  <c:v>2249.1909900000001</c:v>
                </c:pt>
                <c:pt idx="56">
                  <c:v>2350.88724</c:v>
                </c:pt>
                <c:pt idx="60">
                  <c:v>2249.1909900000001</c:v>
                </c:pt>
                <c:pt idx="64">
                  <c:v>2334.6783</c:v>
                </c:pt>
                <c:pt idx="68">
                  <c:v>2426.7148400000001</c:v>
                </c:pt>
                <c:pt idx="72">
                  <c:v>2429.88553</c:v>
                </c:pt>
                <c:pt idx="76">
                  <c:v>2021.5403200000001</c:v>
                </c:pt>
                <c:pt idx="80">
                  <c:v>2190.8505399999999</c:v>
                </c:pt>
                <c:pt idx="84">
                  <c:v>2477.5359800000001</c:v>
                </c:pt>
                <c:pt idx="88">
                  <c:v>2054.9360700000002</c:v>
                </c:pt>
                <c:pt idx="92">
                  <c:v>2054.9360700000002</c:v>
                </c:pt>
                <c:pt idx="96">
                  <c:v>2117.1263399999998</c:v>
                </c:pt>
                <c:pt idx="100">
                  <c:v>2190.8505399999999</c:v>
                </c:pt>
                <c:pt idx="104">
                  <c:v>2477.5359800000001</c:v>
                </c:pt>
                <c:pt idx="108">
                  <c:v>2054.9360700000002</c:v>
                </c:pt>
                <c:pt idx="112">
                  <c:v>2117.1263399999998</c:v>
                </c:pt>
                <c:pt idx="116">
                  <c:v>2042.9532300000001</c:v>
                </c:pt>
                <c:pt idx="120">
                  <c:v>1443.07365</c:v>
                </c:pt>
                <c:pt idx="124">
                  <c:v>1521.3688099999999</c:v>
                </c:pt>
                <c:pt idx="128">
                  <c:v>1524.37861</c:v>
                </c:pt>
                <c:pt idx="132">
                  <c:v>1440.61608</c:v>
                </c:pt>
                <c:pt idx="136">
                  <c:v>1563.97632</c:v>
                </c:pt>
                <c:pt idx="140">
                  <c:v>1657.7574400000001</c:v>
                </c:pt>
                <c:pt idx="144">
                  <c:v>1605.57952</c:v>
                </c:pt>
                <c:pt idx="148">
                  <c:v>1707.4674500000001</c:v>
                </c:pt>
                <c:pt idx="152">
                  <c:v>1762.16579</c:v>
                </c:pt>
                <c:pt idx="156">
                  <c:v>1476.9505899999999</c:v>
                </c:pt>
                <c:pt idx="160">
                  <c:v>1452.1804999999999</c:v>
                </c:pt>
                <c:pt idx="164">
                  <c:v>1533.91572</c:v>
                </c:pt>
                <c:pt idx="168">
                  <c:v>1577.6153899999999</c:v>
                </c:pt>
                <c:pt idx="172">
                  <c:v>1568.5307399999999</c:v>
                </c:pt>
                <c:pt idx="176">
                  <c:v>1497.80375</c:v>
                </c:pt>
                <c:pt idx="180">
                  <c:v>1500.9407900000001</c:v>
                </c:pt>
                <c:pt idx="184">
                  <c:v>1539.91786</c:v>
                </c:pt>
                <c:pt idx="188">
                  <c:v>1582.44111</c:v>
                </c:pt>
                <c:pt idx="192">
                  <c:v>1631.97136</c:v>
                </c:pt>
                <c:pt idx="196">
                  <c:v>1678.97191</c:v>
                </c:pt>
                <c:pt idx="200">
                  <c:v>1784.76261</c:v>
                </c:pt>
                <c:pt idx="204">
                  <c:v>1723.54297</c:v>
                </c:pt>
                <c:pt idx="208">
                  <c:v>1476.67118</c:v>
                </c:pt>
                <c:pt idx="212">
                  <c:v>1524.37861</c:v>
                </c:pt>
                <c:pt idx="216">
                  <c:v>1710.34501</c:v>
                </c:pt>
                <c:pt idx="220">
                  <c:v>1533.91572</c:v>
                </c:pt>
                <c:pt idx="224">
                  <c:v>1777.5582999999999</c:v>
                </c:pt>
                <c:pt idx="228">
                  <c:v>1476.9505899999999</c:v>
                </c:pt>
                <c:pt idx="232">
                  <c:v>1710.34501</c:v>
                </c:pt>
                <c:pt idx="236">
                  <c:v>1476.67118</c:v>
                </c:pt>
                <c:pt idx="240">
                  <c:v>1521.3688099999999</c:v>
                </c:pt>
                <c:pt idx="244">
                  <c:v>1762.16579</c:v>
                </c:pt>
                <c:pt idx="248">
                  <c:v>1524.37861</c:v>
                </c:pt>
                <c:pt idx="252">
                  <c:v>1710.34501</c:v>
                </c:pt>
                <c:pt idx="256">
                  <c:v>1673.1084000000001</c:v>
                </c:pt>
                <c:pt idx="260">
                  <c:v>1678.97191</c:v>
                </c:pt>
                <c:pt idx="264">
                  <c:v>1533.91572</c:v>
                </c:pt>
                <c:pt idx="268">
                  <c:v>1678.97191</c:v>
                </c:pt>
                <c:pt idx="272">
                  <c:v>1500.9407900000001</c:v>
                </c:pt>
                <c:pt idx="276">
                  <c:v>1678.97191</c:v>
                </c:pt>
                <c:pt idx="280">
                  <c:v>1589.50215</c:v>
                </c:pt>
              </c:numCache>
            </c:numRef>
          </c:xVal>
          <c:yVal>
            <c:numRef>
              <c:f>encVangle!$N$159:$N$439</c:f>
              <c:numCache>
                <c:formatCode>General</c:formatCode>
                <c:ptCount val="281"/>
                <c:pt idx="0" formatCode="0.00000">
                  <c:v>66.079873656549282</c:v>
                </c:pt>
                <c:pt idx="4" formatCode="0.00000">
                  <c:v>66.083170914324214</c:v>
                </c:pt>
                <c:pt idx="8" formatCode="0.00000">
                  <c:v>66.082507215173038</c:v>
                </c:pt>
                <c:pt idx="12" formatCode="0.00000">
                  <c:v>66.082124324066072</c:v>
                </c:pt>
                <c:pt idx="16" formatCode="0.00000">
                  <c:v>65.608975524629372</c:v>
                </c:pt>
                <c:pt idx="20" formatCode="0.00000">
                  <c:v>65.607977744248714</c:v>
                </c:pt>
                <c:pt idx="24" formatCode="0.00000">
                  <c:v>65.609047894615159</c:v>
                </c:pt>
                <c:pt idx="28" formatCode="0.00000">
                  <c:v>65.607168303832921</c:v>
                </c:pt>
                <c:pt idx="32" formatCode="0.00000">
                  <c:v>65.609072833698875</c:v>
                </c:pt>
                <c:pt idx="36" formatCode="0.00000">
                  <c:v>65.131034120290934</c:v>
                </c:pt>
                <c:pt idx="40" formatCode="0.00000">
                  <c:v>65.130444179873265</c:v>
                </c:pt>
                <c:pt idx="44" formatCode="0.00000">
                  <c:v>64.65590213778701</c:v>
                </c:pt>
                <c:pt idx="48" formatCode="0.00000">
                  <c:v>64.655897231585627</c:v>
                </c:pt>
                <c:pt idx="52" formatCode="0.00000">
                  <c:v>64.176744559146513</c:v>
                </c:pt>
                <c:pt idx="56" formatCode="0.00000">
                  <c:v>64.175390408439625</c:v>
                </c:pt>
                <c:pt idx="60" formatCode="0.00000">
                  <c:v>63.701623566556414</c:v>
                </c:pt>
                <c:pt idx="64" formatCode="0.00000">
                  <c:v>63.701757909227489</c:v>
                </c:pt>
                <c:pt idx="68" formatCode="0.00000">
                  <c:v>63.222772930812958</c:v>
                </c:pt>
                <c:pt idx="72" formatCode="0.00000">
                  <c:v>63.221805594501603</c:v>
                </c:pt>
                <c:pt idx="76" formatCode="0.00000">
                  <c:v>66.557731532953667</c:v>
                </c:pt>
                <c:pt idx="80" formatCode="0.00000">
                  <c:v>66.561180123887212</c:v>
                </c:pt>
                <c:pt idx="84" formatCode="0.00000">
                  <c:v>66.561296426769843</c:v>
                </c:pt>
                <c:pt idx="88" formatCode="0.00000">
                  <c:v>66.560539246206773</c:v>
                </c:pt>
                <c:pt idx="92" formatCode="0.00000">
                  <c:v>67.035438307021664</c:v>
                </c:pt>
                <c:pt idx="96" formatCode="0.00000">
                  <c:v>67.035881469271033</c:v>
                </c:pt>
                <c:pt idx="100" formatCode="0.00000">
                  <c:v>67.035478000693715</c:v>
                </c:pt>
                <c:pt idx="104" formatCode="0.00000">
                  <c:v>67.037591965217459</c:v>
                </c:pt>
                <c:pt idx="108" formatCode="0.00000">
                  <c:v>67.511593519609789</c:v>
                </c:pt>
                <c:pt idx="112" formatCode="0.00000">
                  <c:v>67.511068480453744</c:v>
                </c:pt>
                <c:pt idx="116" formatCode="0.00000">
                  <c:v>67.982639745021558</c:v>
                </c:pt>
                <c:pt idx="120" formatCode="0.00000">
                  <c:v>65.616800226347692</c:v>
                </c:pt>
                <c:pt idx="124" formatCode="0.00000">
                  <c:v>65.618095197233757</c:v>
                </c:pt>
                <c:pt idx="128" formatCode="0.00000">
                  <c:v>65.618101352241624</c:v>
                </c:pt>
                <c:pt idx="132" formatCode="0.00000">
                  <c:v>65.616487133092406</c:v>
                </c:pt>
                <c:pt idx="136" formatCode="0.00000">
                  <c:v>65.618444008240388</c:v>
                </c:pt>
                <c:pt idx="140" formatCode="0.00000">
                  <c:v>65.619182457780539</c:v>
                </c:pt>
                <c:pt idx="144" formatCode="0.00000">
                  <c:v>65.61922651832117</c:v>
                </c:pt>
                <c:pt idx="148" formatCode="0.00000">
                  <c:v>65.61957402286545</c:v>
                </c:pt>
                <c:pt idx="152" formatCode="0.00000">
                  <c:v>65.619341443502293</c:v>
                </c:pt>
                <c:pt idx="156" formatCode="0.00000">
                  <c:v>65.617526556961352</c:v>
                </c:pt>
                <c:pt idx="160" formatCode="0.00000">
                  <c:v>65.619606282719445</c:v>
                </c:pt>
                <c:pt idx="164" formatCode="0.00000">
                  <c:v>65.620372203014597</c:v>
                </c:pt>
                <c:pt idx="168" formatCode="0.00000">
                  <c:v>65.62010419408746</c:v>
                </c:pt>
                <c:pt idx="172" formatCode="0.00000">
                  <c:v>65.62000931009365</c:v>
                </c:pt>
                <c:pt idx="176" formatCode="0.00000">
                  <c:v>65.620419656406398</c:v>
                </c:pt>
                <c:pt idx="180" formatCode="0.00000">
                  <c:v>65.620944189892327</c:v>
                </c:pt>
                <c:pt idx="184" formatCode="0.00000">
                  <c:v>65.62063795989107</c:v>
                </c:pt>
                <c:pt idx="188" formatCode="0.00000">
                  <c:v>65.62030771864876</c:v>
                </c:pt>
                <c:pt idx="192" formatCode="0.00000">
                  <c:v>65.619908497889</c:v>
                </c:pt>
                <c:pt idx="196" formatCode="0.00000">
                  <c:v>65.619431161842286</c:v>
                </c:pt>
                <c:pt idx="200" formatCode="0.00000">
                  <c:v>65.617516385478879</c:v>
                </c:pt>
                <c:pt idx="204" formatCode="0.00000">
                  <c:v>65.619015762114159</c:v>
                </c:pt>
                <c:pt idx="208" formatCode="0.00000">
                  <c:v>65.139245917744063</c:v>
                </c:pt>
                <c:pt idx="212" formatCode="0.00000">
                  <c:v>65.141807398074107</c:v>
                </c:pt>
                <c:pt idx="216" formatCode="0.00000">
                  <c:v>65.141172028847578</c:v>
                </c:pt>
                <c:pt idx="220" formatCode="0.00000">
                  <c:v>65.142450297101021</c:v>
                </c:pt>
                <c:pt idx="224" formatCode="0.00000">
                  <c:v>65.138634583517273</c:v>
                </c:pt>
                <c:pt idx="228" formatCode="0.00000">
                  <c:v>64.667343797624454</c:v>
                </c:pt>
                <c:pt idx="232" formatCode="0.00000">
                  <c:v>64.666351976006794</c:v>
                </c:pt>
                <c:pt idx="236" formatCode="0.00000">
                  <c:v>64.189185725123579</c:v>
                </c:pt>
                <c:pt idx="240" formatCode="0.00000">
                  <c:v>64.18929173271961</c:v>
                </c:pt>
                <c:pt idx="244" formatCode="0.00000">
                  <c:v>64.185551888983255</c:v>
                </c:pt>
                <c:pt idx="248" formatCode="0.00000">
                  <c:v>66.092008819903839</c:v>
                </c:pt>
                <c:pt idx="252" formatCode="0.00000">
                  <c:v>66.094453939534802</c:v>
                </c:pt>
                <c:pt idx="256" formatCode="0.00000">
                  <c:v>66.093861584090433</c:v>
                </c:pt>
                <c:pt idx="260" formatCode="0.00000">
                  <c:v>66.093845348032545</c:v>
                </c:pt>
                <c:pt idx="264" formatCode="0.00000">
                  <c:v>66.569131536734105</c:v>
                </c:pt>
                <c:pt idx="268" formatCode="0.00000">
                  <c:v>66.571205760956715</c:v>
                </c:pt>
                <c:pt idx="272" formatCode="0.00000">
                  <c:v>66.570680206607236</c:v>
                </c:pt>
                <c:pt idx="276" formatCode="0.00000">
                  <c:v>67.043500733512488</c:v>
                </c:pt>
                <c:pt idx="280" formatCode="0.00000">
                  <c:v>67.043921062847176</c:v>
                </c:pt>
              </c:numCache>
            </c:numRef>
          </c:yVal>
          <c:smooth val="0"/>
          <c:extLst>
            <c:ext xmlns:c16="http://schemas.microsoft.com/office/drawing/2014/chart" uri="{C3380CC4-5D6E-409C-BE32-E72D297353CC}">
              <c16:uniqueId val="{00000001-D600-EC44-9192-09C8A042F262}"/>
            </c:ext>
          </c:extLst>
        </c:ser>
        <c:dLbls>
          <c:showLegendKey val="0"/>
          <c:showVal val="0"/>
          <c:showCatName val="0"/>
          <c:showSerName val="0"/>
          <c:showPercent val="0"/>
          <c:showBubbleSize val="0"/>
        </c:dLbls>
        <c:axId val="535857504"/>
        <c:axId val="536599504"/>
      </c:scatterChart>
      <c:valAx>
        <c:axId val="535857504"/>
        <c:scaling>
          <c:orientation val="minMax"/>
          <c:min val="14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599504"/>
        <c:crosses val="autoZero"/>
        <c:crossBetween val="midCat"/>
      </c:valAx>
      <c:valAx>
        <c:axId val="53659950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575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xVal>
            <c:numRef>
              <c:f>encVangle!$L$159:$L$275</c:f>
              <c:numCache>
                <c:formatCode>General</c:formatCode>
                <c:ptCount val="117"/>
                <c:pt idx="0" formatCode="0.000000">
                  <c:v>1673</c:v>
                </c:pt>
                <c:pt idx="4" formatCode="0.000000">
                  <c:v>1134</c:v>
                </c:pt>
                <c:pt idx="8" formatCode="0.000000">
                  <c:v>1682</c:v>
                </c:pt>
                <c:pt idx="12" formatCode="0.000000">
                  <c:v>129</c:v>
                </c:pt>
                <c:pt idx="16" formatCode="0.000000">
                  <c:v>863</c:v>
                </c:pt>
                <c:pt idx="20" formatCode="0.000000">
                  <c:v>1705</c:v>
                </c:pt>
                <c:pt idx="24" formatCode="0.000000">
                  <c:v>1167</c:v>
                </c:pt>
                <c:pt idx="28" formatCode="0.000000">
                  <c:v>161</c:v>
                </c:pt>
                <c:pt idx="32" formatCode="0.000000">
                  <c:v>1451</c:v>
                </c:pt>
                <c:pt idx="36" formatCode="0.000000">
                  <c:v>895</c:v>
                </c:pt>
                <c:pt idx="40" formatCode="0.000000">
                  <c:v>1986</c:v>
                </c:pt>
                <c:pt idx="44" formatCode="0.000000">
                  <c:v>930</c:v>
                </c:pt>
                <c:pt idx="48" formatCode="0.000000">
                  <c:v>1772</c:v>
                </c:pt>
                <c:pt idx="52" formatCode="0.000000">
                  <c:v>963</c:v>
                </c:pt>
                <c:pt idx="56" formatCode="0.000000">
                  <c:v>631</c:v>
                </c:pt>
                <c:pt idx="60" formatCode="0.000000">
                  <c:v>995</c:v>
                </c:pt>
                <c:pt idx="64" formatCode="0.000000">
                  <c:v>670</c:v>
                </c:pt>
                <c:pt idx="68" formatCode="0.000000">
                  <c:v>350</c:v>
                </c:pt>
                <c:pt idx="72" formatCode="0.000000">
                  <c:v>348</c:v>
                </c:pt>
                <c:pt idx="76" formatCode="0.000000">
                  <c:v>1639</c:v>
                </c:pt>
                <c:pt idx="80" formatCode="0.000000">
                  <c:v>1099</c:v>
                </c:pt>
                <c:pt idx="84" formatCode="0.000000">
                  <c:v>94</c:v>
                </c:pt>
                <c:pt idx="88" formatCode="0.000000">
                  <c:v>1655</c:v>
                </c:pt>
                <c:pt idx="92" formatCode="0.000000">
                  <c:v>1622</c:v>
                </c:pt>
                <c:pt idx="96" formatCode="0.000000">
                  <c:v>1350</c:v>
                </c:pt>
                <c:pt idx="100" formatCode="0.000000">
                  <c:v>1067</c:v>
                </c:pt>
                <c:pt idx="104" formatCode="0.000000">
                  <c:v>61</c:v>
                </c:pt>
                <c:pt idx="108" formatCode="0.000000">
                  <c:v>1588</c:v>
                </c:pt>
                <c:pt idx="112" formatCode="0.000000">
                  <c:v>1318</c:v>
                </c:pt>
                <c:pt idx="116" formatCode="0.000000">
                  <c:v>1549</c:v>
                </c:pt>
              </c:numCache>
            </c:numRef>
          </c:xVal>
          <c:yVal>
            <c:numRef>
              <c:f>encVangle!$N$159:$N$275</c:f>
              <c:numCache>
                <c:formatCode>General</c:formatCode>
                <c:ptCount val="117"/>
                <c:pt idx="0" formatCode="0.00000">
                  <c:v>66.079873656549282</c:v>
                </c:pt>
                <c:pt idx="4" formatCode="0.00000">
                  <c:v>66.083170914324214</c:v>
                </c:pt>
                <c:pt idx="8" formatCode="0.00000">
                  <c:v>66.082507215173038</c:v>
                </c:pt>
                <c:pt idx="12" formatCode="0.00000">
                  <c:v>66.082124324066072</c:v>
                </c:pt>
                <c:pt idx="16" formatCode="0.00000">
                  <c:v>65.608975524629372</c:v>
                </c:pt>
                <c:pt idx="20" formatCode="0.00000">
                  <c:v>65.607977744248714</c:v>
                </c:pt>
                <c:pt idx="24" formatCode="0.00000">
                  <c:v>65.609047894615159</c:v>
                </c:pt>
                <c:pt idx="28" formatCode="0.00000">
                  <c:v>65.607168303832921</c:v>
                </c:pt>
                <c:pt idx="32" formatCode="0.00000">
                  <c:v>65.609072833698875</c:v>
                </c:pt>
                <c:pt idx="36" formatCode="0.00000">
                  <c:v>65.131034120290934</c:v>
                </c:pt>
                <c:pt idx="40" formatCode="0.00000">
                  <c:v>65.130444179873265</c:v>
                </c:pt>
                <c:pt idx="44" formatCode="0.00000">
                  <c:v>64.65590213778701</c:v>
                </c:pt>
                <c:pt idx="48" formatCode="0.00000">
                  <c:v>64.655897231585627</c:v>
                </c:pt>
                <c:pt idx="52" formatCode="0.00000">
                  <c:v>64.176744559146513</c:v>
                </c:pt>
                <c:pt idx="56" formatCode="0.00000">
                  <c:v>64.175390408439625</c:v>
                </c:pt>
                <c:pt idx="60" formatCode="0.00000">
                  <c:v>63.701623566556414</c:v>
                </c:pt>
                <c:pt idx="64" formatCode="0.00000">
                  <c:v>63.701757909227489</c:v>
                </c:pt>
                <c:pt idx="68" formatCode="0.00000">
                  <c:v>63.222772930812958</c:v>
                </c:pt>
                <c:pt idx="72" formatCode="0.00000">
                  <c:v>63.221805594501603</c:v>
                </c:pt>
                <c:pt idx="76" formatCode="0.00000">
                  <c:v>66.557731532953667</c:v>
                </c:pt>
                <c:pt idx="80" formatCode="0.00000">
                  <c:v>66.561180123887212</c:v>
                </c:pt>
                <c:pt idx="84" formatCode="0.00000">
                  <c:v>66.561296426769843</c:v>
                </c:pt>
                <c:pt idx="88" formatCode="0.00000">
                  <c:v>66.560539246206773</c:v>
                </c:pt>
                <c:pt idx="92" formatCode="0.00000">
                  <c:v>67.035438307021664</c:v>
                </c:pt>
                <c:pt idx="96" formatCode="0.00000">
                  <c:v>67.035881469271033</c:v>
                </c:pt>
                <c:pt idx="100" formatCode="0.00000">
                  <c:v>67.035478000693715</c:v>
                </c:pt>
                <c:pt idx="104" formatCode="0.00000">
                  <c:v>67.037591965217459</c:v>
                </c:pt>
                <c:pt idx="108" formatCode="0.00000">
                  <c:v>67.511593519609789</c:v>
                </c:pt>
                <c:pt idx="112" formatCode="0.00000">
                  <c:v>67.511068480453744</c:v>
                </c:pt>
                <c:pt idx="116" formatCode="0.00000">
                  <c:v>67.982639745021558</c:v>
                </c:pt>
              </c:numCache>
            </c:numRef>
          </c:yVal>
          <c:smooth val="0"/>
          <c:extLst>
            <c:ext xmlns:c16="http://schemas.microsoft.com/office/drawing/2014/chart" uri="{C3380CC4-5D6E-409C-BE32-E72D297353CC}">
              <c16:uniqueId val="{00000000-D5FD-4E41-895D-96F0CD169E9F}"/>
            </c:ext>
          </c:extLst>
        </c:ser>
        <c:ser>
          <c:idx val="0"/>
          <c:order val="1"/>
          <c:spPr>
            <a:ln w="25400" cap="rnd">
              <a:noFill/>
              <a:round/>
            </a:ln>
            <a:effectLst/>
          </c:spPr>
          <c:marker>
            <c:symbol val="circle"/>
            <c:size val="5"/>
            <c:spPr>
              <a:solidFill>
                <a:schemeClr val="accent1"/>
              </a:solidFill>
              <a:ln w="9525">
                <a:solidFill>
                  <a:schemeClr val="accent1"/>
                </a:solidFill>
              </a:ln>
              <a:effectLst/>
            </c:spPr>
          </c:marker>
          <c:xVal>
            <c:numRef>
              <c:f>encVangle!$K$159:$K$439</c:f>
              <c:numCache>
                <c:formatCode>0.000000</c:formatCode>
                <c:ptCount val="281"/>
                <c:pt idx="0" formatCode="General">
                  <c:v>1744.6731</c:v>
                </c:pt>
                <c:pt idx="4" formatCode="General">
                  <c:v>3800.8886000000002</c:v>
                </c:pt>
                <c:pt idx="8" formatCode="General">
                  <c:v>5241.4341599999998</c:v>
                </c:pt>
                <c:pt idx="12" formatCode="General">
                  <c:v>3971.7354999999998</c:v>
                </c:pt>
                <c:pt idx="16" formatCode="General">
                  <c:v>965.43700999999999</c:v>
                </c:pt>
                <c:pt idx="20" formatCode="General">
                  <c:v>3033.7605400000002</c:v>
                </c:pt>
                <c:pt idx="24" formatCode="General">
                  <c:v>5125.1551300000001</c:v>
                </c:pt>
                <c:pt idx="28" formatCode="General">
                  <c:v>5299.5261</c:v>
                </c:pt>
                <c:pt idx="32" formatCode="General">
                  <c:v>6334.5178999999998</c:v>
                </c:pt>
                <c:pt idx="36" formatCode="General">
                  <c:v>2261.612795</c:v>
                </c:pt>
                <c:pt idx="40" formatCode="General">
                  <c:v>5689.6509999999998</c:v>
                </c:pt>
                <c:pt idx="44" formatCode="General">
                  <c:v>3563.5118000000002</c:v>
                </c:pt>
                <c:pt idx="48" formatCode="General">
                  <c:v>5690.3558000000003</c:v>
                </c:pt>
                <c:pt idx="52" formatCode="General">
                  <c:v>4901.5131799999999</c:v>
                </c:pt>
                <c:pt idx="56" formatCode="General">
                  <c:v>6012.3487999999998</c:v>
                </c:pt>
                <c:pt idx="60" formatCode="General">
                  <c:v>6244.6908999999996</c:v>
                </c:pt>
                <c:pt idx="64" formatCode="General">
                  <c:v>5136.1835000000001</c:v>
                </c:pt>
                <c:pt idx="68" formatCode="General">
                  <c:v>5290.0941599999996</c:v>
                </c:pt>
                <c:pt idx="72" formatCode="General">
                  <c:v>5697.6722</c:v>
                </c:pt>
                <c:pt idx="76" formatCode="General">
                  <c:v>462.80471999999997</c:v>
                </c:pt>
                <c:pt idx="80" formatCode="General">
                  <c:v>2492.2075100000002</c:v>
                </c:pt>
                <c:pt idx="84" formatCode="General">
                  <c:v>2659.0574799999999</c:v>
                </c:pt>
                <c:pt idx="88" formatCode="General">
                  <c:v>5970.5666000000001</c:v>
                </c:pt>
                <c:pt idx="92" formatCode="General">
                  <c:v>4636.68577</c:v>
                </c:pt>
                <c:pt idx="96" formatCode="General">
                  <c:v>2366.56657</c:v>
                </c:pt>
                <c:pt idx="100" formatCode="General">
                  <c:v>1208.3188</c:v>
                </c:pt>
                <c:pt idx="104" formatCode="General">
                  <c:v>1369.1648</c:v>
                </c:pt>
                <c:pt idx="108" formatCode="General">
                  <c:v>3317.7156999999997</c:v>
                </c:pt>
                <c:pt idx="112" formatCode="General">
                  <c:v>1083.5843</c:v>
                </c:pt>
                <c:pt idx="116" formatCode="General">
                  <c:v>62.957102999999996</c:v>
                </c:pt>
                <c:pt idx="120" formatCode="General">
                  <c:v>1211.4595999999999</c:v>
                </c:pt>
                <c:pt idx="124" formatCode="General">
                  <c:v>1262.3152</c:v>
                </c:pt>
                <c:pt idx="128" formatCode="General">
                  <c:v>1874.1641</c:v>
                </c:pt>
                <c:pt idx="132" formatCode="General">
                  <c:v>692.53227000000004</c:v>
                </c:pt>
                <c:pt idx="136" formatCode="General">
                  <c:v>1330.4154000000001</c:v>
                </c:pt>
                <c:pt idx="140" formatCode="General">
                  <c:v>1670.3742999999999</c:v>
                </c:pt>
                <c:pt idx="144" formatCode="General">
                  <c:v>745.43257000000006</c:v>
                </c:pt>
                <c:pt idx="148" formatCode="General">
                  <c:v>1583.692</c:v>
                </c:pt>
                <c:pt idx="152" formatCode="General">
                  <c:v>1834.7373</c:v>
                </c:pt>
                <c:pt idx="156" formatCode="General">
                  <c:v>364.68027999999998</c:v>
                </c:pt>
                <c:pt idx="160" formatCode="General">
                  <c:v>3187.25218</c:v>
                </c:pt>
                <c:pt idx="164" formatCode="General">
                  <c:v>3868.3874000000001</c:v>
                </c:pt>
                <c:pt idx="168" formatCode="General">
                  <c:v>4097.8431</c:v>
                </c:pt>
                <c:pt idx="172" formatCode="General">
                  <c:v>2236.2439169999998</c:v>
                </c:pt>
                <c:pt idx="176" formatCode="General">
                  <c:v>4820.7569800000001</c:v>
                </c:pt>
                <c:pt idx="180" formatCode="General">
                  <c:v>5531.2399000000005</c:v>
                </c:pt>
                <c:pt idx="184" formatCode="General">
                  <c:v>5177.9520899999998</c:v>
                </c:pt>
                <c:pt idx="188" formatCode="General">
                  <c:v>5125.5795600000001</c:v>
                </c:pt>
                <c:pt idx="192" formatCode="General">
                  <c:v>6042.3427000000001</c:v>
                </c:pt>
                <c:pt idx="196" formatCode="General">
                  <c:v>5844.1570000000002</c:v>
                </c:pt>
                <c:pt idx="200" formatCode="General">
                  <c:v>6043.8027000000002</c:v>
                </c:pt>
                <c:pt idx="204" formatCode="General">
                  <c:v>4611.4980400000004</c:v>
                </c:pt>
                <c:pt idx="208" formatCode="General">
                  <c:v>1593.2059999999999</c:v>
                </c:pt>
                <c:pt idx="212" formatCode="General">
                  <c:v>3178.5443100000002</c:v>
                </c:pt>
                <c:pt idx="216" formatCode="General">
                  <c:v>3420.5951999999997</c:v>
                </c:pt>
                <c:pt idx="220" formatCode="General">
                  <c:v>5206.2114799999999</c:v>
                </c:pt>
                <c:pt idx="224" formatCode="General">
                  <c:v>6006.6702000000005</c:v>
                </c:pt>
                <c:pt idx="228" formatCode="General">
                  <c:v>2942.1264499999997</c:v>
                </c:pt>
                <c:pt idx="232" formatCode="General">
                  <c:v>4742.6214799999998</c:v>
                </c:pt>
                <c:pt idx="236" formatCode="General">
                  <c:v>4205.6048000000001</c:v>
                </c:pt>
                <c:pt idx="240" formatCode="General">
                  <c:v>5204.2974299999996</c:v>
                </c:pt>
                <c:pt idx="244" formatCode="General">
                  <c:v>5809.8149000000003</c:v>
                </c:pt>
                <c:pt idx="248" formatCode="General">
                  <c:v>599.46078</c:v>
                </c:pt>
                <c:pt idx="252" formatCode="General">
                  <c:v>830.08321999999998</c:v>
                </c:pt>
                <c:pt idx="256" formatCode="General">
                  <c:v>3333.8883000000001</c:v>
                </c:pt>
                <c:pt idx="260" formatCode="General">
                  <c:v>4513.1040199999998</c:v>
                </c:pt>
                <c:pt idx="264" formatCode="General">
                  <c:v>1278.8091999999999</c:v>
                </c:pt>
                <c:pt idx="268" formatCode="General">
                  <c:v>3191.2686899999999</c:v>
                </c:pt>
                <c:pt idx="272" formatCode="General">
                  <c:v>2890.6656000000003</c:v>
                </c:pt>
                <c:pt idx="276" formatCode="General">
                  <c:v>1903.8811000000001</c:v>
                </c:pt>
                <c:pt idx="280" formatCode="General">
                  <c:v>2697.26665</c:v>
                </c:pt>
              </c:numCache>
            </c:numRef>
          </c:xVal>
          <c:yVal>
            <c:numRef>
              <c:f>encVangle!$N$159:$N$439</c:f>
              <c:numCache>
                <c:formatCode>General</c:formatCode>
                <c:ptCount val="281"/>
                <c:pt idx="0" formatCode="0.00000">
                  <c:v>66.079873656549282</c:v>
                </c:pt>
                <c:pt idx="4" formatCode="0.00000">
                  <c:v>66.083170914324214</c:v>
                </c:pt>
                <c:pt idx="8" formatCode="0.00000">
                  <c:v>66.082507215173038</c:v>
                </c:pt>
                <c:pt idx="12" formatCode="0.00000">
                  <c:v>66.082124324066072</c:v>
                </c:pt>
                <c:pt idx="16" formatCode="0.00000">
                  <c:v>65.608975524629372</c:v>
                </c:pt>
                <c:pt idx="20" formatCode="0.00000">
                  <c:v>65.607977744248714</c:v>
                </c:pt>
                <c:pt idx="24" formatCode="0.00000">
                  <c:v>65.609047894615159</c:v>
                </c:pt>
                <c:pt idx="28" formatCode="0.00000">
                  <c:v>65.607168303832921</c:v>
                </c:pt>
                <c:pt idx="32" formatCode="0.00000">
                  <c:v>65.609072833698875</c:v>
                </c:pt>
                <c:pt idx="36" formatCode="0.00000">
                  <c:v>65.131034120290934</c:v>
                </c:pt>
                <c:pt idx="40" formatCode="0.00000">
                  <c:v>65.130444179873265</c:v>
                </c:pt>
                <c:pt idx="44" formatCode="0.00000">
                  <c:v>64.65590213778701</c:v>
                </c:pt>
                <c:pt idx="48" formatCode="0.00000">
                  <c:v>64.655897231585627</c:v>
                </c:pt>
                <c:pt idx="52" formatCode="0.00000">
                  <c:v>64.176744559146513</c:v>
                </c:pt>
                <c:pt idx="56" formatCode="0.00000">
                  <c:v>64.175390408439625</c:v>
                </c:pt>
                <c:pt idx="60" formatCode="0.00000">
                  <c:v>63.701623566556414</c:v>
                </c:pt>
                <c:pt idx="64" formatCode="0.00000">
                  <c:v>63.701757909227489</c:v>
                </c:pt>
                <c:pt idx="68" formatCode="0.00000">
                  <c:v>63.222772930812958</c:v>
                </c:pt>
                <c:pt idx="72" formatCode="0.00000">
                  <c:v>63.221805594501603</c:v>
                </c:pt>
                <c:pt idx="76" formatCode="0.00000">
                  <c:v>66.557731532953667</c:v>
                </c:pt>
                <c:pt idx="80" formatCode="0.00000">
                  <c:v>66.561180123887212</c:v>
                </c:pt>
                <c:pt idx="84" formatCode="0.00000">
                  <c:v>66.561296426769843</c:v>
                </c:pt>
                <c:pt idx="88" formatCode="0.00000">
                  <c:v>66.560539246206773</c:v>
                </c:pt>
                <c:pt idx="92" formatCode="0.00000">
                  <c:v>67.035438307021664</c:v>
                </c:pt>
                <c:pt idx="96" formatCode="0.00000">
                  <c:v>67.035881469271033</c:v>
                </c:pt>
                <c:pt idx="100" formatCode="0.00000">
                  <c:v>67.035478000693715</c:v>
                </c:pt>
                <c:pt idx="104" formatCode="0.00000">
                  <c:v>67.037591965217459</c:v>
                </c:pt>
                <c:pt idx="108" formatCode="0.00000">
                  <c:v>67.511593519609789</c:v>
                </c:pt>
                <c:pt idx="112" formatCode="0.00000">
                  <c:v>67.511068480453744</c:v>
                </c:pt>
                <c:pt idx="116" formatCode="0.00000">
                  <c:v>67.982639745021558</c:v>
                </c:pt>
                <c:pt idx="120" formatCode="0.00000">
                  <c:v>65.616800226347692</c:v>
                </c:pt>
                <c:pt idx="124" formatCode="0.00000">
                  <c:v>65.618095197233757</c:v>
                </c:pt>
                <c:pt idx="128" formatCode="0.00000">
                  <c:v>65.618101352241624</c:v>
                </c:pt>
                <c:pt idx="132" formatCode="0.00000">
                  <c:v>65.616487133092406</c:v>
                </c:pt>
                <c:pt idx="136" formatCode="0.00000">
                  <c:v>65.618444008240388</c:v>
                </c:pt>
                <c:pt idx="140" formatCode="0.00000">
                  <c:v>65.619182457780539</c:v>
                </c:pt>
                <c:pt idx="144" formatCode="0.00000">
                  <c:v>65.61922651832117</c:v>
                </c:pt>
                <c:pt idx="148" formatCode="0.00000">
                  <c:v>65.61957402286545</c:v>
                </c:pt>
                <c:pt idx="152" formatCode="0.00000">
                  <c:v>65.619341443502293</c:v>
                </c:pt>
                <c:pt idx="156" formatCode="0.00000">
                  <c:v>65.617526556961352</c:v>
                </c:pt>
                <c:pt idx="160" formatCode="0.00000">
                  <c:v>65.619606282719445</c:v>
                </c:pt>
                <c:pt idx="164" formatCode="0.00000">
                  <c:v>65.620372203014597</c:v>
                </c:pt>
                <c:pt idx="168" formatCode="0.00000">
                  <c:v>65.62010419408746</c:v>
                </c:pt>
                <c:pt idx="172" formatCode="0.00000">
                  <c:v>65.62000931009365</c:v>
                </c:pt>
                <c:pt idx="176" formatCode="0.00000">
                  <c:v>65.620419656406398</c:v>
                </c:pt>
                <c:pt idx="180" formatCode="0.00000">
                  <c:v>65.620944189892327</c:v>
                </c:pt>
                <c:pt idx="184" formatCode="0.00000">
                  <c:v>65.62063795989107</c:v>
                </c:pt>
                <c:pt idx="188" formatCode="0.00000">
                  <c:v>65.62030771864876</c:v>
                </c:pt>
                <c:pt idx="192" formatCode="0.00000">
                  <c:v>65.619908497889</c:v>
                </c:pt>
                <c:pt idx="196" formatCode="0.00000">
                  <c:v>65.619431161842286</c:v>
                </c:pt>
                <c:pt idx="200" formatCode="0.00000">
                  <c:v>65.617516385478879</c:v>
                </c:pt>
                <c:pt idx="204" formatCode="0.00000">
                  <c:v>65.619015762114159</c:v>
                </c:pt>
                <c:pt idx="208" formatCode="0.00000">
                  <c:v>65.139245917744063</c:v>
                </c:pt>
                <c:pt idx="212" formatCode="0.00000">
                  <c:v>65.141807398074107</c:v>
                </c:pt>
                <c:pt idx="216" formatCode="0.00000">
                  <c:v>65.141172028847578</c:v>
                </c:pt>
                <c:pt idx="220" formatCode="0.00000">
                  <c:v>65.142450297101021</c:v>
                </c:pt>
                <c:pt idx="224" formatCode="0.00000">
                  <c:v>65.138634583517273</c:v>
                </c:pt>
                <c:pt idx="228" formatCode="0.00000">
                  <c:v>64.667343797624454</c:v>
                </c:pt>
                <c:pt idx="232" formatCode="0.00000">
                  <c:v>64.666351976006794</c:v>
                </c:pt>
                <c:pt idx="236" formatCode="0.00000">
                  <c:v>64.189185725123579</c:v>
                </c:pt>
                <c:pt idx="240" formatCode="0.00000">
                  <c:v>64.18929173271961</c:v>
                </c:pt>
                <c:pt idx="244" formatCode="0.00000">
                  <c:v>64.185551888983255</c:v>
                </c:pt>
                <c:pt idx="248" formatCode="0.00000">
                  <c:v>66.092008819903839</c:v>
                </c:pt>
                <c:pt idx="252" formatCode="0.00000">
                  <c:v>66.094453939534802</c:v>
                </c:pt>
                <c:pt idx="256" formatCode="0.00000">
                  <c:v>66.093861584090433</c:v>
                </c:pt>
                <c:pt idx="260" formatCode="0.00000">
                  <c:v>66.093845348032545</c:v>
                </c:pt>
                <c:pt idx="264" formatCode="0.00000">
                  <c:v>66.569131536734105</c:v>
                </c:pt>
                <c:pt idx="268" formatCode="0.00000">
                  <c:v>66.571205760956715</c:v>
                </c:pt>
                <c:pt idx="272" formatCode="0.00000">
                  <c:v>66.570680206607236</c:v>
                </c:pt>
                <c:pt idx="276" formatCode="0.00000">
                  <c:v>67.043500733512488</c:v>
                </c:pt>
                <c:pt idx="280" formatCode="0.00000">
                  <c:v>67.043921062847176</c:v>
                </c:pt>
              </c:numCache>
            </c:numRef>
          </c:yVal>
          <c:smooth val="0"/>
          <c:extLst>
            <c:ext xmlns:c16="http://schemas.microsoft.com/office/drawing/2014/chart" uri="{C3380CC4-5D6E-409C-BE32-E72D297353CC}">
              <c16:uniqueId val="{00000001-D5FD-4E41-895D-96F0CD169E9F}"/>
            </c:ext>
          </c:extLst>
        </c:ser>
        <c:dLbls>
          <c:showLegendKey val="0"/>
          <c:showVal val="0"/>
          <c:showCatName val="0"/>
          <c:showSerName val="0"/>
          <c:showPercent val="0"/>
          <c:showBubbleSize val="0"/>
        </c:dLbls>
        <c:axId val="535973456"/>
        <c:axId val="536003088"/>
      </c:scatterChart>
      <c:valAx>
        <c:axId val="535973456"/>
        <c:scaling>
          <c:orientation val="minMax"/>
          <c:max val="2000"/>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03088"/>
        <c:crosses val="autoZero"/>
        <c:crossBetween val="midCat"/>
      </c:valAx>
      <c:valAx>
        <c:axId val="536003088"/>
        <c:scaling>
          <c:orientation val="minMax"/>
          <c:max val="68"/>
          <c:min val="63.5"/>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9734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encVangle!$K$443:$K$499</c:f>
              <c:numCache>
                <c:formatCode>0.000000</c:formatCode>
                <c:ptCount val="57"/>
                <c:pt idx="0" formatCode="General">
                  <c:v>18.218665999999999</c:v>
                </c:pt>
                <c:pt idx="4" formatCode="General">
                  <c:v>825.61423000000002</c:v>
                </c:pt>
                <c:pt idx="8" formatCode="General">
                  <c:v>579.10789999999997</c:v>
                </c:pt>
                <c:pt idx="12" formatCode="General">
                  <c:v>1541.7746</c:v>
                </c:pt>
                <c:pt idx="16" formatCode="General">
                  <c:v>27.150846999999999</c:v>
                </c:pt>
                <c:pt idx="20" formatCode="General">
                  <c:v>3301.4387999999999</c:v>
                </c:pt>
                <c:pt idx="24" formatCode="General">
                  <c:v>2938.3813300000002</c:v>
                </c:pt>
                <c:pt idx="28" formatCode="General">
                  <c:v>3755.1547</c:v>
                </c:pt>
                <c:pt idx="32" formatCode="General">
                  <c:v>2929.68363</c:v>
                </c:pt>
                <c:pt idx="36" formatCode="General">
                  <c:v>2564.2404799999999</c:v>
                </c:pt>
                <c:pt idx="40" formatCode="General">
                  <c:v>4517.1150100000004</c:v>
                </c:pt>
                <c:pt idx="44" formatCode="General">
                  <c:v>5708.5736999999999</c:v>
                </c:pt>
                <c:pt idx="48" formatCode="General">
                  <c:v>4594.4300599999997</c:v>
                </c:pt>
                <c:pt idx="52" formatCode="General">
                  <c:v>5202.6268700000001</c:v>
                </c:pt>
                <c:pt idx="56" formatCode="General">
                  <c:v>6177.3398999999999</c:v>
                </c:pt>
              </c:numCache>
            </c:numRef>
          </c:xVal>
          <c:yVal>
            <c:numRef>
              <c:f>encVangle!$N$443:$N$499</c:f>
              <c:numCache>
                <c:formatCode>General</c:formatCode>
                <c:ptCount val="57"/>
                <c:pt idx="0" formatCode="0.00000">
                  <c:v>65.813345803322008</c:v>
                </c:pt>
                <c:pt idx="4" formatCode="0.00000">
                  <c:v>65.808583782398642</c:v>
                </c:pt>
                <c:pt idx="8" formatCode="0.00000">
                  <c:v>65.815045052676311</c:v>
                </c:pt>
                <c:pt idx="12" formatCode="0.00000">
                  <c:v>65.814416879653876</c:v>
                </c:pt>
                <c:pt idx="16" formatCode="0.00000">
                  <c:v>65.809939261535021</c:v>
                </c:pt>
                <c:pt idx="20" formatCode="0.00000">
                  <c:v>65.812811440685877</c:v>
                </c:pt>
                <c:pt idx="24" formatCode="0.00000">
                  <c:v>65.81431034715628</c:v>
                </c:pt>
                <c:pt idx="28" formatCode="0.00000">
                  <c:v>65.813814960058195</c:v>
                </c:pt>
                <c:pt idx="32" formatCode="0.00000">
                  <c:v>65.814719293958078</c:v>
                </c:pt>
                <c:pt idx="36" formatCode="0.00000">
                  <c:v>65.812734148259196</c:v>
                </c:pt>
                <c:pt idx="40" formatCode="0.00000">
                  <c:v>65.813883641090825</c:v>
                </c:pt>
                <c:pt idx="44" formatCode="0.00000">
                  <c:v>65.813574078058551</c:v>
                </c:pt>
                <c:pt idx="48" formatCode="0.00000">
                  <c:v>65.813462193347803</c:v>
                </c:pt>
                <c:pt idx="52" formatCode="0.00000">
                  <c:v>65.812302470797562</c:v>
                </c:pt>
                <c:pt idx="56" formatCode="0.00000">
                  <c:v>65.812355551864073</c:v>
                </c:pt>
              </c:numCache>
            </c:numRef>
          </c:yVal>
          <c:smooth val="0"/>
          <c:extLst>
            <c:ext xmlns:c16="http://schemas.microsoft.com/office/drawing/2014/chart" uri="{C3380CC4-5D6E-409C-BE32-E72D297353CC}">
              <c16:uniqueId val="{00000002-ED98-D64C-9C38-A5E28B6DFF78}"/>
            </c:ext>
          </c:extLst>
        </c:ser>
        <c:dLbls>
          <c:showLegendKey val="0"/>
          <c:showVal val="0"/>
          <c:showCatName val="0"/>
          <c:showSerName val="0"/>
          <c:showPercent val="0"/>
          <c:showBubbleSize val="0"/>
        </c:dLbls>
        <c:axId val="553684992"/>
        <c:axId val="553686672"/>
      </c:scatterChart>
      <c:valAx>
        <c:axId val="553684992"/>
        <c:scaling>
          <c:orientation val="minMax"/>
          <c:max val="6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6672"/>
        <c:crosses val="autoZero"/>
        <c:crossBetween val="midCat"/>
      </c:valAx>
      <c:valAx>
        <c:axId val="55368667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4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0"/>
          <c:spPr>
            <a:ln w="28575" cap="rnd">
              <a:noFill/>
              <a:round/>
            </a:ln>
            <a:effectLst/>
          </c:spPr>
          <c:marker>
            <c:symbol val="circle"/>
            <c:size val="5"/>
            <c:spPr>
              <a:solidFill>
                <a:schemeClr val="accent4"/>
              </a:solidFill>
              <a:ln w="9525">
                <a:solidFill>
                  <a:schemeClr val="accent4"/>
                </a:solidFill>
              </a:ln>
              <a:effectLst/>
            </c:spPr>
          </c:marker>
          <c:xVal>
            <c:numRef>
              <c:f>encVangle!$J$443:$J$499</c:f>
              <c:numCache>
                <c:formatCode>General</c:formatCode>
                <c:ptCount val="57"/>
                <c:pt idx="0">
                  <c:v>1220.78757</c:v>
                </c:pt>
                <c:pt idx="4">
                  <c:v>1126.07899</c:v>
                </c:pt>
                <c:pt idx="8">
                  <c:v>1278.60301</c:v>
                </c:pt>
                <c:pt idx="12">
                  <c:v>1312.3699300000001</c:v>
                </c:pt>
                <c:pt idx="16">
                  <c:v>1146.06178</c:v>
                </c:pt>
                <c:pt idx="20">
                  <c:v>1182.26124</c:v>
                </c:pt>
                <c:pt idx="24">
                  <c:v>1288.2267999999999</c:v>
                </c:pt>
                <c:pt idx="28">
                  <c:v>1321.4261200000001</c:v>
                </c:pt>
                <c:pt idx="32">
                  <c:v>1318.1016</c:v>
                </c:pt>
                <c:pt idx="36">
                  <c:v>1179.5654300000001</c:v>
                </c:pt>
                <c:pt idx="40">
                  <c:v>1324.4277199999999</c:v>
                </c:pt>
                <c:pt idx="44">
                  <c:v>1298.8845100000001</c:v>
                </c:pt>
                <c:pt idx="48">
                  <c:v>1212.1114399999999</c:v>
                </c:pt>
                <c:pt idx="52">
                  <c:v>1119.0169699999999</c:v>
                </c:pt>
                <c:pt idx="56">
                  <c:v>1330.7986800000001</c:v>
                </c:pt>
              </c:numCache>
            </c:numRef>
          </c:xVal>
          <c:yVal>
            <c:numRef>
              <c:f>encVangle!$N$443:$N$499</c:f>
              <c:numCache>
                <c:formatCode>General</c:formatCode>
                <c:ptCount val="57"/>
                <c:pt idx="0" formatCode="0.00000">
                  <c:v>65.813345803322008</c:v>
                </c:pt>
                <c:pt idx="4" formatCode="0.00000">
                  <c:v>65.808583782398642</c:v>
                </c:pt>
                <c:pt idx="8" formatCode="0.00000">
                  <c:v>65.815045052676311</c:v>
                </c:pt>
                <c:pt idx="12" formatCode="0.00000">
                  <c:v>65.814416879653876</c:v>
                </c:pt>
                <c:pt idx="16" formatCode="0.00000">
                  <c:v>65.809939261535021</c:v>
                </c:pt>
                <c:pt idx="20" formatCode="0.00000">
                  <c:v>65.812811440685877</c:v>
                </c:pt>
                <c:pt idx="24" formatCode="0.00000">
                  <c:v>65.81431034715628</c:v>
                </c:pt>
                <c:pt idx="28" formatCode="0.00000">
                  <c:v>65.813814960058195</c:v>
                </c:pt>
                <c:pt idx="32" formatCode="0.00000">
                  <c:v>65.814719293958078</c:v>
                </c:pt>
                <c:pt idx="36" formatCode="0.00000">
                  <c:v>65.812734148259196</c:v>
                </c:pt>
                <c:pt idx="40" formatCode="0.00000">
                  <c:v>65.813883641090825</c:v>
                </c:pt>
                <c:pt idx="44" formatCode="0.00000">
                  <c:v>65.813574078058551</c:v>
                </c:pt>
                <c:pt idx="48" formatCode="0.00000">
                  <c:v>65.813462193347803</c:v>
                </c:pt>
                <c:pt idx="52" formatCode="0.00000">
                  <c:v>65.812302470797562</c:v>
                </c:pt>
                <c:pt idx="56" formatCode="0.00000">
                  <c:v>65.812355551864073</c:v>
                </c:pt>
              </c:numCache>
            </c:numRef>
          </c:yVal>
          <c:smooth val="0"/>
          <c:extLst>
            <c:ext xmlns:c16="http://schemas.microsoft.com/office/drawing/2014/chart" uri="{C3380CC4-5D6E-409C-BE32-E72D297353CC}">
              <c16:uniqueId val="{00000000-32F8-8144-9D40-94A16BF88F49}"/>
            </c:ext>
          </c:extLst>
        </c:ser>
        <c:dLbls>
          <c:showLegendKey val="0"/>
          <c:showVal val="0"/>
          <c:showCatName val="0"/>
          <c:showSerName val="0"/>
          <c:showPercent val="0"/>
          <c:showBubbleSize val="0"/>
        </c:dLbls>
        <c:axId val="534454000"/>
        <c:axId val="534540544"/>
      </c:scatterChart>
      <c:valAx>
        <c:axId val="53445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40544"/>
        <c:crosses val="autoZero"/>
        <c:crossBetween val="midCat"/>
      </c:valAx>
      <c:valAx>
        <c:axId val="53454054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54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encVangle!$L$443:$L$499</c:f>
              <c:numCache>
                <c:formatCode>General</c:formatCode>
                <c:ptCount val="57"/>
                <c:pt idx="0" formatCode="0.000000">
                  <c:v>1057</c:v>
                </c:pt>
                <c:pt idx="4" formatCode="0.000000">
                  <c:v>1874</c:v>
                </c:pt>
                <c:pt idx="8" formatCode="0.000000">
                  <c:v>580</c:v>
                </c:pt>
                <c:pt idx="12" formatCode="0.000000">
                  <c:v>314</c:v>
                </c:pt>
                <c:pt idx="16" formatCode="0.000000">
                  <c:v>1686</c:v>
                </c:pt>
                <c:pt idx="20" formatCode="0.000000">
                  <c:v>1462</c:v>
                </c:pt>
                <c:pt idx="24" formatCode="0.000000">
                  <c:v>555</c:v>
                </c:pt>
                <c:pt idx="28" formatCode="0.000000">
                  <c:v>291</c:v>
                </c:pt>
                <c:pt idx="32" formatCode="0.000000">
                  <c:v>299</c:v>
                </c:pt>
                <c:pt idx="36" formatCode="0.000000">
                  <c:v>1466</c:v>
                </c:pt>
                <c:pt idx="40" formatCode="0.000000">
                  <c:v>283</c:v>
                </c:pt>
                <c:pt idx="44" formatCode="0.000000">
                  <c:v>529</c:v>
                </c:pt>
                <c:pt idx="48" formatCode="0.000000">
                  <c:v>1242</c:v>
                </c:pt>
                <c:pt idx="52" formatCode="0.000000">
                  <c:v>2039</c:v>
                </c:pt>
                <c:pt idx="56" formatCode="0.000000">
                  <c:v>264</c:v>
                </c:pt>
              </c:numCache>
            </c:numRef>
          </c:xVal>
          <c:yVal>
            <c:numRef>
              <c:f>encVangle!$N$443:$N$499</c:f>
              <c:numCache>
                <c:formatCode>General</c:formatCode>
                <c:ptCount val="57"/>
                <c:pt idx="0" formatCode="0.00000">
                  <c:v>65.813345803322008</c:v>
                </c:pt>
                <c:pt idx="4" formatCode="0.00000">
                  <c:v>65.808583782398642</c:v>
                </c:pt>
                <c:pt idx="8" formatCode="0.00000">
                  <c:v>65.815045052676311</c:v>
                </c:pt>
                <c:pt idx="12" formatCode="0.00000">
                  <c:v>65.814416879653876</c:v>
                </c:pt>
                <c:pt idx="16" formatCode="0.00000">
                  <c:v>65.809939261535021</c:v>
                </c:pt>
                <c:pt idx="20" formatCode="0.00000">
                  <c:v>65.812811440685877</c:v>
                </c:pt>
                <c:pt idx="24" formatCode="0.00000">
                  <c:v>65.81431034715628</c:v>
                </c:pt>
                <c:pt idx="28" formatCode="0.00000">
                  <c:v>65.813814960058195</c:v>
                </c:pt>
                <c:pt idx="32" formatCode="0.00000">
                  <c:v>65.814719293958078</c:v>
                </c:pt>
                <c:pt idx="36" formatCode="0.00000">
                  <c:v>65.812734148259196</c:v>
                </c:pt>
                <c:pt idx="40" formatCode="0.00000">
                  <c:v>65.813883641090825</c:v>
                </c:pt>
                <c:pt idx="44" formatCode="0.00000">
                  <c:v>65.813574078058551</c:v>
                </c:pt>
                <c:pt idx="48" formatCode="0.00000">
                  <c:v>65.813462193347803</c:v>
                </c:pt>
                <c:pt idx="52" formatCode="0.00000">
                  <c:v>65.812302470797562</c:v>
                </c:pt>
                <c:pt idx="56" formatCode="0.00000">
                  <c:v>65.812355551864073</c:v>
                </c:pt>
              </c:numCache>
            </c:numRef>
          </c:yVal>
          <c:smooth val="0"/>
          <c:extLst>
            <c:ext xmlns:c16="http://schemas.microsoft.com/office/drawing/2014/chart" uri="{C3380CC4-5D6E-409C-BE32-E72D297353CC}">
              <c16:uniqueId val="{00000003-7EBB-8A47-9C2E-129A56DB1DB7}"/>
            </c:ext>
          </c:extLst>
        </c:ser>
        <c:dLbls>
          <c:showLegendKey val="0"/>
          <c:showVal val="0"/>
          <c:showCatName val="0"/>
          <c:showSerName val="0"/>
          <c:showPercent val="0"/>
          <c:showBubbleSize val="0"/>
        </c:dLbls>
        <c:axId val="947647840"/>
        <c:axId val="553664576"/>
      </c:scatterChart>
      <c:valAx>
        <c:axId val="947647840"/>
        <c:scaling>
          <c:orientation val="minMax"/>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64576"/>
        <c:crosses val="autoZero"/>
        <c:crossBetween val="midCat"/>
      </c:valAx>
      <c:valAx>
        <c:axId val="55366457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647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encVangle!$K$551:$K$599</c:f>
              <c:numCache>
                <c:formatCode>0.000000</c:formatCode>
                <c:ptCount val="49"/>
                <c:pt idx="0" formatCode="General">
                  <c:v>438.16460999999998</c:v>
                </c:pt>
                <c:pt idx="4" formatCode="General">
                  <c:v>238.11054999999999</c:v>
                </c:pt>
                <c:pt idx="8" formatCode="General">
                  <c:v>1002.7735</c:v>
                </c:pt>
                <c:pt idx="12" formatCode="General">
                  <c:v>1044.5891999999999</c:v>
                </c:pt>
                <c:pt idx="16" formatCode="General">
                  <c:v>1206.8833</c:v>
                </c:pt>
                <c:pt idx="20" formatCode="General">
                  <c:v>2526.3824300000001</c:v>
                </c:pt>
                <c:pt idx="24" formatCode="General">
                  <c:v>2486.1374000000001</c:v>
                </c:pt>
                <c:pt idx="28" formatCode="General">
                  <c:v>3367.5730000000003</c:v>
                </c:pt>
                <c:pt idx="32" formatCode="General">
                  <c:v>4975.28683</c:v>
                </c:pt>
                <c:pt idx="36" formatCode="General">
                  <c:v>6086.1167000000005</c:v>
                </c:pt>
                <c:pt idx="40" formatCode="General">
                  <c:v>5450.4980999999998</c:v>
                </c:pt>
                <c:pt idx="44" formatCode="General">
                  <c:v>6317.7933000000003</c:v>
                </c:pt>
                <c:pt idx="48" formatCode="General">
                  <c:v>5438.9926999999998</c:v>
                </c:pt>
              </c:numCache>
            </c:numRef>
          </c:xVal>
          <c:yVal>
            <c:numRef>
              <c:f>encVangle!$N$551:$N$599</c:f>
              <c:numCache>
                <c:formatCode>General</c:formatCode>
                <c:ptCount val="49"/>
                <c:pt idx="0" formatCode="0.00000">
                  <c:v>65.73492195351551</c:v>
                </c:pt>
                <c:pt idx="4" formatCode="0.00000">
                  <c:v>65.737883401916861</c:v>
                </c:pt>
                <c:pt idx="8" formatCode="0.00000">
                  <c:v>65.734203826342792</c:v>
                </c:pt>
                <c:pt idx="12" formatCode="0.00000">
                  <c:v>65.733493566326999</c:v>
                </c:pt>
                <c:pt idx="16" formatCode="0.00000">
                  <c:v>65.737458511615287</c:v>
                </c:pt>
                <c:pt idx="20" formatCode="0.00000">
                  <c:v>65.737147566901484</c:v>
                </c:pt>
                <c:pt idx="24" formatCode="0.00000">
                  <c:v>65.738623276285807</c:v>
                </c:pt>
                <c:pt idx="28" formatCode="0.00000">
                  <c:v>65.738083988407212</c:v>
                </c:pt>
                <c:pt idx="32" formatCode="0.00000">
                  <c:v>65.738355635011629</c:v>
                </c:pt>
                <c:pt idx="36" formatCode="0.00000">
                  <c:v>65.739590175460236</c:v>
                </c:pt>
                <c:pt idx="40" formatCode="0.00000">
                  <c:v>65.737499627968077</c:v>
                </c:pt>
                <c:pt idx="44" formatCode="0.00000">
                  <c:v>65.738234839421139</c:v>
                </c:pt>
                <c:pt idx="48" formatCode="0.00000">
                  <c:v>65.738548467027115</c:v>
                </c:pt>
              </c:numCache>
            </c:numRef>
          </c:yVal>
          <c:smooth val="0"/>
          <c:extLst>
            <c:ext xmlns:c16="http://schemas.microsoft.com/office/drawing/2014/chart" uri="{C3380CC4-5D6E-409C-BE32-E72D297353CC}">
              <c16:uniqueId val="{00000000-123A-184E-B96B-2A58E80BE1FB}"/>
            </c:ext>
          </c:extLst>
        </c:ser>
        <c:dLbls>
          <c:showLegendKey val="0"/>
          <c:showVal val="0"/>
          <c:showCatName val="0"/>
          <c:showSerName val="0"/>
          <c:showPercent val="0"/>
          <c:showBubbleSize val="0"/>
        </c:dLbls>
        <c:axId val="553684992"/>
        <c:axId val="553686672"/>
      </c:scatterChart>
      <c:valAx>
        <c:axId val="553684992"/>
        <c:scaling>
          <c:orientation val="minMax"/>
          <c:max val="6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6672"/>
        <c:crosses val="autoZero"/>
        <c:crossBetween val="midCat"/>
      </c:valAx>
      <c:valAx>
        <c:axId val="55368667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4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encVangle!$K$48:$K$100</c:f>
              <c:numCache>
                <c:formatCode>0.000000</c:formatCode>
                <c:ptCount val="53"/>
                <c:pt idx="0" formatCode="General">
                  <c:v>4309.5758999999998</c:v>
                </c:pt>
                <c:pt idx="4" formatCode="General">
                  <c:v>5429.3305</c:v>
                </c:pt>
                <c:pt idx="8" formatCode="General">
                  <c:v>1043.3361</c:v>
                </c:pt>
                <c:pt idx="12" formatCode="General">
                  <c:v>4139.4003000000002</c:v>
                </c:pt>
                <c:pt idx="16" formatCode="General">
                  <c:v>2452.636</c:v>
                </c:pt>
                <c:pt idx="20" formatCode="General">
                  <c:v>1026.3076000000001</c:v>
                </c:pt>
                <c:pt idx="24" formatCode="General">
                  <c:v>4419.0956999999999</c:v>
                </c:pt>
                <c:pt idx="28" formatCode="General">
                  <c:v>3464.2991000000002</c:v>
                </c:pt>
                <c:pt idx="32" formatCode="General">
                  <c:v>2390.7636000000002</c:v>
                </c:pt>
                <c:pt idx="36" formatCode="General">
                  <c:v>2755.212</c:v>
                </c:pt>
                <c:pt idx="40" formatCode="General">
                  <c:v>4897.1514999999999</c:v>
                </c:pt>
                <c:pt idx="44" formatCode="General">
                  <c:v>4145.5272000000004</c:v>
                </c:pt>
                <c:pt idx="48" formatCode="General">
                  <c:v>5717.5641999999998</c:v>
                </c:pt>
                <c:pt idx="52" formatCode="General">
                  <c:v>4839.7943999999998</c:v>
                </c:pt>
              </c:numCache>
            </c:numRef>
          </c:xVal>
          <c:yVal>
            <c:numRef>
              <c:f>encVangle!$N$48:$N$100</c:f>
              <c:numCache>
                <c:formatCode>General</c:formatCode>
                <c:ptCount val="53"/>
                <c:pt idx="0" formatCode="0.00000">
                  <c:v>64.64151942236893</c:v>
                </c:pt>
                <c:pt idx="4" formatCode="0.00000">
                  <c:v>64.641716465705997</c:v>
                </c:pt>
                <c:pt idx="8" formatCode="0.00000">
                  <c:v>64.639783922724121</c:v>
                </c:pt>
                <c:pt idx="12" formatCode="0.00000">
                  <c:v>64.641578893425475</c:v>
                </c:pt>
                <c:pt idx="16" formatCode="0.00000">
                  <c:v>64.641889618882772</c:v>
                </c:pt>
                <c:pt idx="20" formatCode="0.00000">
                  <c:v>64.642246472532378</c:v>
                </c:pt>
                <c:pt idx="24" formatCode="0.00000">
                  <c:v>64.640132841188787</c:v>
                </c:pt>
                <c:pt idx="28" formatCode="0.00000">
                  <c:v>64.641427656245213</c:v>
                </c:pt>
                <c:pt idx="32" formatCode="0.00000">
                  <c:v>64.642302854473769</c:v>
                </c:pt>
                <c:pt idx="36" formatCode="0.00000">
                  <c:v>64.641363730122777</c:v>
                </c:pt>
                <c:pt idx="40" formatCode="0.00000">
                  <c:v>64.641855994786155</c:v>
                </c:pt>
                <c:pt idx="44" formatCode="0.00000">
                  <c:v>64.641456574645645</c:v>
                </c:pt>
                <c:pt idx="48" formatCode="0.00000">
                  <c:v>64.641256246420596</c:v>
                </c:pt>
                <c:pt idx="52" formatCode="0.00000">
                  <c:v>64.639833123688291</c:v>
                </c:pt>
              </c:numCache>
            </c:numRef>
          </c:yVal>
          <c:smooth val="0"/>
          <c:extLst>
            <c:ext xmlns:c16="http://schemas.microsoft.com/office/drawing/2014/chart" uri="{C3380CC4-5D6E-409C-BE32-E72D297353CC}">
              <c16:uniqueId val="{00000000-5837-CF49-99C5-32EEA1417A9A}"/>
            </c:ext>
          </c:extLst>
        </c:ser>
        <c:dLbls>
          <c:showLegendKey val="0"/>
          <c:showVal val="0"/>
          <c:showCatName val="0"/>
          <c:showSerName val="0"/>
          <c:showPercent val="0"/>
          <c:showBubbleSize val="0"/>
        </c:dLbls>
        <c:axId val="553684992"/>
        <c:axId val="553686672"/>
      </c:scatterChart>
      <c:valAx>
        <c:axId val="553684992"/>
        <c:scaling>
          <c:orientation val="minMax"/>
          <c:max val="6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6672"/>
        <c:crosses val="autoZero"/>
        <c:crossBetween val="midCat"/>
      </c:valAx>
      <c:valAx>
        <c:axId val="553686672"/>
        <c:scaling>
          <c:orientation val="minMax"/>
          <c:max val="64.650000000000873"/>
          <c:min val="64.630000000000081"/>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4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0"/>
          <c:spPr>
            <a:ln w="28575" cap="rnd">
              <a:noFill/>
              <a:round/>
            </a:ln>
            <a:effectLst/>
          </c:spPr>
          <c:marker>
            <c:symbol val="circle"/>
            <c:size val="5"/>
            <c:spPr>
              <a:solidFill>
                <a:schemeClr val="accent4"/>
              </a:solidFill>
              <a:ln w="9525">
                <a:solidFill>
                  <a:schemeClr val="accent4"/>
                </a:solidFill>
              </a:ln>
              <a:effectLst/>
            </c:spPr>
          </c:marker>
          <c:xVal>
            <c:numRef>
              <c:f>encVangle!$L$551:$L$599</c:f>
              <c:numCache>
                <c:formatCode>General</c:formatCode>
                <c:ptCount val="49"/>
                <c:pt idx="0" formatCode="0.000000">
                  <c:v>1599</c:v>
                </c:pt>
                <c:pt idx="4" formatCode="0.000000">
                  <c:v>758</c:v>
                </c:pt>
                <c:pt idx="8" formatCode="0.000000">
                  <c:v>1785</c:v>
                </c:pt>
                <c:pt idx="12" formatCode="0.000000">
                  <c:v>1970</c:v>
                </c:pt>
                <c:pt idx="16" formatCode="0.000000">
                  <c:v>744</c:v>
                </c:pt>
                <c:pt idx="20" formatCode="0.000000">
                  <c:v>1768</c:v>
                </c:pt>
                <c:pt idx="24" formatCode="0.000000">
                  <c:v>490</c:v>
                </c:pt>
                <c:pt idx="28" formatCode="0.000000">
                  <c:v>714</c:v>
                </c:pt>
                <c:pt idx="32" formatCode="0.000000">
                  <c:v>1139</c:v>
                </c:pt>
                <c:pt idx="36" formatCode="0.000000">
                  <c:v>1735</c:v>
                </c:pt>
                <c:pt idx="40" formatCode="0.000000">
                  <c:v>199</c:v>
                </c:pt>
                <c:pt idx="44" formatCode="0.000000">
                  <c:v>904</c:v>
                </c:pt>
                <c:pt idx="48" formatCode="0.000000">
                  <c:v>1133</c:v>
                </c:pt>
              </c:numCache>
            </c:numRef>
          </c:xVal>
          <c:yVal>
            <c:numRef>
              <c:f>encVangle!$N$551:$N$599</c:f>
              <c:numCache>
                <c:formatCode>General</c:formatCode>
                <c:ptCount val="49"/>
                <c:pt idx="0" formatCode="0.00000">
                  <c:v>65.73492195351551</c:v>
                </c:pt>
                <c:pt idx="4" formatCode="0.00000">
                  <c:v>65.737883401916861</c:v>
                </c:pt>
                <c:pt idx="8" formatCode="0.00000">
                  <c:v>65.734203826342792</c:v>
                </c:pt>
                <c:pt idx="12" formatCode="0.00000">
                  <c:v>65.733493566326999</c:v>
                </c:pt>
                <c:pt idx="16" formatCode="0.00000">
                  <c:v>65.737458511615287</c:v>
                </c:pt>
                <c:pt idx="20" formatCode="0.00000">
                  <c:v>65.737147566901484</c:v>
                </c:pt>
                <c:pt idx="24" formatCode="0.00000">
                  <c:v>65.738623276285807</c:v>
                </c:pt>
                <c:pt idx="28" formatCode="0.00000">
                  <c:v>65.738083988407212</c:v>
                </c:pt>
                <c:pt idx="32" formatCode="0.00000">
                  <c:v>65.738355635011629</c:v>
                </c:pt>
                <c:pt idx="36" formatCode="0.00000">
                  <c:v>65.739590175460236</c:v>
                </c:pt>
                <c:pt idx="40" formatCode="0.00000">
                  <c:v>65.737499627968077</c:v>
                </c:pt>
                <c:pt idx="44" formatCode="0.00000">
                  <c:v>65.738234839421139</c:v>
                </c:pt>
                <c:pt idx="48" formatCode="0.00000">
                  <c:v>65.738548467027115</c:v>
                </c:pt>
              </c:numCache>
            </c:numRef>
          </c:yVal>
          <c:smooth val="0"/>
          <c:extLst>
            <c:ext xmlns:c16="http://schemas.microsoft.com/office/drawing/2014/chart" uri="{C3380CC4-5D6E-409C-BE32-E72D297353CC}">
              <c16:uniqueId val="{00000000-22A8-274D-A8B7-49A718F61CA3}"/>
            </c:ext>
          </c:extLst>
        </c:ser>
        <c:dLbls>
          <c:showLegendKey val="0"/>
          <c:showVal val="0"/>
          <c:showCatName val="0"/>
          <c:showSerName val="0"/>
          <c:showPercent val="0"/>
          <c:showBubbleSize val="0"/>
        </c:dLbls>
        <c:axId val="534454000"/>
        <c:axId val="534540544"/>
      </c:scatterChart>
      <c:valAx>
        <c:axId val="534454000"/>
        <c:scaling>
          <c:orientation val="minMax"/>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40544"/>
        <c:crosses val="autoZero"/>
        <c:crossBetween val="midCat"/>
      </c:valAx>
      <c:valAx>
        <c:axId val="53454054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54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xVal>
            <c:numRef>
              <c:f>encVangle!$L$48:$L$100</c:f>
              <c:numCache>
                <c:formatCode>General</c:formatCode>
                <c:ptCount val="53"/>
                <c:pt idx="0" formatCode="0.000000">
                  <c:v>1923</c:v>
                </c:pt>
                <c:pt idx="4" formatCode="0.000000">
                  <c:v>1460</c:v>
                </c:pt>
                <c:pt idx="8" formatCode="0.000000">
                  <c:v>1907</c:v>
                </c:pt>
                <c:pt idx="12" formatCode="0.000000">
                  <c:v>1922</c:v>
                </c:pt>
                <c:pt idx="16" formatCode="0.000000">
                  <c:v>1449</c:v>
                </c:pt>
                <c:pt idx="20" formatCode="0.000000">
                  <c:v>912</c:v>
                </c:pt>
                <c:pt idx="24" formatCode="0.000000">
                  <c:v>281</c:v>
                </c:pt>
                <c:pt idx="28" formatCode="0.000000">
                  <c:v>612</c:v>
                </c:pt>
                <c:pt idx="32" formatCode="0.000000">
                  <c:v>282</c:v>
                </c:pt>
                <c:pt idx="36" formatCode="0.000000">
                  <c:v>1914</c:v>
                </c:pt>
                <c:pt idx="40" formatCode="0.000000">
                  <c:v>1198</c:v>
                </c:pt>
                <c:pt idx="44" formatCode="0.000000">
                  <c:v>1196</c:v>
                </c:pt>
                <c:pt idx="48" formatCode="0.000000">
                  <c:v>1200</c:v>
                </c:pt>
                <c:pt idx="52" formatCode="0.000000">
                  <c:v>280</c:v>
                </c:pt>
              </c:numCache>
            </c:numRef>
          </c:xVal>
          <c:yVal>
            <c:numRef>
              <c:f>encVangle!$N$48:$N$100</c:f>
              <c:numCache>
                <c:formatCode>General</c:formatCode>
                <c:ptCount val="53"/>
                <c:pt idx="0" formatCode="0.00000">
                  <c:v>64.64151942236893</c:v>
                </c:pt>
                <c:pt idx="4" formatCode="0.00000">
                  <c:v>64.641716465705997</c:v>
                </c:pt>
                <c:pt idx="8" formatCode="0.00000">
                  <c:v>64.639783922724121</c:v>
                </c:pt>
                <c:pt idx="12" formatCode="0.00000">
                  <c:v>64.641578893425475</c:v>
                </c:pt>
                <c:pt idx="16" formatCode="0.00000">
                  <c:v>64.641889618882772</c:v>
                </c:pt>
                <c:pt idx="20" formatCode="0.00000">
                  <c:v>64.642246472532378</c:v>
                </c:pt>
                <c:pt idx="24" formatCode="0.00000">
                  <c:v>64.640132841188787</c:v>
                </c:pt>
                <c:pt idx="28" formatCode="0.00000">
                  <c:v>64.641427656245213</c:v>
                </c:pt>
                <c:pt idx="32" formatCode="0.00000">
                  <c:v>64.642302854473769</c:v>
                </c:pt>
                <c:pt idx="36" formatCode="0.00000">
                  <c:v>64.641363730122777</c:v>
                </c:pt>
                <c:pt idx="40" formatCode="0.00000">
                  <c:v>64.641855994786155</c:v>
                </c:pt>
                <c:pt idx="44" formatCode="0.00000">
                  <c:v>64.641456574645645</c:v>
                </c:pt>
                <c:pt idx="48" formatCode="0.00000">
                  <c:v>64.641256246420596</c:v>
                </c:pt>
                <c:pt idx="52" formatCode="0.00000">
                  <c:v>64.639833123688291</c:v>
                </c:pt>
              </c:numCache>
            </c:numRef>
          </c:yVal>
          <c:smooth val="0"/>
          <c:extLst>
            <c:ext xmlns:c16="http://schemas.microsoft.com/office/drawing/2014/chart" uri="{C3380CC4-5D6E-409C-BE32-E72D297353CC}">
              <c16:uniqueId val="{00000000-A951-B541-A7A9-D932CE80C658}"/>
            </c:ext>
          </c:extLst>
        </c:ser>
        <c:dLbls>
          <c:showLegendKey val="0"/>
          <c:showVal val="0"/>
          <c:showCatName val="0"/>
          <c:showSerName val="0"/>
          <c:showPercent val="0"/>
          <c:showBubbleSize val="0"/>
        </c:dLbls>
        <c:axId val="947647840"/>
        <c:axId val="553664576"/>
      </c:scatterChart>
      <c:valAx>
        <c:axId val="947647840"/>
        <c:scaling>
          <c:orientation val="minMax"/>
          <c:max val="2000"/>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64576"/>
        <c:crosses val="autoZero"/>
        <c:crossBetween val="midCat"/>
        <c:majorUnit val="400"/>
      </c:valAx>
      <c:valAx>
        <c:axId val="553664576"/>
        <c:scaling>
          <c:orientation val="minMax"/>
          <c:max val="64.649999999999991"/>
          <c:min val="64.63"/>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647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0"/>
          <c:spPr>
            <a:ln w="28575" cap="rnd">
              <a:noFill/>
              <a:round/>
            </a:ln>
            <a:effectLst/>
          </c:spPr>
          <c:marker>
            <c:symbol val="circle"/>
            <c:size val="5"/>
            <c:spPr>
              <a:solidFill>
                <a:schemeClr val="accent4"/>
              </a:solidFill>
              <a:ln w="9525">
                <a:solidFill>
                  <a:schemeClr val="accent4"/>
                </a:solidFill>
              </a:ln>
              <a:effectLst/>
            </c:spPr>
          </c:marker>
          <c:xVal>
            <c:numRef>
              <c:f>encVangle!$J$173:$J$193</c:f>
              <c:numCache>
                <c:formatCode>General</c:formatCode>
                <c:ptCount val="21"/>
                <c:pt idx="2">
                  <c:v>2249.1909900000001</c:v>
                </c:pt>
                <c:pt idx="6">
                  <c:v>2021.5403200000001</c:v>
                </c:pt>
                <c:pt idx="10">
                  <c:v>2190.8505399999999</c:v>
                </c:pt>
                <c:pt idx="14">
                  <c:v>2477.5359800000001</c:v>
                </c:pt>
                <c:pt idx="18">
                  <c:v>2117.1263399999998</c:v>
                </c:pt>
              </c:numCache>
            </c:numRef>
          </c:xVal>
          <c:yVal>
            <c:numRef>
              <c:f>encVangle!$N$173:$N$193</c:f>
              <c:numCache>
                <c:formatCode>General</c:formatCode>
                <c:ptCount val="21"/>
                <c:pt idx="2" formatCode="0.00000">
                  <c:v>65.608975524629372</c:v>
                </c:pt>
                <c:pt idx="6" formatCode="0.00000">
                  <c:v>65.607977744248714</c:v>
                </c:pt>
                <c:pt idx="10" formatCode="0.00000">
                  <c:v>65.609047894615159</c:v>
                </c:pt>
                <c:pt idx="14" formatCode="0.00000">
                  <c:v>65.607168303832921</c:v>
                </c:pt>
                <c:pt idx="18" formatCode="0.00000">
                  <c:v>65.609072833698875</c:v>
                </c:pt>
              </c:numCache>
            </c:numRef>
          </c:yVal>
          <c:smooth val="0"/>
          <c:extLst>
            <c:ext xmlns:c16="http://schemas.microsoft.com/office/drawing/2014/chart" uri="{C3380CC4-5D6E-409C-BE32-E72D297353CC}">
              <c16:uniqueId val="{00000000-66D1-2B4C-9EDF-74C4AB875BE1}"/>
            </c:ext>
          </c:extLst>
        </c:ser>
        <c:dLbls>
          <c:showLegendKey val="0"/>
          <c:showVal val="0"/>
          <c:showCatName val="0"/>
          <c:showSerName val="0"/>
          <c:showPercent val="0"/>
          <c:showBubbleSize val="0"/>
        </c:dLbls>
        <c:axId val="534454000"/>
        <c:axId val="534540544"/>
      </c:scatterChart>
      <c:valAx>
        <c:axId val="534454000"/>
        <c:scaling>
          <c:orientation val="minMax"/>
          <c:min val="18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40544"/>
        <c:crosses val="autoZero"/>
        <c:crossBetween val="midCat"/>
      </c:valAx>
      <c:valAx>
        <c:axId val="534540544"/>
        <c:scaling>
          <c:orientation val="minMax"/>
          <c:max val="64.649999999999991"/>
          <c:min val="64.6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54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encVangle!$N$12:$N$152</c:f>
              <c:numCache>
                <c:formatCode>General</c:formatCode>
                <c:ptCount val="141"/>
                <c:pt idx="0" formatCode="0.00000">
                  <c:v>65.610227936163355</c:v>
                </c:pt>
                <c:pt idx="4" formatCode="0.00000">
                  <c:v>66.068156583753165</c:v>
                </c:pt>
                <c:pt idx="8" formatCode="0.00000">
                  <c:v>66.546781420622054</c:v>
                </c:pt>
                <c:pt idx="12" formatCode="0.00000">
                  <c:v>67.021861575556244</c:v>
                </c:pt>
                <c:pt idx="16" formatCode="0.00000">
                  <c:v>66.545308463259587</c:v>
                </c:pt>
                <c:pt idx="20" formatCode="0.00000">
                  <c:v>66.066744753172244</c:v>
                </c:pt>
                <c:pt idx="24" formatCode="0.00000">
                  <c:v>65.594268143746405</c:v>
                </c:pt>
                <c:pt idx="28" formatCode="0.00000">
                  <c:v>65.115739964993224</c:v>
                </c:pt>
                <c:pt idx="32" formatCode="0.00000">
                  <c:v>65.115379255372346</c:v>
                </c:pt>
                <c:pt idx="36" formatCode="0.00000">
                  <c:v>64.64151942236893</c:v>
                </c:pt>
                <c:pt idx="40" formatCode="0.00000">
                  <c:v>64.641716465705997</c:v>
                </c:pt>
                <c:pt idx="44" formatCode="0.00000">
                  <c:v>64.639783922724121</c:v>
                </c:pt>
                <c:pt idx="48" formatCode="0.00000">
                  <c:v>64.641578893425475</c:v>
                </c:pt>
                <c:pt idx="52" formatCode="0.00000">
                  <c:v>64.641889618882772</c:v>
                </c:pt>
                <c:pt idx="56" formatCode="0.00000">
                  <c:v>64.642246472532378</c:v>
                </c:pt>
                <c:pt idx="60" formatCode="0.00000">
                  <c:v>64.640132841188787</c:v>
                </c:pt>
                <c:pt idx="64" formatCode="0.00000">
                  <c:v>64.641427656245213</c:v>
                </c:pt>
                <c:pt idx="68" formatCode="0.00000">
                  <c:v>64.642302854473769</c:v>
                </c:pt>
                <c:pt idx="72" formatCode="0.00000">
                  <c:v>64.641363730122777</c:v>
                </c:pt>
                <c:pt idx="76" formatCode="0.00000">
                  <c:v>64.641855994786155</c:v>
                </c:pt>
                <c:pt idx="80" formatCode="0.00000">
                  <c:v>64.641456574645645</c:v>
                </c:pt>
                <c:pt idx="84" formatCode="0.00000">
                  <c:v>64.641256246420596</c:v>
                </c:pt>
                <c:pt idx="88" formatCode="0.00000">
                  <c:v>64.639833123688291</c:v>
                </c:pt>
                <c:pt idx="92" formatCode="0.00000">
                  <c:v>64.162074181447196</c:v>
                </c:pt>
                <c:pt idx="96" formatCode="0.00000">
                  <c:v>64.161982498470906</c:v>
                </c:pt>
                <c:pt idx="100" formatCode="0.00000">
                  <c:v>64.163144707027897</c:v>
                </c:pt>
                <c:pt idx="104" formatCode="0.00000">
                  <c:v>64.163287738327568</c:v>
                </c:pt>
                <c:pt idx="108" formatCode="0.00000">
                  <c:v>64.163538095139913</c:v>
                </c:pt>
                <c:pt idx="112" formatCode="0.00000">
                  <c:v>63.686621587330634</c:v>
                </c:pt>
                <c:pt idx="116" formatCode="0.00000">
                  <c:v>63.688980812673478</c:v>
                </c:pt>
                <c:pt idx="120" formatCode="0.00000">
                  <c:v>63.686620849965031</c:v>
                </c:pt>
                <c:pt idx="124" formatCode="0.00000">
                  <c:v>67.024189344432074</c:v>
                </c:pt>
                <c:pt idx="128" formatCode="0.00000">
                  <c:v>67.498335680257597</c:v>
                </c:pt>
                <c:pt idx="132" formatCode="0.00000">
                  <c:v>67.496807369756198</c:v>
                </c:pt>
                <c:pt idx="136" formatCode="0.00000">
                  <c:v>67.496693020595146</c:v>
                </c:pt>
                <c:pt idx="140" formatCode="0.00000">
                  <c:v>67.497934180301698</c:v>
                </c:pt>
              </c:numCache>
            </c:numRef>
          </c:xVal>
          <c:yVal>
            <c:numRef>
              <c:f>encVangle!$O$12:$O$152</c:f>
              <c:numCache>
                <c:formatCode>General</c:formatCode>
                <c:ptCount val="141"/>
                <c:pt idx="0">
                  <c:v>500</c:v>
                </c:pt>
                <c:pt idx="4">
                  <c:v>450</c:v>
                </c:pt>
                <c:pt idx="8">
                  <c:v>400</c:v>
                </c:pt>
                <c:pt idx="12">
                  <c:v>350</c:v>
                </c:pt>
                <c:pt idx="16">
                  <c:v>400</c:v>
                </c:pt>
                <c:pt idx="20">
                  <c:v>450</c:v>
                </c:pt>
                <c:pt idx="24">
                  <c:v>500</c:v>
                </c:pt>
                <c:pt idx="28">
                  <c:v>550</c:v>
                </c:pt>
                <c:pt idx="32">
                  <c:v>550</c:v>
                </c:pt>
                <c:pt idx="36">
                  <c:v>600</c:v>
                </c:pt>
                <c:pt idx="40">
                  <c:v>600</c:v>
                </c:pt>
                <c:pt idx="44">
                  <c:v>600</c:v>
                </c:pt>
                <c:pt idx="48">
                  <c:v>600</c:v>
                </c:pt>
                <c:pt idx="52">
                  <c:v>600</c:v>
                </c:pt>
                <c:pt idx="56">
                  <c:v>600</c:v>
                </c:pt>
                <c:pt idx="60">
                  <c:v>600</c:v>
                </c:pt>
                <c:pt idx="64">
                  <c:v>600</c:v>
                </c:pt>
                <c:pt idx="68">
                  <c:v>600</c:v>
                </c:pt>
                <c:pt idx="72">
                  <c:v>600</c:v>
                </c:pt>
                <c:pt idx="76">
                  <c:v>600</c:v>
                </c:pt>
                <c:pt idx="80">
                  <c:v>600</c:v>
                </c:pt>
                <c:pt idx="84">
                  <c:v>600</c:v>
                </c:pt>
                <c:pt idx="88">
                  <c:v>600</c:v>
                </c:pt>
                <c:pt idx="92">
                  <c:v>650</c:v>
                </c:pt>
                <c:pt idx="96">
                  <c:v>650</c:v>
                </c:pt>
                <c:pt idx="100">
                  <c:v>650</c:v>
                </c:pt>
                <c:pt idx="104">
                  <c:v>650</c:v>
                </c:pt>
                <c:pt idx="108">
                  <c:v>650</c:v>
                </c:pt>
                <c:pt idx="112">
                  <c:v>700</c:v>
                </c:pt>
                <c:pt idx="116">
                  <c:v>700</c:v>
                </c:pt>
                <c:pt idx="120">
                  <c:v>700</c:v>
                </c:pt>
                <c:pt idx="124">
                  <c:v>350</c:v>
                </c:pt>
                <c:pt idx="128">
                  <c:v>300</c:v>
                </c:pt>
                <c:pt idx="132">
                  <c:v>300</c:v>
                </c:pt>
                <c:pt idx="136">
                  <c:v>300</c:v>
                </c:pt>
                <c:pt idx="140">
                  <c:v>300</c:v>
                </c:pt>
              </c:numCache>
            </c:numRef>
          </c:yVal>
          <c:smooth val="0"/>
          <c:extLst>
            <c:ext xmlns:c16="http://schemas.microsoft.com/office/drawing/2014/chart" uri="{C3380CC4-5D6E-409C-BE32-E72D297353CC}">
              <c16:uniqueId val="{00000000-C968-1C49-BA8C-83F9A84BCB90}"/>
            </c:ext>
          </c:extLst>
        </c:ser>
        <c:dLbls>
          <c:showLegendKey val="0"/>
          <c:showVal val="0"/>
          <c:showCatName val="0"/>
          <c:showSerName val="0"/>
          <c:showPercent val="0"/>
          <c:showBubbleSize val="0"/>
        </c:dLbls>
        <c:axId val="1028013744"/>
        <c:axId val="558338576"/>
      </c:scatterChart>
      <c:valAx>
        <c:axId val="1028013744"/>
        <c:scaling>
          <c:orientation val="minMax"/>
          <c:min val="63.5"/>
        </c:scaling>
        <c:delete val="0"/>
        <c:axPos val="b"/>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38576"/>
        <c:crosses val="autoZero"/>
        <c:crossBetween val="midCat"/>
      </c:valAx>
      <c:valAx>
        <c:axId val="558338576"/>
        <c:scaling>
          <c:orientation val="minMax"/>
          <c:min val="2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13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848613488531325"/>
          <c:y val="0.171915504206515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2"/>
          <c:order val="0"/>
          <c:spPr>
            <a:ln w="28575" cap="rnd">
              <a:noFill/>
              <a:round/>
            </a:ln>
            <a:effectLst/>
          </c:spPr>
          <c:marker>
            <c:symbol val="circle"/>
            <c:size val="5"/>
            <c:spPr>
              <a:solidFill>
                <a:schemeClr val="accent3"/>
              </a:solidFill>
              <a:ln w="9525">
                <a:solidFill>
                  <a:schemeClr val="accent3"/>
                </a:solidFill>
              </a:ln>
              <a:effectLst/>
            </c:spPr>
          </c:marker>
          <c:xVal>
            <c:numRef>
              <c:f>encVangle!$K$12:$K$152</c:f>
              <c:numCache>
                <c:formatCode>0.000000</c:formatCode>
                <c:ptCount val="141"/>
                <c:pt idx="0" formatCode="General">
                  <c:v>4875.3870999999999</c:v>
                </c:pt>
                <c:pt idx="4" formatCode="General">
                  <c:v>3700.7449000000001</c:v>
                </c:pt>
                <c:pt idx="8" formatCode="General">
                  <c:v>2390.1722</c:v>
                </c:pt>
                <c:pt idx="12" formatCode="General">
                  <c:v>1254.075</c:v>
                </c:pt>
                <c:pt idx="16" formatCode="General">
                  <c:v>496.70155</c:v>
                </c:pt>
                <c:pt idx="20" formatCode="General">
                  <c:v>1780.4563000000001</c:v>
                </c:pt>
                <c:pt idx="24" formatCode="General">
                  <c:v>2921.1781999999998</c:v>
                </c:pt>
                <c:pt idx="28" formatCode="General">
                  <c:v>2933.636</c:v>
                </c:pt>
                <c:pt idx="32" formatCode="General">
                  <c:v>3140.1174999999998</c:v>
                </c:pt>
                <c:pt idx="36" formatCode="General">
                  <c:v>4309.5758999999998</c:v>
                </c:pt>
                <c:pt idx="40" formatCode="General">
                  <c:v>5429.3305</c:v>
                </c:pt>
                <c:pt idx="44" formatCode="General">
                  <c:v>1043.3361</c:v>
                </c:pt>
                <c:pt idx="48" formatCode="General">
                  <c:v>4139.4003000000002</c:v>
                </c:pt>
                <c:pt idx="52" formatCode="General">
                  <c:v>2452.636</c:v>
                </c:pt>
                <c:pt idx="56" formatCode="General">
                  <c:v>1026.3076000000001</c:v>
                </c:pt>
                <c:pt idx="60" formatCode="General">
                  <c:v>4419.0956999999999</c:v>
                </c:pt>
                <c:pt idx="64" formatCode="General">
                  <c:v>3464.2991000000002</c:v>
                </c:pt>
                <c:pt idx="68" formatCode="General">
                  <c:v>2390.7636000000002</c:v>
                </c:pt>
                <c:pt idx="72" formatCode="General">
                  <c:v>2755.212</c:v>
                </c:pt>
                <c:pt idx="76" formatCode="General">
                  <c:v>4897.1514999999999</c:v>
                </c:pt>
                <c:pt idx="80" formatCode="General">
                  <c:v>4145.5272000000004</c:v>
                </c:pt>
                <c:pt idx="84" formatCode="General">
                  <c:v>5717.5641999999998</c:v>
                </c:pt>
                <c:pt idx="88" formatCode="General">
                  <c:v>4839.7943999999998</c:v>
                </c:pt>
                <c:pt idx="92" formatCode="General">
                  <c:v>4653.0878000000002</c:v>
                </c:pt>
                <c:pt idx="96" formatCode="General">
                  <c:v>3711.2964000000002</c:v>
                </c:pt>
                <c:pt idx="100" formatCode="General">
                  <c:v>4077.6273000000001</c:v>
                </c:pt>
                <c:pt idx="104" formatCode="General">
                  <c:v>5657.6133</c:v>
                </c:pt>
                <c:pt idx="108" formatCode="General">
                  <c:v>5445.0990000000002</c:v>
                </c:pt>
                <c:pt idx="112" formatCode="General">
                  <c:v>5997.5204999999996</c:v>
                </c:pt>
                <c:pt idx="116" formatCode="General">
                  <c:v>5264.1494000000002</c:v>
                </c:pt>
                <c:pt idx="120" formatCode="General">
                  <c:v>4893.2366000000002</c:v>
                </c:pt>
                <c:pt idx="124" formatCode="General">
                  <c:v>2259.8919999999998</c:v>
                </c:pt>
                <c:pt idx="128" formatCode="General">
                  <c:v>1123.2112999999999</c:v>
                </c:pt>
                <c:pt idx="132" formatCode="General">
                  <c:v>1356.0343</c:v>
                </c:pt>
                <c:pt idx="136" formatCode="General">
                  <c:v>1732.8248000000001</c:v>
                </c:pt>
                <c:pt idx="140" formatCode="General">
                  <c:v>3206.7370999999998</c:v>
                </c:pt>
              </c:numCache>
            </c:numRef>
          </c:xVal>
          <c:yVal>
            <c:numRef>
              <c:f>encVangle!$N$12:$N$152</c:f>
              <c:numCache>
                <c:formatCode>General</c:formatCode>
                <c:ptCount val="141"/>
                <c:pt idx="0" formatCode="0.00000">
                  <c:v>65.610227936163355</c:v>
                </c:pt>
                <c:pt idx="4" formatCode="0.00000">
                  <c:v>66.068156583753165</c:v>
                </c:pt>
                <c:pt idx="8" formatCode="0.00000">
                  <c:v>66.546781420622054</c:v>
                </c:pt>
                <c:pt idx="12" formatCode="0.00000">
                  <c:v>67.021861575556244</c:v>
                </c:pt>
                <c:pt idx="16" formatCode="0.00000">
                  <c:v>66.545308463259587</c:v>
                </c:pt>
                <c:pt idx="20" formatCode="0.00000">
                  <c:v>66.066744753172244</c:v>
                </c:pt>
                <c:pt idx="24" formatCode="0.00000">
                  <c:v>65.594268143746405</c:v>
                </c:pt>
                <c:pt idx="28" formatCode="0.00000">
                  <c:v>65.115739964993224</c:v>
                </c:pt>
                <c:pt idx="32" formatCode="0.00000">
                  <c:v>65.115379255372346</c:v>
                </c:pt>
                <c:pt idx="36" formatCode="0.00000">
                  <c:v>64.64151942236893</c:v>
                </c:pt>
                <c:pt idx="40" formatCode="0.00000">
                  <c:v>64.641716465705997</c:v>
                </c:pt>
                <c:pt idx="44" formatCode="0.00000">
                  <c:v>64.639783922724121</c:v>
                </c:pt>
                <c:pt idx="48" formatCode="0.00000">
                  <c:v>64.641578893425475</c:v>
                </c:pt>
                <c:pt idx="52" formatCode="0.00000">
                  <c:v>64.641889618882772</c:v>
                </c:pt>
                <c:pt idx="56" formatCode="0.00000">
                  <c:v>64.642246472532378</c:v>
                </c:pt>
                <c:pt idx="60" formatCode="0.00000">
                  <c:v>64.640132841188787</c:v>
                </c:pt>
                <c:pt idx="64" formatCode="0.00000">
                  <c:v>64.641427656245213</c:v>
                </c:pt>
                <c:pt idx="68" formatCode="0.00000">
                  <c:v>64.642302854473769</c:v>
                </c:pt>
                <c:pt idx="72" formatCode="0.00000">
                  <c:v>64.641363730122777</c:v>
                </c:pt>
                <c:pt idx="76" formatCode="0.00000">
                  <c:v>64.641855994786155</c:v>
                </c:pt>
                <c:pt idx="80" formatCode="0.00000">
                  <c:v>64.641456574645645</c:v>
                </c:pt>
                <c:pt idx="84" formatCode="0.00000">
                  <c:v>64.641256246420596</c:v>
                </c:pt>
                <c:pt idx="88" formatCode="0.00000">
                  <c:v>64.639833123688291</c:v>
                </c:pt>
                <c:pt idx="92" formatCode="0.00000">
                  <c:v>64.162074181447196</c:v>
                </c:pt>
                <c:pt idx="96" formatCode="0.00000">
                  <c:v>64.161982498470906</c:v>
                </c:pt>
                <c:pt idx="100" formatCode="0.00000">
                  <c:v>64.163144707027897</c:v>
                </c:pt>
                <c:pt idx="104" formatCode="0.00000">
                  <c:v>64.163287738327568</c:v>
                </c:pt>
                <c:pt idx="108" formatCode="0.00000">
                  <c:v>64.163538095139913</c:v>
                </c:pt>
                <c:pt idx="112" formatCode="0.00000">
                  <c:v>63.686621587330634</c:v>
                </c:pt>
                <c:pt idx="116" formatCode="0.00000">
                  <c:v>63.688980812673478</c:v>
                </c:pt>
                <c:pt idx="120" formatCode="0.00000">
                  <c:v>63.686620849965031</c:v>
                </c:pt>
                <c:pt idx="124" formatCode="0.00000">
                  <c:v>67.024189344432074</c:v>
                </c:pt>
                <c:pt idx="128" formatCode="0.00000">
                  <c:v>67.498335680257597</c:v>
                </c:pt>
                <c:pt idx="132" formatCode="0.00000">
                  <c:v>67.496807369756198</c:v>
                </c:pt>
                <c:pt idx="136" formatCode="0.00000">
                  <c:v>67.496693020595146</c:v>
                </c:pt>
                <c:pt idx="140" formatCode="0.00000">
                  <c:v>67.497934180301698</c:v>
                </c:pt>
              </c:numCache>
            </c:numRef>
          </c:yVal>
          <c:smooth val="0"/>
          <c:extLst>
            <c:ext xmlns:c16="http://schemas.microsoft.com/office/drawing/2014/chart" uri="{C3380CC4-5D6E-409C-BE32-E72D297353CC}">
              <c16:uniqueId val="{00000000-7F6C-1341-B214-E41984AC9CAD}"/>
            </c:ext>
          </c:extLst>
        </c:ser>
        <c:dLbls>
          <c:showLegendKey val="0"/>
          <c:showVal val="0"/>
          <c:showCatName val="0"/>
          <c:showSerName val="0"/>
          <c:showPercent val="0"/>
          <c:showBubbleSize val="0"/>
        </c:dLbls>
        <c:axId val="1025747472"/>
        <c:axId val="533454880"/>
      </c:scatterChart>
      <c:valAx>
        <c:axId val="1025747472"/>
        <c:scaling>
          <c:orientation val="minMax"/>
          <c:max val="6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54880"/>
        <c:crosses val="autoZero"/>
        <c:crossBetween val="midCat"/>
      </c:valAx>
      <c:valAx>
        <c:axId val="53345488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47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0"/>
          <c:spPr>
            <a:ln w="28575" cap="rnd">
              <a:noFill/>
              <a:round/>
            </a:ln>
            <a:effectLst/>
          </c:spPr>
          <c:marker>
            <c:symbol val="circle"/>
            <c:size val="5"/>
            <c:spPr>
              <a:solidFill>
                <a:schemeClr val="accent4"/>
              </a:solidFill>
              <a:ln w="9525">
                <a:solidFill>
                  <a:schemeClr val="accent4"/>
                </a:solidFill>
              </a:ln>
              <a:effectLst/>
            </c:spPr>
          </c:marker>
          <c:xVal>
            <c:numRef>
              <c:f>encVangle!$J$12:$J$152</c:f>
              <c:numCache>
                <c:formatCode>General</c:formatCode>
                <c:ptCount val="141"/>
                <c:pt idx="0">
                  <c:v>2190.8505399999999</c:v>
                </c:pt>
                <c:pt idx="4">
                  <c:v>2190.8505399999999</c:v>
                </c:pt>
                <c:pt idx="8">
                  <c:v>2190.8505399999999</c:v>
                </c:pt>
                <c:pt idx="12">
                  <c:v>2190.8505399999999</c:v>
                </c:pt>
                <c:pt idx="16">
                  <c:v>2021.5403200000001</c:v>
                </c:pt>
                <c:pt idx="20">
                  <c:v>2021.5403200000001</c:v>
                </c:pt>
                <c:pt idx="24">
                  <c:v>2021.5403200000001</c:v>
                </c:pt>
                <c:pt idx="28">
                  <c:v>1879.05952</c:v>
                </c:pt>
                <c:pt idx="32">
                  <c:v>1880.28234</c:v>
                </c:pt>
                <c:pt idx="36">
                  <c:v>1880.28234</c:v>
                </c:pt>
                <c:pt idx="40">
                  <c:v>2021.5403200000001</c:v>
                </c:pt>
                <c:pt idx="44">
                  <c:v>1858.5983699999999</c:v>
                </c:pt>
                <c:pt idx="48">
                  <c:v>1879.2856200000001</c:v>
                </c:pt>
                <c:pt idx="52">
                  <c:v>2001.7733599999999</c:v>
                </c:pt>
                <c:pt idx="56">
                  <c:v>2144.4225099999999</c:v>
                </c:pt>
                <c:pt idx="60">
                  <c:v>2350.88724</c:v>
                </c:pt>
                <c:pt idx="64">
                  <c:v>2249.1909900000001</c:v>
                </c:pt>
                <c:pt idx="68">
                  <c:v>2334.6783</c:v>
                </c:pt>
                <c:pt idx="72">
                  <c:v>1870.1409799999999</c:v>
                </c:pt>
                <c:pt idx="76">
                  <c:v>2093.0079799999999</c:v>
                </c:pt>
                <c:pt idx="80">
                  <c:v>2088.1378399999999</c:v>
                </c:pt>
                <c:pt idx="84">
                  <c:v>2098.2061600000002</c:v>
                </c:pt>
                <c:pt idx="88">
                  <c:v>2353.9347499999999</c:v>
                </c:pt>
                <c:pt idx="92">
                  <c:v>2249.1909900000001</c:v>
                </c:pt>
                <c:pt idx="96">
                  <c:v>2334.6783</c:v>
                </c:pt>
                <c:pt idx="100">
                  <c:v>1870.1409799999999</c:v>
                </c:pt>
                <c:pt idx="104">
                  <c:v>1880.28234</c:v>
                </c:pt>
                <c:pt idx="108">
                  <c:v>1879.05952</c:v>
                </c:pt>
                <c:pt idx="112">
                  <c:v>2249.1909900000001</c:v>
                </c:pt>
                <c:pt idx="116">
                  <c:v>1870.1409799999999</c:v>
                </c:pt>
                <c:pt idx="120">
                  <c:v>2334.6783</c:v>
                </c:pt>
                <c:pt idx="124">
                  <c:v>2117.1263399999998</c:v>
                </c:pt>
                <c:pt idx="128">
                  <c:v>2117.1263399999998</c:v>
                </c:pt>
                <c:pt idx="132">
                  <c:v>2042.9532300000001</c:v>
                </c:pt>
                <c:pt idx="136">
                  <c:v>2045.25416</c:v>
                </c:pt>
                <c:pt idx="140">
                  <c:v>2054.9360700000002</c:v>
                </c:pt>
              </c:numCache>
            </c:numRef>
          </c:xVal>
          <c:yVal>
            <c:numRef>
              <c:f>encVangle!$N$12:$N$152</c:f>
              <c:numCache>
                <c:formatCode>General</c:formatCode>
                <c:ptCount val="141"/>
                <c:pt idx="0" formatCode="0.00000">
                  <c:v>65.610227936163355</c:v>
                </c:pt>
                <c:pt idx="4" formatCode="0.00000">
                  <c:v>66.068156583753165</c:v>
                </c:pt>
                <c:pt idx="8" formatCode="0.00000">
                  <c:v>66.546781420622054</c:v>
                </c:pt>
                <c:pt idx="12" formatCode="0.00000">
                  <c:v>67.021861575556244</c:v>
                </c:pt>
                <c:pt idx="16" formatCode="0.00000">
                  <c:v>66.545308463259587</c:v>
                </c:pt>
                <c:pt idx="20" formatCode="0.00000">
                  <c:v>66.066744753172244</c:v>
                </c:pt>
                <c:pt idx="24" formatCode="0.00000">
                  <c:v>65.594268143746405</c:v>
                </c:pt>
                <c:pt idx="28" formatCode="0.00000">
                  <c:v>65.115739964993224</c:v>
                </c:pt>
                <c:pt idx="32" formatCode="0.00000">
                  <c:v>65.115379255372346</c:v>
                </c:pt>
                <c:pt idx="36" formatCode="0.00000">
                  <c:v>64.64151942236893</c:v>
                </c:pt>
                <c:pt idx="40" formatCode="0.00000">
                  <c:v>64.641716465705997</c:v>
                </c:pt>
                <c:pt idx="44" formatCode="0.00000">
                  <c:v>64.639783922724121</c:v>
                </c:pt>
                <c:pt idx="48" formatCode="0.00000">
                  <c:v>64.641578893425475</c:v>
                </c:pt>
                <c:pt idx="52" formatCode="0.00000">
                  <c:v>64.641889618882772</c:v>
                </c:pt>
                <c:pt idx="56" formatCode="0.00000">
                  <c:v>64.642246472532378</c:v>
                </c:pt>
                <c:pt idx="60" formatCode="0.00000">
                  <c:v>64.640132841188787</c:v>
                </c:pt>
                <c:pt idx="64" formatCode="0.00000">
                  <c:v>64.641427656245213</c:v>
                </c:pt>
                <c:pt idx="68" formatCode="0.00000">
                  <c:v>64.642302854473769</c:v>
                </c:pt>
                <c:pt idx="72" formatCode="0.00000">
                  <c:v>64.641363730122777</c:v>
                </c:pt>
                <c:pt idx="76" formatCode="0.00000">
                  <c:v>64.641855994786155</c:v>
                </c:pt>
                <c:pt idx="80" formatCode="0.00000">
                  <c:v>64.641456574645645</c:v>
                </c:pt>
                <c:pt idx="84" formatCode="0.00000">
                  <c:v>64.641256246420596</c:v>
                </c:pt>
                <c:pt idx="88" formatCode="0.00000">
                  <c:v>64.639833123688291</c:v>
                </c:pt>
                <c:pt idx="92" formatCode="0.00000">
                  <c:v>64.162074181447196</c:v>
                </c:pt>
                <c:pt idx="96" formatCode="0.00000">
                  <c:v>64.161982498470906</c:v>
                </c:pt>
                <c:pt idx="100" formatCode="0.00000">
                  <c:v>64.163144707027897</c:v>
                </c:pt>
                <c:pt idx="104" formatCode="0.00000">
                  <c:v>64.163287738327568</c:v>
                </c:pt>
                <c:pt idx="108" formatCode="0.00000">
                  <c:v>64.163538095139913</c:v>
                </c:pt>
                <c:pt idx="112" formatCode="0.00000">
                  <c:v>63.686621587330634</c:v>
                </c:pt>
                <c:pt idx="116" formatCode="0.00000">
                  <c:v>63.688980812673478</c:v>
                </c:pt>
                <c:pt idx="120" formatCode="0.00000">
                  <c:v>63.686620849965031</c:v>
                </c:pt>
                <c:pt idx="124" formatCode="0.00000">
                  <c:v>67.024189344432074</c:v>
                </c:pt>
                <c:pt idx="128" formatCode="0.00000">
                  <c:v>67.498335680257597</c:v>
                </c:pt>
                <c:pt idx="132" formatCode="0.00000">
                  <c:v>67.496807369756198</c:v>
                </c:pt>
                <c:pt idx="136" formatCode="0.00000">
                  <c:v>67.496693020595146</c:v>
                </c:pt>
                <c:pt idx="140" formatCode="0.00000">
                  <c:v>67.497934180301698</c:v>
                </c:pt>
              </c:numCache>
            </c:numRef>
          </c:yVal>
          <c:smooth val="0"/>
          <c:extLst>
            <c:ext xmlns:c16="http://schemas.microsoft.com/office/drawing/2014/chart" uri="{C3380CC4-5D6E-409C-BE32-E72D297353CC}">
              <c16:uniqueId val="{00000000-C084-A041-AE7E-0BAD703EC917}"/>
            </c:ext>
          </c:extLst>
        </c:ser>
        <c:dLbls>
          <c:showLegendKey val="0"/>
          <c:showVal val="0"/>
          <c:showCatName val="0"/>
          <c:showSerName val="0"/>
          <c:showPercent val="0"/>
          <c:showBubbleSize val="0"/>
        </c:dLbls>
        <c:axId val="535857504"/>
        <c:axId val="536599504"/>
      </c:scatterChart>
      <c:valAx>
        <c:axId val="535857504"/>
        <c:scaling>
          <c:orientation val="minMax"/>
          <c:min val="18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599504"/>
        <c:crosses val="autoZero"/>
        <c:crossBetween val="midCat"/>
      </c:valAx>
      <c:valAx>
        <c:axId val="53659950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575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8575" cap="rnd">
              <a:noFill/>
              <a:round/>
            </a:ln>
            <a:effectLst/>
          </c:spPr>
          <c:marker>
            <c:symbol val="circle"/>
            <c:size val="5"/>
            <c:spPr>
              <a:solidFill>
                <a:schemeClr val="accent2"/>
              </a:solidFill>
              <a:ln w="9525">
                <a:solidFill>
                  <a:schemeClr val="accent2"/>
                </a:solidFill>
              </a:ln>
              <a:effectLst/>
            </c:spPr>
          </c:marker>
          <c:xVal>
            <c:numRef>
              <c:f>encVangle!$L$12:$L$152</c:f>
              <c:numCache>
                <c:formatCode>General</c:formatCode>
                <c:ptCount val="141"/>
                <c:pt idx="0" formatCode="0.000000">
                  <c:v>0</c:v>
                </c:pt>
                <c:pt idx="4" formatCode="0.000000">
                  <c:v>818</c:v>
                </c:pt>
                <c:pt idx="8" formatCode="0.000000">
                  <c:v>782</c:v>
                </c:pt>
                <c:pt idx="12" formatCode="0.000000">
                  <c:v>747</c:v>
                </c:pt>
                <c:pt idx="16" formatCode="0.000000">
                  <c:v>1320</c:v>
                </c:pt>
                <c:pt idx="20" formatCode="0.000000">
                  <c:v>1355</c:v>
                </c:pt>
                <c:pt idx="24" formatCode="0.000000">
                  <c:v>1390</c:v>
                </c:pt>
                <c:pt idx="28" formatCode="0.000000">
                  <c:v>1886</c:v>
                </c:pt>
                <c:pt idx="32" formatCode="0.000000">
                  <c:v>1887</c:v>
                </c:pt>
                <c:pt idx="36" formatCode="0.000000">
                  <c:v>1923</c:v>
                </c:pt>
                <c:pt idx="40" formatCode="0.000000">
                  <c:v>1460</c:v>
                </c:pt>
                <c:pt idx="44" formatCode="0.000000">
                  <c:v>1907</c:v>
                </c:pt>
                <c:pt idx="48" formatCode="0.000000">
                  <c:v>1922</c:v>
                </c:pt>
                <c:pt idx="52" formatCode="0.000000">
                  <c:v>1449</c:v>
                </c:pt>
                <c:pt idx="56" formatCode="0.000000">
                  <c:v>912</c:v>
                </c:pt>
                <c:pt idx="60" formatCode="0.000000">
                  <c:v>281</c:v>
                </c:pt>
                <c:pt idx="64" formatCode="0.000000">
                  <c:v>612</c:v>
                </c:pt>
                <c:pt idx="68" formatCode="0.000000">
                  <c:v>282</c:v>
                </c:pt>
                <c:pt idx="72" formatCode="0.000000">
                  <c:v>1914</c:v>
                </c:pt>
                <c:pt idx="76" formatCode="0.000000">
                  <c:v>1198</c:v>
                </c:pt>
                <c:pt idx="80" formatCode="0.000000">
                  <c:v>1196</c:v>
                </c:pt>
                <c:pt idx="84" formatCode="0.000000">
                  <c:v>1200</c:v>
                </c:pt>
                <c:pt idx="88" formatCode="0.000000">
                  <c:v>280</c:v>
                </c:pt>
                <c:pt idx="92" formatCode="0.000000">
                  <c:v>647</c:v>
                </c:pt>
                <c:pt idx="96" formatCode="0.000000">
                  <c:v>319</c:v>
                </c:pt>
                <c:pt idx="100" formatCode="0.000000">
                  <c:v>1951</c:v>
                </c:pt>
                <c:pt idx="104" formatCode="0.000000">
                  <c:v>1958</c:v>
                </c:pt>
                <c:pt idx="108" formatCode="0.000000">
                  <c:v>1957</c:v>
                </c:pt>
                <c:pt idx="112" formatCode="0.000000">
                  <c:v>681</c:v>
                </c:pt>
                <c:pt idx="116" formatCode="0.000000">
                  <c:v>1985</c:v>
                </c:pt>
                <c:pt idx="120" formatCode="0.000000">
                  <c:v>353</c:v>
                </c:pt>
                <c:pt idx="124" formatCode="0.000000">
                  <c:v>2259.8919999999998</c:v>
                </c:pt>
                <c:pt idx="128" formatCode="0.000000">
                  <c:v>1000</c:v>
                </c:pt>
                <c:pt idx="132" formatCode="0.000000">
                  <c:v>1264</c:v>
                </c:pt>
                <c:pt idx="136" formatCode="0.000000">
                  <c:v>1266</c:v>
                </c:pt>
                <c:pt idx="140" formatCode="0.000000">
                  <c:v>1274</c:v>
                </c:pt>
              </c:numCache>
            </c:numRef>
          </c:xVal>
          <c:yVal>
            <c:numRef>
              <c:f>encVangle!$N$12:$N$152</c:f>
              <c:numCache>
                <c:formatCode>General</c:formatCode>
                <c:ptCount val="141"/>
                <c:pt idx="0" formatCode="0.00000">
                  <c:v>65.610227936163355</c:v>
                </c:pt>
                <c:pt idx="4" formatCode="0.00000">
                  <c:v>66.068156583753165</c:v>
                </c:pt>
                <c:pt idx="8" formatCode="0.00000">
                  <c:v>66.546781420622054</c:v>
                </c:pt>
                <c:pt idx="12" formatCode="0.00000">
                  <c:v>67.021861575556244</c:v>
                </c:pt>
                <c:pt idx="16" formatCode="0.00000">
                  <c:v>66.545308463259587</c:v>
                </c:pt>
                <c:pt idx="20" formatCode="0.00000">
                  <c:v>66.066744753172244</c:v>
                </c:pt>
                <c:pt idx="24" formatCode="0.00000">
                  <c:v>65.594268143746405</c:v>
                </c:pt>
                <c:pt idx="28" formatCode="0.00000">
                  <c:v>65.115739964993224</c:v>
                </c:pt>
                <c:pt idx="32" formatCode="0.00000">
                  <c:v>65.115379255372346</c:v>
                </c:pt>
                <c:pt idx="36" formatCode="0.00000">
                  <c:v>64.64151942236893</c:v>
                </c:pt>
                <c:pt idx="40" formatCode="0.00000">
                  <c:v>64.641716465705997</c:v>
                </c:pt>
                <c:pt idx="44" formatCode="0.00000">
                  <c:v>64.639783922724121</c:v>
                </c:pt>
                <c:pt idx="48" formatCode="0.00000">
                  <c:v>64.641578893425475</c:v>
                </c:pt>
                <c:pt idx="52" formatCode="0.00000">
                  <c:v>64.641889618882772</c:v>
                </c:pt>
                <c:pt idx="56" formatCode="0.00000">
                  <c:v>64.642246472532378</c:v>
                </c:pt>
                <c:pt idx="60" formatCode="0.00000">
                  <c:v>64.640132841188787</c:v>
                </c:pt>
                <c:pt idx="64" formatCode="0.00000">
                  <c:v>64.641427656245213</c:v>
                </c:pt>
                <c:pt idx="68" formatCode="0.00000">
                  <c:v>64.642302854473769</c:v>
                </c:pt>
                <c:pt idx="72" formatCode="0.00000">
                  <c:v>64.641363730122777</c:v>
                </c:pt>
                <c:pt idx="76" formatCode="0.00000">
                  <c:v>64.641855994786155</c:v>
                </c:pt>
                <c:pt idx="80" formatCode="0.00000">
                  <c:v>64.641456574645645</c:v>
                </c:pt>
                <c:pt idx="84" formatCode="0.00000">
                  <c:v>64.641256246420596</c:v>
                </c:pt>
                <c:pt idx="88" formatCode="0.00000">
                  <c:v>64.639833123688291</c:v>
                </c:pt>
                <c:pt idx="92" formatCode="0.00000">
                  <c:v>64.162074181447196</c:v>
                </c:pt>
                <c:pt idx="96" formatCode="0.00000">
                  <c:v>64.161982498470906</c:v>
                </c:pt>
                <c:pt idx="100" formatCode="0.00000">
                  <c:v>64.163144707027897</c:v>
                </c:pt>
                <c:pt idx="104" formatCode="0.00000">
                  <c:v>64.163287738327568</c:v>
                </c:pt>
                <c:pt idx="108" formatCode="0.00000">
                  <c:v>64.163538095139913</c:v>
                </c:pt>
                <c:pt idx="112" formatCode="0.00000">
                  <c:v>63.686621587330634</c:v>
                </c:pt>
                <c:pt idx="116" formatCode="0.00000">
                  <c:v>63.688980812673478</c:v>
                </c:pt>
                <c:pt idx="120" formatCode="0.00000">
                  <c:v>63.686620849965031</c:v>
                </c:pt>
                <c:pt idx="124" formatCode="0.00000">
                  <c:v>67.024189344432074</c:v>
                </c:pt>
                <c:pt idx="128" formatCode="0.00000">
                  <c:v>67.498335680257597</c:v>
                </c:pt>
                <c:pt idx="132" formatCode="0.00000">
                  <c:v>67.496807369756198</c:v>
                </c:pt>
                <c:pt idx="136" formatCode="0.00000">
                  <c:v>67.496693020595146</c:v>
                </c:pt>
                <c:pt idx="140" formatCode="0.00000">
                  <c:v>67.497934180301698</c:v>
                </c:pt>
              </c:numCache>
            </c:numRef>
          </c:yVal>
          <c:smooth val="0"/>
          <c:extLst>
            <c:ext xmlns:c16="http://schemas.microsoft.com/office/drawing/2014/chart" uri="{C3380CC4-5D6E-409C-BE32-E72D297353CC}">
              <c16:uniqueId val="{00000000-705B-444B-8D84-E9971754D421}"/>
            </c:ext>
          </c:extLst>
        </c:ser>
        <c:dLbls>
          <c:showLegendKey val="0"/>
          <c:showVal val="0"/>
          <c:showCatName val="0"/>
          <c:showSerName val="0"/>
          <c:showPercent val="0"/>
          <c:showBubbleSize val="0"/>
        </c:dLbls>
        <c:axId val="535973456"/>
        <c:axId val="536003088"/>
      </c:scatterChart>
      <c:valAx>
        <c:axId val="535973456"/>
        <c:scaling>
          <c:orientation val="minMax"/>
          <c:max val="2050"/>
          <c:min val="0"/>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03088"/>
        <c:crosses val="autoZero"/>
        <c:crossBetween val="midCat"/>
      </c:valAx>
      <c:valAx>
        <c:axId val="536003088"/>
        <c:scaling>
          <c:orientation val="minMax"/>
          <c:max val="68.5"/>
          <c:min val="63"/>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9734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encVangle!$K$173:$K$193</c:f>
              <c:numCache>
                <c:formatCode>0.000000</c:formatCode>
                <c:ptCount val="21"/>
                <c:pt idx="2" formatCode="General">
                  <c:v>965.43700999999999</c:v>
                </c:pt>
                <c:pt idx="6" formatCode="General">
                  <c:v>3033.7605400000002</c:v>
                </c:pt>
                <c:pt idx="10" formatCode="General">
                  <c:v>5125.1551300000001</c:v>
                </c:pt>
                <c:pt idx="14" formatCode="General">
                  <c:v>5299.5261</c:v>
                </c:pt>
                <c:pt idx="18" formatCode="General">
                  <c:v>6334.5178999999998</c:v>
                </c:pt>
              </c:numCache>
            </c:numRef>
          </c:xVal>
          <c:yVal>
            <c:numRef>
              <c:f>encVangle!$N$173:$N$193</c:f>
              <c:numCache>
                <c:formatCode>General</c:formatCode>
                <c:ptCount val="21"/>
                <c:pt idx="2" formatCode="0.00000">
                  <c:v>65.608975524629372</c:v>
                </c:pt>
                <c:pt idx="6" formatCode="0.00000">
                  <c:v>65.607977744248714</c:v>
                </c:pt>
                <c:pt idx="10" formatCode="0.00000">
                  <c:v>65.609047894615159</c:v>
                </c:pt>
                <c:pt idx="14" formatCode="0.00000">
                  <c:v>65.607168303832921</c:v>
                </c:pt>
                <c:pt idx="18" formatCode="0.00000">
                  <c:v>65.609072833698875</c:v>
                </c:pt>
              </c:numCache>
            </c:numRef>
          </c:yVal>
          <c:smooth val="0"/>
          <c:extLst>
            <c:ext xmlns:c16="http://schemas.microsoft.com/office/drawing/2014/chart" uri="{C3380CC4-5D6E-409C-BE32-E72D297353CC}">
              <c16:uniqueId val="{00000000-A005-6A40-BA86-7C5522D53B93}"/>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encVangle!$K$279:$K$363</c:f>
              <c:numCache>
                <c:formatCode>0.000000</c:formatCode>
                <c:ptCount val="85"/>
                <c:pt idx="0" formatCode="General">
                  <c:v>1211.4595999999999</c:v>
                </c:pt>
                <c:pt idx="4" formatCode="General">
                  <c:v>1262.3152</c:v>
                </c:pt>
                <c:pt idx="8" formatCode="General">
                  <c:v>1874.1641</c:v>
                </c:pt>
                <c:pt idx="12" formatCode="General">
                  <c:v>692.53227000000004</c:v>
                </c:pt>
                <c:pt idx="16" formatCode="General">
                  <c:v>1330.4154000000001</c:v>
                </c:pt>
                <c:pt idx="20" formatCode="General">
                  <c:v>1670.3742999999999</c:v>
                </c:pt>
                <c:pt idx="24" formatCode="General">
                  <c:v>745.43257000000006</c:v>
                </c:pt>
                <c:pt idx="28" formatCode="General">
                  <c:v>1583.692</c:v>
                </c:pt>
                <c:pt idx="32" formatCode="General">
                  <c:v>1834.7373</c:v>
                </c:pt>
                <c:pt idx="36" formatCode="General">
                  <c:v>364.68027999999998</c:v>
                </c:pt>
                <c:pt idx="40" formatCode="General">
                  <c:v>3187.25218</c:v>
                </c:pt>
                <c:pt idx="44" formatCode="General">
                  <c:v>3868.3874000000001</c:v>
                </c:pt>
                <c:pt idx="48" formatCode="General">
                  <c:v>4097.8431</c:v>
                </c:pt>
                <c:pt idx="52" formatCode="General">
                  <c:v>2236.2439169999998</c:v>
                </c:pt>
                <c:pt idx="56" formatCode="General">
                  <c:v>4820.7569800000001</c:v>
                </c:pt>
                <c:pt idx="60" formatCode="General">
                  <c:v>5531.2399000000005</c:v>
                </c:pt>
                <c:pt idx="64" formatCode="General">
                  <c:v>5177.9520899999998</c:v>
                </c:pt>
                <c:pt idx="68" formatCode="General">
                  <c:v>5125.5795600000001</c:v>
                </c:pt>
                <c:pt idx="72" formatCode="General">
                  <c:v>6042.3427000000001</c:v>
                </c:pt>
                <c:pt idx="76" formatCode="General">
                  <c:v>5844.1570000000002</c:v>
                </c:pt>
                <c:pt idx="80" formatCode="General">
                  <c:v>6043.8027000000002</c:v>
                </c:pt>
                <c:pt idx="84" formatCode="General">
                  <c:v>4611.4980400000004</c:v>
                </c:pt>
              </c:numCache>
            </c:numRef>
          </c:xVal>
          <c:yVal>
            <c:numRef>
              <c:f>encVangle!$N$279:$N$363</c:f>
              <c:numCache>
                <c:formatCode>General</c:formatCode>
                <c:ptCount val="85"/>
                <c:pt idx="0" formatCode="0.00000">
                  <c:v>65.616800226347692</c:v>
                </c:pt>
                <c:pt idx="4" formatCode="0.00000">
                  <c:v>65.618095197233757</c:v>
                </c:pt>
                <c:pt idx="8" formatCode="0.00000">
                  <c:v>65.618101352241624</c:v>
                </c:pt>
                <c:pt idx="12" formatCode="0.00000">
                  <c:v>65.616487133092406</c:v>
                </c:pt>
                <c:pt idx="16" formatCode="0.00000">
                  <c:v>65.618444008240388</c:v>
                </c:pt>
                <c:pt idx="20" formatCode="0.00000">
                  <c:v>65.619182457780539</c:v>
                </c:pt>
                <c:pt idx="24" formatCode="0.00000">
                  <c:v>65.61922651832117</c:v>
                </c:pt>
                <c:pt idx="28" formatCode="0.00000">
                  <c:v>65.61957402286545</c:v>
                </c:pt>
                <c:pt idx="32" formatCode="0.00000">
                  <c:v>65.619341443502293</c:v>
                </c:pt>
                <c:pt idx="36" formatCode="0.00000">
                  <c:v>65.617526556961352</c:v>
                </c:pt>
                <c:pt idx="40" formatCode="0.00000">
                  <c:v>65.619606282719445</c:v>
                </c:pt>
                <c:pt idx="44" formatCode="0.00000">
                  <c:v>65.620372203014597</c:v>
                </c:pt>
                <c:pt idx="48" formatCode="0.00000">
                  <c:v>65.62010419408746</c:v>
                </c:pt>
                <c:pt idx="52" formatCode="0.00000">
                  <c:v>65.62000931009365</c:v>
                </c:pt>
                <c:pt idx="56" formatCode="0.00000">
                  <c:v>65.620419656406398</c:v>
                </c:pt>
                <c:pt idx="60" formatCode="0.00000">
                  <c:v>65.620944189892327</c:v>
                </c:pt>
                <c:pt idx="64" formatCode="0.00000">
                  <c:v>65.62063795989107</c:v>
                </c:pt>
                <c:pt idx="68" formatCode="0.00000">
                  <c:v>65.62030771864876</c:v>
                </c:pt>
                <c:pt idx="72" formatCode="0.00000">
                  <c:v>65.619908497889</c:v>
                </c:pt>
                <c:pt idx="76" formatCode="0.00000">
                  <c:v>65.619431161842286</c:v>
                </c:pt>
                <c:pt idx="80" formatCode="0.00000">
                  <c:v>65.617516385478879</c:v>
                </c:pt>
                <c:pt idx="84" formatCode="0.00000">
                  <c:v>65.619015762114159</c:v>
                </c:pt>
              </c:numCache>
            </c:numRef>
          </c:yVal>
          <c:smooth val="0"/>
          <c:extLst>
            <c:ext xmlns:c16="http://schemas.microsoft.com/office/drawing/2014/chart" uri="{C3380CC4-5D6E-409C-BE32-E72D297353CC}">
              <c16:uniqueId val="{00000002-A005-6A40-BA86-7C5522D53B93}"/>
            </c:ext>
          </c:extLst>
        </c:ser>
        <c:dLbls>
          <c:showLegendKey val="0"/>
          <c:showVal val="0"/>
          <c:showCatName val="0"/>
          <c:showSerName val="0"/>
          <c:showPercent val="0"/>
          <c:showBubbleSize val="0"/>
        </c:dLbls>
        <c:axId val="553684992"/>
        <c:axId val="553686672"/>
      </c:scatterChart>
      <c:valAx>
        <c:axId val="553684992"/>
        <c:scaling>
          <c:orientation val="minMax"/>
          <c:max val="6500"/>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6672"/>
        <c:crosses val="autoZero"/>
        <c:crossBetween val="midCat"/>
      </c:valAx>
      <c:valAx>
        <c:axId val="553686672"/>
        <c:scaling>
          <c:orientation val="minMax"/>
          <c:max val="65.625000000086857"/>
          <c:min val="65.6000000000007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84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18" Type="http://schemas.openxmlformats.org/officeDocument/2006/relationships/chart" Target="../charts/chart19.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17" Type="http://schemas.openxmlformats.org/officeDocument/2006/relationships/chart" Target="../charts/chart18.xml"/><Relationship Id="rId2" Type="http://schemas.openxmlformats.org/officeDocument/2006/relationships/chart" Target="../charts/chart3.xml"/><Relationship Id="rId16" Type="http://schemas.openxmlformats.org/officeDocument/2006/relationships/chart" Target="../charts/chart17.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5" Type="http://schemas.openxmlformats.org/officeDocument/2006/relationships/chart" Target="../charts/chart16.xml"/><Relationship Id="rId10" Type="http://schemas.openxmlformats.org/officeDocument/2006/relationships/chart" Target="../charts/chart11.xml"/><Relationship Id="rId19" Type="http://schemas.openxmlformats.org/officeDocument/2006/relationships/chart" Target="../charts/chart20.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15</xdr:col>
      <xdr:colOff>730249</xdr:colOff>
      <xdr:row>99</xdr:row>
      <xdr:rowOff>96837</xdr:rowOff>
    </xdr:from>
    <xdr:to>
      <xdr:col>31</xdr:col>
      <xdr:colOff>95249</xdr:colOff>
      <xdr:row>152</xdr:row>
      <xdr:rowOff>15874</xdr:rowOff>
    </xdr:to>
    <xdr:graphicFrame macro="">
      <xdr:nvGraphicFramePr>
        <xdr:cNvPr id="10" name="Chart 9">
          <a:extLst>
            <a:ext uri="{FF2B5EF4-FFF2-40B4-BE49-F238E27FC236}">
              <a16:creationId xmlns:a16="http://schemas.microsoft.com/office/drawing/2014/main" id="{2D6C642D-BACB-374D-8642-3E062C807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7937</xdr:colOff>
      <xdr:row>24</xdr:row>
      <xdr:rowOff>49213</xdr:rowOff>
    </xdr:from>
    <xdr:to>
      <xdr:col>22</xdr:col>
      <xdr:colOff>571499</xdr:colOff>
      <xdr:row>46</xdr:row>
      <xdr:rowOff>79375</xdr:rowOff>
    </xdr:to>
    <xdr:graphicFrame macro="">
      <xdr:nvGraphicFramePr>
        <xdr:cNvPr id="2" name="Chart 1">
          <a:extLst>
            <a:ext uri="{FF2B5EF4-FFF2-40B4-BE49-F238E27FC236}">
              <a16:creationId xmlns:a16="http://schemas.microsoft.com/office/drawing/2014/main" id="{EE7EC7DC-AAC2-0F46-93F7-4DFE42856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690563</xdr:colOff>
      <xdr:row>75</xdr:row>
      <xdr:rowOff>158750</xdr:rowOff>
    </xdr:from>
    <xdr:to>
      <xdr:col>22</xdr:col>
      <xdr:colOff>508000</xdr:colOff>
      <xdr:row>95</xdr:row>
      <xdr:rowOff>173038</xdr:rowOff>
    </xdr:to>
    <xdr:graphicFrame macro="">
      <xdr:nvGraphicFramePr>
        <xdr:cNvPr id="3" name="Chart 2">
          <a:extLst>
            <a:ext uri="{FF2B5EF4-FFF2-40B4-BE49-F238E27FC236}">
              <a16:creationId xmlns:a16="http://schemas.microsoft.com/office/drawing/2014/main" id="{8269EF98-D8E6-0041-B71D-2B22694DB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7938</xdr:colOff>
      <xdr:row>50</xdr:row>
      <xdr:rowOff>128588</xdr:rowOff>
    </xdr:from>
    <xdr:to>
      <xdr:col>22</xdr:col>
      <xdr:colOff>142875</xdr:colOff>
      <xdr:row>72</xdr:row>
      <xdr:rowOff>158750</xdr:rowOff>
    </xdr:to>
    <xdr:graphicFrame macro="">
      <xdr:nvGraphicFramePr>
        <xdr:cNvPr id="4" name="Chart 3">
          <a:extLst>
            <a:ext uri="{FF2B5EF4-FFF2-40B4-BE49-F238E27FC236}">
              <a16:creationId xmlns:a16="http://schemas.microsoft.com/office/drawing/2014/main" id="{CF376AF3-8580-ED4A-9F69-74A761A41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730249</xdr:colOff>
      <xdr:row>99</xdr:row>
      <xdr:rowOff>96837</xdr:rowOff>
    </xdr:from>
    <xdr:to>
      <xdr:col>31</xdr:col>
      <xdr:colOff>95249</xdr:colOff>
      <xdr:row>152</xdr:row>
      <xdr:rowOff>15874</xdr:rowOff>
    </xdr:to>
    <xdr:graphicFrame macro="">
      <xdr:nvGraphicFramePr>
        <xdr:cNvPr id="5" name="Chart 4">
          <a:extLst>
            <a:ext uri="{FF2B5EF4-FFF2-40B4-BE49-F238E27FC236}">
              <a16:creationId xmlns:a16="http://schemas.microsoft.com/office/drawing/2014/main" id="{ED5A8457-1158-E049-AF4B-D7370BB8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984250</xdr:colOff>
      <xdr:row>24</xdr:row>
      <xdr:rowOff>17462</xdr:rowOff>
    </xdr:from>
    <xdr:to>
      <xdr:col>30</xdr:col>
      <xdr:colOff>635000</xdr:colOff>
      <xdr:row>46</xdr:row>
      <xdr:rowOff>111125</xdr:rowOff>
    </xdr:to>
    <xdr:graphicFrame macro="">
      <xdr:nvGraphicFramePr>
        <xdr:cNvPr id="6" name="Chart 5">
          <a:extLst>
            <a:ext uri="{FF2B5EF4-FFF2-40B4-BE49-F238E27FC236}">
              <a16:creationId xmlns:a16="http://schemas.microsoft.com/office/drawing/2014/main" id="{5621D0CD-C84A-784F-A1C0-44DF69D42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936625</xdr:colOff>
      <xdr:row>50</xdr:row>
      <xdr:rowOff>128587</xdr:rowOff>
    </xdr:from>
    <xdr:to>
      <xdr:col>30</xdr:col>
      <xdr:colOff>650875</xdr:colOff>
      <xdr:row>73</xdr:row>
      <xdr:rowOff>79374</xdr:rowOff>
    </xdr:to>
    <xdr:graphicFrame macro="">
      <xdr:nvGraphicFramePr>
        <xdr:cNvPr id="7" name="Chart 6">
          <a:extLst>
            <a:ext uri="{FF2B5EF4-FFF2-40B4-BE49-F238E27FC236}">
              <a16:creationId xmlns:a16="http://schemas.microsoft.com/office/drawing/2014/main" id="{4E125A85-CF45-3245-B05C-40B26F4CE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952500</xdr:colOff>
      <xdr:row>75</xdr:row>
      <xdr:rowOff>160338</xdr:rowOff>
    </xdr:from>
    <xdr:to>
      <xdr:col>30</xdr:col>
      <xdr:colOff>508000</xdr:colOff>
      <xdr:row>96</xdr:row>
      <xdr:rowOff>0</xdr:rowOff>
    </xdr:to>
    <xdr:graphicFrame macro="">
      <xdr:nvGraphicFramePr>
        <xdr:cNvPr id="8" name="Chart 7">
          <a:extLst>
            <a:ext uri="{FF2B5EF4-FFF2-40B4-BE49-F238E27FC236}">
              <a16:creationId xmlns:a16="http://schemas.microsoft.com/office/drawing/2014/main" id="{0C7EF49C-A298-0748-A6BB-D1DF30AB1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47624</xdr:colOff>
      <xdr:row>158</xdr:row>
      <xdr:rowOff>31751</xdr:rowOff>
    </xdr:from>
    <xdr:to>
      <xdr:col>22</xdr:col>
      <xdr:colOff>611186</xdr:colOff>
      <xdr:row>180</xdr:row>
      <xdr:rowOff>61913</xdr:rowOff>
    </xdr:to>
    <xdr:graphicFrame macro="">
      <xdr:nvGraphicFramePr>
        <xdr:cNvPr id="19" name="Chart 18">
          <a:extLst>
            <a:ext uri="{FF2B5EF4-FFF2-40B4-BE49-F238E27FC236}">
              <a16:creationId xmlns:a16="http://schemas.microsoft.com/office/drawing/2014/main" id="{B14E05E5-EF18-9A4C-AC5A-9B94C5893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209</xdr:row>
      <xdr:rowOff>141288</xdr:rowOff>
    </xdr:from>
    <xdr:to>
      <xdr:col>22</xdr:col>
      <xdr:colOff>547687</xdr:colOff>
      <xdr:row>229</xdr:row>
      <xdr:rowOff>155576</xdr:rowOff>
    </xdr:to>
    <xdr:graphicFrame macro="">
      <xdr:nvGraphicFramePr>
        <xdr:cNvPr id="20" name="Chart 19">
          <a:extLst>
            <a:ext uri="{FF2B5EF4-FFF2-40B4-BE49-F238E27FC236}">
              <a16:creationId xmlns:a16="http://schemas.microsoft.com/office/drawing/2014/main" id="{CE4392DF-3ED2-364F-86FA-74325A859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47625</xdr:colOff>
      <xdr:row>184</xdr:row>
      <xdr:rowOff>111126</xdr:rowOff>
    </xdr:from>
    <xdr:to>
      <xdr:col>22</xdr:col>
      <xdr:colOff>182562</xdr:colOff>
      <xdr:row>206</xdr:row>
      <xdr:rowOff>141288</xdr:rowOff>
    </xdr:to>
    <xdr:graphicFrame macro="">
      <xdr:nvGraphicFramePr>
        <xdr:cNvPr id="21" name="Chart 20">
          <a:extLst>
            <a:ext uri="{FF2B5EF4-FFF2-40B4-BE49-F238E27FC236}">
              <a16:creationId xmlns:a16="http://schemas.microsoft.com/office/drawing/2014/main" id="{859AAF4C-165C-F945-A705-9C0120144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39686</xdr:colOff>
      <xdr:row>233</xdr:row>
      <xdr:rowOff>79375</xdr:rowOff>
    </xdr:from>
    <xdr:to>
      <xdr:col>31</xdr:col>
      <xdr:colOff>134936</xdr:colOff>
      <xdr:row>285</xdr:row>
      <xdr:rowOff>188912</xdr:rowOff>
    </xdr:to>
    <xdr:graphicFrame macro="">
      <xdr:nvGraphicFramePr>
        <xdr:cNvPr id="22" name="Chart 21">
          <a:extLst>
            <a:ext uri="{FF2B5EF4-FFF2-40B4-BE49-F238E27FC236}">
              <a16:creationId xmlns:a16="http://schemas.microsoft.com/office/drawing/2014/main" id="{28DBA35F-6511-6648-B376-1BFDF58D3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1023937</xdr:colOff>
      <xdr:row>158</xdr:row>
      <xdr:rowOff>0</xdr:rowOff>
    </xdr:from>
    <xdr:to>
      <xdr:col>30</xdr:col>
      <xdr:colOff>674687</xdr:colOff>
      <xdr:row>180</xdr:row>
      <xdr:rowOff>93663</xdr:rowOff>
    </xdr:to>
    <xdr:graphicFrame macro="">
      <xdr:nvGraphicFramePr>
        <xdr:cNvPr id="23" name="Chart 22">
          <a:extLst>
            <a:ext uri="{FF2B5EF4-FFF2-40B4-BE49-F238E27FC236}">
              <a16:creationId xmlns:a16="http://schemas.microsoft.com/office/drawing/2014/main" id="{5BAF0339-0D5A-4B4E-A416-2AC389713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976312</xdr:colOff>
      <xdr:row>184</xdr:row>
      <xdr:rowOff>111125</xdr:rowOff>
    </xdr:from>
    <xdr:to>
      <xdr:col>30</xdr:col>
      <xdr:colOff>690562</xdr:colOff>
      <xdr:row>207</xdr:row>
      <xdr:rowOff>61912</xdr:rowOff>
    </xdr:to>
    <xdr:graphicFrame macro="">
      <xdr:nvGraphicFramePr>
        <xdr:cNvPr id="24" name="Chart 23">
          <a:extLst>
            <a:ext uri="{FF2B5EF4-FFF2-40B4-BE49-F238E27FC236}">
              <a16:creationId xmlns:a16="http://schemas.microsoft.com/office/drawing/2014/main" id="{6FD26221-94BA-4E49-AE13-3E25172A1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992187</xdr:colOff>
      <xdr:row>209</xdr:row>
      <xdr:rowOff>142876</xdr:rowOff>
    </xdr:from>
    <xdr:to>
      <xdr:col>30</xdr:col>
      <xdr:colOff>547687</xdr:colOff>
      <xdr:row>229</xdr:row>
      <xdr:rowOff>173038</xdr:rowOff>
    </xdr:to>
    <xdr:graphicFrame macro="">
      <xdr:nvGraphicFramePr>
        <xdr:cNvPr id="25" name="Chart 24">
          <a:extLst>
            <a:ext uri="{FF2B5EF4-FFF2-40B4-BE49-F238E27FC236}">
              <a16:creationId xmlns:a16="http://schemas.microsoft.com/office/drawing/2014/main" id="{9DCE1255-69D1-1A43-894B-80AD3869B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0</xdr:colOff>
      <xdr:row>442</xdr:row>
      <xdr:rowOff>0</xdr:rowOff>
    </xdr:from>
    <xdr:to>
      <xdr:col>22</xdr:col>
      <xdr:colOff>563562</xdr:colOff>
      <xdr:row>464</xdr:row>
      <xdr:rowOff>30162</xdr:rowOff>
    </xdr:to>
    <xdr:graphicFrame macro="">
      <xdr:nvGraphicFramePr>
        <xdr:cNvPr id="26" name="Chart 25">
          <a:extLst>
            <a:ext uri="{FF2B5EF4-FFF2-40B4-BE49-F238E27FC236}">
              <a16:creationId xmlns:a16="http://schemas.microsoft.com/office/drawing/2014/main" id="{C41977BF-0BEB-7D47-B250-66E1E32DE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0</xdr:colOff>
      <xdr:row>466</xdr:row>
      <xdr:rowOff>0</xdr:rowOff>
    </xdr:from>
    <xdr:to>
      <xdr:col>22</xdr:col>
      <xdr:colOff>134937</xdr:colOff>
      <xdr:row>488</xdr:row>
      <xdr:rowOff>30162</xdr:rowOff>
    </xdr:to>
    <xdr:graphicFrame macro="">
      <xdr:nvGraphicFramePr>
        <xdr:cNvPr id="27" name="Chart 26">
          <a:extLst>
            <a:ext uri="{FF2B5EF4-FFF2-40B4-BE49-F238E27FC236}">
              <a16:creationId xmlns:a16="http://schemas.microsoft.com/office/drawing/2014/main" id="{42AB48E5-A83F-0D43-9EE4-9C41171E2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0</xdr:colOff>
      <xdr:row>489</xdr:row>
      <xdr:rowOff>0</xdr:rowOff>
    </xdr:from>
    <xdr:to>
      <xdr:col>22</xdr:col>
      <xdr:colOff>547687</xdr:colOff>
      <xdr:row>509</xdr:row>
      <xdr:rowOff>14288</xdr:rowOff>
    </xdr:to>
    <xdr:graphicFrame macro="">
      <xdr:nvGraphicFramePr>
        <xdr:cNvPr id="28" name="Chart 27">
          <a:extLst>
            <a:ext uri="{FF2B5EF4-FFF2-40B4-BE49-F238E27FC236}">
              <a16:creationId xmlns:a16="http://schemas.microsoft.com/office/drawing/2014/main" id="{BFB8CD26-75B8-3E47-8F7E-DA737F7C7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0</xdr:colOff>
      <xdr:row>546</xdr:row>
      <xdr:rowOff>0</xdr:rowOff>
    </xdr:from>
    <xdr:to>
      <xdr:col>22</xdr:col>
      <xdr:colOff>563562</xdr:colOff>
      <xdr:row>568</xdr:row>
      <xdr:rowOff>30162</xdr:rowOff>
    </xdr:to>
    <xdr:graphicFrame macro="">
      <xdr:nvGraphicFramePr>
        <xdr:cNvPr id="29" name="Chart 28">
          <a:extLst>
            <a:ext uri="{FF2B5EF4-FFF2-40B4-BE49-F238E27FC236}">
              <a16:creationId xmlns:a16="http://schemas.microsoft.com/office/drawing/2014/main" id="{906B3B17-7045-F247-9392-7409402BB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0</xdr:colOff>
      <xdr:row>569</xdr:row>
      <xdr:rowOff>0</xdr:rowOff>
    </xdr:from>
    <xdr:to>
      <xdr:col>22</xdr:col>
      <xdr:colOff>134937</xdr:colOff>
      <xdr:row>591</xdr:row>
      <xdr:rowOff>30162</xdr:rowOff>
    </xdr:to>
    <xdr:graphicFrame macro="">
      <xdr:nvGraphicFramePr>
        <xdr:cNvPr id="30" name="Chart 29">
          <a:extLst>
            <a:ext uri="{FF2B5EF4-FFF2-40B4-BE49-F238E27FC236}">
              <a16:creationId xmlns:a16="http://schemas.microsoft.com/office/drawing/2014/main" id="{2743633B-3BE2-F84F-A0BE-5792A4B25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emp" connectionId="1" xr16:uid="{1110B989-18B1-F445-BB94-CB846F077F2D}"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J38"/>
  <sheetViews>
    <sheetView workbookViewId="0">
      <selection activeCell="B25" sqref="B25"/>
    </sheetView>
  </sheetViews>
  <sheetFormatPr baseColWidth="10" defaultColWidth="11.5" defaultRowHeight="15" x14ac:dyDescent="0.2"/>
  <cols>
    <col min="1" max="1" width="24.33203125" style="1" customWidth="1"/>
    <col min="2" max="2" width="77.1640625" style="1" customWidth="1"/>
    <col min="3" max="1024" width="10.33203125" style="1" customWidth="1"/>
    <col min="1025" max="1025" width="10.33203125" customWidth="1"/>
  </cols>
  <sheetData>
    <row r="1" spans="1:1024" ht="14" customHeight="1"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3" spans="1:1024" ht="14" customHeight="1" x14ac:dyDescent="0.2">
      <c r="A3" s="2"/>
      <c r="B3" s="3" t="s">
        <v>0</v>
      </c>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14" spans="1:1024" ht="16" customHeight="1" x14ac:dyDescent="0.2">
      <c r="A14" s="5" t="s">
        <v>1</v>
      </c>
      <c r="B14" s="4" t="s">
        <v>2</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6" customHeight="1" x14ac:dyDescent="0.2">
      <c r="A15" s="5" t="s">
        <v>3</v>
      </c>
      <c r="B15" s="4" t="s">
        <v>4</v>
      </c>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6" customHeight="1" x14ac:dyDescent="0.2">
      <c r="A16" s="5"/>
      <c r="B16" s="5"/>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2" s="7" customFormat="1" ht="55.5" customHeight="1" x14ac:dyDescent="0.25">
      <c r="A17" s="5" t="s">
        <v>5</v>
      </c>
      <c r="B17" s="6" t="s">
        <v>6</v>
      </c>
    </row>
    <row r="18" spans="1:2" ht="16" customHeight="1" x14ac:dyDescent="0.2">
      <c r="A18" s="5"/>
      <c r="B18" s="5"/>
    </row>
    <row r="19" spans="1:2" ht="16" customHeight="1" x14ac:dyDescent="0.2">
      <c r="A19" s="5" t="s">
        <v>7</v>
      </c>
      <c r="B19" s="4" t="s">
        <v>8</v>
      </c>
    </row>
    <row r="20" spans="1:2" ht="16" customHeight="1" x14ac:dyDescent="0.2">
      <c r="A20" s="5" t="s">
        <v>9</v>
      </c>
      <c r="B20" s="4" t="s">
        <v>10</v>
      </c>
    </row>
    <row r="21" spans="1:2" ht="16" customHeight="1" x14ac:dyDescent="0.2">
      <c r="A21" s="5" t="s">
        <v>11</v>
      </c>
      <c r="B21" s="4" t="s">
        <v>12</v>
      </c>
    </row>
    <row r="22" spans="1:2" ht="16" customHeight="1" x14ac:dyDescent="0.2">
      <c r="A22" s="5" t="s">
        <v>13</v>
      </c>
      <c r="B22" s="4" t="s">
        <v>14</v>
      </c>
    </row>
    <row r="23" spans="1:2" ht="16" customHeight="1" x14ac:dyDescent="0.2">
      <c r="A23" s="5" t="s">
        <v>15</v>
      </c>
      <c r="B23" s="4" t="s">
        <v>16</v>
      </c>
    </row>
    <row r="24" spans="1:2" ht="16" customHeight="1" x14ac:dyDescent="0.2">
      <c r="A24" s="5"/>
      <c r="B24" s="4"/>
    </row>
    <row r="25" spans="1:2" ht="16" customHeight="1" x14ac:dyDescent="0.2">
      <c r="A25" s="5"/>
      <c r="B25" s="4"/>
    </row>
    <row r="26" spans="1:2" ht="16" customHeight="1" x14ac:dyDescent="0.2">
      <c r="A26" s="5"/>
      <c r="B26" s="4"/>
    </row>
    <row r="27" spans="1:2" ht="16" customHeight="1" x14ac:dyDescent="0.2">
      <c r="A27" s="5"/>
      <c r="B27" s="4"/>
    </row>
    <row r="28" spans="1:2" ht="16" customHeight="1" x14ac:dyDescent="0.2">
      <c r="A28" s="5"/>
      <c r="B28" s="4"/>
    </row>
    <row r="29" spans="1:2" ht="16" customHeight="1" x14ac:dyDescent="0.2">
      <c r="A29" s="5"/>
      <c r="B29" s="4"/>
    </row>
    <row r="30" spans="1:2" ht="16" customHeight="1" x14ac:dyDescent="0.2">
      <c r="A30" s="5"/>
      <c r="B30" s="4"/>
    </row>
    <row r="31" spans="1:2" ht="16" customHeight="1" x14ac:dyDescent="0.2">
      <c r="A31" s="5"/>
      <c r="B31" s="4"/>
    </row>
    <row r="32" spans="1:2" ht="16" customHeight="1" x14ac:dyDescent="0.2">
      <c r="A32" s="5"/>
      <c r="B32" s="4"/>
    </row>
    <row r="33" spans="1:2" ht="16" customHeight="1" x14ac:dyDescent="0.2">
      <c r="A33" s="5"/>
      <c r="B33" s="4"/>
    </row>
    <row r="34" spans="1:2" ht="16" customHeight="1" x14ac:dyDescent="0.2">
      <c r="A34" s="5"/>
      <c r="B34" s="4"/>
    </row>
    <row r="35" spans="1:2" ht="16" customHeight="1" x14ac:dyDescent="0.2">
      <c r="A35" s="5"/>
      <c r="B35" s="5"/>
    </row>
    <row r="36" spans="1:2" ht="16" customHeight="1" x14ac:dyDescent="0.2">
      <c r="A36" s="8" t="s">
        <v>17</v>
      </c>
      <c r="B36" s="9" t="s">
        <v>18</v>
      </c>
    </row>
    <row r="37" spans="1:2" ht="16" customHeight="1" x14ac:dyDescent="0.2">
      <c r="A37" s="8" t="s">
        <v>19</v>
      </c>
      <c r="B37" s="9"/>
    </row>
    <row r="38" spans="1:2" ht="16" customHeight="1" x14ac:dyDescent="0.2">
      <c r="A38" s="8" t="s">
        <v>20</v>
      </c>
      <c r="B38" s="9" t="s">
        <v>21</v>
      </c>
    </row>
  </sheetData>
  <pageMargins left="0.75" right="0.75" top="1" bottom="1" header="0.5" footer="0.5"/>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2"/>
  <sheetViews>
    <sheetView workbookViewId="0">
      <selection activeCell="A2" sqref="A2"/>
    </sheetView>
  </sheetViews>
  <sheetFormatPr baseColWidth="10" defaultColWidth="11.5" defaultRowHeight="15" x14ac:dyDescent="0.2"/>
  <cols>
    <col min="1" max="1" width="173.6640625" style="10" customWidth="1"/>
    <col min="2" max="1025" width="10.6640625" customWidth="1"/>
  </cols>
  <sheetData>
    <row r="1" spans="1:1" ht="409" customHeight="1" x14ac:dyDescent="0.2">
      <c r="A1" s="11" t="s">
        <v>818</v>
      </c>
    </row>
    <row r="2" spans="1:1" ht="409" customHeight="1" x14ac:dyDescent="0.2">
      <c r="A2" s="78" t="s">
        <v>22</v>
      </c>
    </row>
  </sheetData>
  <pageMargins left="0.75" right="0.75" top="1" bottom="1" header="0.5" footer="0.5"/>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F65"/>
  <sheetViews>
    <sheetView tabSelected="1" zoomScale="120" zoomScaleNormal="120" workbookViewId="0">
      <pane xSplit="3" ySplit="6" topLeftCell="D26" activePane="bottomRight" state="frozenSplit"/>
      <selection pane="topRight" activeCell="G1" sqref="G1"/>
      <selection pane="bottomLeft" activeCell="A21" sqref="A21"/>
      <selection pane="bottomRight" activeCell="A36" sqref="A36"/>
    </sheetView>
  </sheetViews>
  <sheetFormatPr baseColWidth="10" defaultColWidth="53.83203125" defaultRowHeight="15" x14ac:dyDescent="0.2"/>
  <cols>
    <col min="1" max="1" width="21.5" style="27" bestFit="1" customWidth="1"/>
    <col min="2" max="2" width="19.6640625" style="27" customWidth="1"/>
    <col min="3" max="3" width="12.33203125" style="27" bestFit="1" customWidth="1"/>
    <col min="4" max="4" width="18.5" style="27" bestFit="1" customWidth="1"/>
    <col min="5" max="5" width="20.83203125" style="27" customWidth="1"/>
    <col min="6" max="7" width="18.1640625" style="27" bestFit="1" customWidth="1"/>
    <col min="8" max="8" width="15.1640625" style="27" bestFit="1" customWidth="1"/>
    <col min="9" max="9" width="16.33203125" style="55" bestFit="1" customWidth="1"/>
    <col min="10" max="10" width="13.83203125" style="55" bestFit="1" customWidth="1"/>
    <col min="11" max="11" width="16.5" style="27" bestFit="1" customWidth="1"/>
    <col min="12" max="12" width="15.33203125" style="27" bestFit="1" customWidth="1"/>
    <col min="13" max="13" width="15.33203125" style="12" bestFit="1" customWidth="1"/>
    <col min="14" max="14" width="15.5" style="12" bestFit="1" customWidth="1"/>
    <col min="15" max="15" width="18.5" style="27" bestFit="1" customWidth="1"/>
    <col min="16" max="16" width="16.6640625" style="27" bestFit="1" customWidth="1"/>
    <col min="17" max="17" width="17.6640625" style="27" bestFit="1" customWidth="1"/>
    <col min="18" max="18" width="15.1640625" style="21" bestFit="1" customWidth="1"/>
    <col min="19" max="19" width="18.83203125" style="12" bestFit="1" customWidth="1"/>
    <col min="20" max="20" width="19.5" style="12" bestFit="1" customWidth="1"/>
    <col min="21" max="21" width="5" style="12" customWidth="1"/>
    <col min="22" max="22" width="5" style="12" bestFit="1" customWidth="1"/>
    <col min="23" max="31" width="20.6640625" style="27" bestFit="1" customWidth="1"/>
    <col min="32" max="32" width="20.6640625" style="27" customWidth="1"/>
    <col min="33" max="41" width="16.83203125" style="80" bestFit="1" customWidth="1"/>
    <col min="42" max="42" width="16.83203125" style="80" customWidth="1"/>
    <col min="43" max="51" width="18" style="80" bestFit="1" customWidth="1"/>
    <col min="52" max="52" width="18" style="80" customWidth="1"/>
    <col min="53" max="61" width="18" style="80" bestFit="1" customWidth="1"/>
    <col min="62" max="62" width="18" style="80" customWidth="1"/>
    <col min="63" max="71" width="19.5" style="27" bestFit="1" customWidth="1"/>
    <col min="72" max="72" width="19.5" style="27" customWidth="1"/>
    <col min="73" max="81" width="16.1640625" style="27" bestFit="1" customWidth="1"/>
    <col min="82" max="82" width="16.1640625" style="27" customWidth="1"/>
    <col min="83" max="91" width="16.5" style="27" bestFit="1" customWidth="1"/>
    <col min="92" max="92" width="16.5" style="27" customWidth="1"/>
    <col min="93" max="101" width="17.6640625" style="27" bestFit="1" customWidth="1"/>
    <col min="102" max="102" width="18.5" style="27" customWidth="1"/>
    <col min="103" max="111" width="16.5" style="27" bestFit="1" customWidth="1"/>
    <col min="112" max="112" width="16.5" style="27" customWidth="1"/>
    <col min="113" max="121" width="17.6640625" style="27" bestFit="1" customWidth="1"/>
    <col min="122" max="122" width="17.6640625" style="27" customWidth="1"/>
    <col min="123" max="131" width="16.5" style="27" bestFit="1" customWidth="1"/>
    <col min="132" max="132" width="16.5" style="27" customWidth="1"/>
    <col min="133" max="141" width="17.6640625" style="27" bestFit="1" customWidth="1"/>
    <col min="142" max="142" width="18" style="27" customWidth="1"/>
    <col min="143" max="151" width="16.5" style="27" bestFit="1" customWidth="1"/>
    <col min="152" max="152" width="16.5" style="27" customWidth="1"/>
    <col min="153" max="153" width="15.33203125" style="27" bestFit="1" customWidth="1"/>
    <col min="154" max="154" width="15.83203125" style="27" bestFit="1" customWidth="1"/>
    <col min="155" max="155" width="18.5" style="27" bestFit="1" customWidth="1"/>
    <col min="156" max="156" width="16.83203125" style="27" bestFit="1" customWidth="1"/>
    <col min="157" max="157" width="11.6640625" style="27" bestFit="1" customWidth="1"/>
    <col min="158" max="158" width="9.5" style="27" bestFit="1" customWidth="1"/>
    <col min="159" max="159" width="9.83203125" style="27" bestFit="1" customWidth="1"/>
    <col min="160" max="160" width="11.1640625" style="27" bestFit="1" customWidth="1"/>
    <col min="161" max="161" width="12.6640625" style="27" bestFit="1" customWidth="1"/>
    <col min="162" max="162" width="12.33203125" style="27" bestFit="1" customWidth="1"/>
    <col min="163" max="163" width="12.5" style="27" bestFit="1" customWidth="1"/>
    <col min="164" max="164" width="9.5" style="27" bestFit="1" customWidth="1"/>
    <col min="165" max="165" width="9.83203125" style="27" bestFit="1" customWidth="1"/>
    <col min="166" max="166" width="10.1640625" style="27" bestFit="1" customWidth="1"/>
    <col min="167" max="167" width="12.6640625" style="27" bestFit="1" customWidth="1"/>
    <col min="168" max="169" width="12.5" style="27" bestFit="1" customWidth="1"/>
    <col min="170" max="170" width="12.6640625" style="27" bestFit="1" customWidth="1"/>
    <col min="171" max="171" width="22.33203125" style="27" bestFit="1" customWidth="1"/>
    <col min="172" max="172" width="20.5" style="27" bestFit="1" customWidth="1"/>
    <col min="173" max="173" width="12" style="27" bestFit="1" customWidth="1"/>
    <col min="174" max="174" width="13.5" style="27" bestFit="1" customWidth="1"/>
    <col min="175" max="175" width="7.6640625" style="27" customWidth="1"/>
    <col min="176" max="177" width="8.6640625" style="27" bestFit="1" customWidth="1"/>
    <col min="178" max="180" width="7.6640625" style="27" bestFit="1" customWidth="1"/>
    <col min="181" max="181" width="8.6640625" style="27" customWidth="1"/>
    <col min="182" max="183" width="8.6640625" style="27" bestFit="1" customWidth="1"/>
    <col min="184" max="187" width="7.6640625" style="27" bestFit="1" customWidth="1"/>
    <col min="188" max="189" width="8.6640625" style="27" bestFit="1" customWidth="1"/>
    <col min="190" max="193" width="7.6640625" style="27" bestFit="1" customWidth="1"/>
    <col min="194" max="195" width="8.6640625" style="27" bestFit="1" customWidth="1"/>
    <col min="196" max="199" width="7.6640625" style="27" bestFit="1" customWidth="1"/>
    <col min="200" max="201" width="8.6640625" style="27" bestFit="1" customWidth="1"/>
    <col min="202" max="205" width="7.6640625" style="27" bestFit="1" customWidth="1"/>
    <col min="206" max="207" width="8.6640625" style="27" bestFit="1" customWidth="1"/>
    <col min="208" max="211" width="7.6640625" style="27" bestFit="1" customWidth="1"/>
    <col min="212" max="213" width="8.6640625" style="27" bestFit="1" customWidth="1"/>
    <col min="214" max="232" width="7.6640625" style="27" bestFit="1" customWidth="1"/>
    <col min="233" max="233" width="12.1640625" style="27" bestFit="1" customWidth="1"/>
    <col min="234" max="234" width="13.5" style="27" bestFit="1" customWidth="1"/>
    <col min="235" max="235" width="17.5" style="27" bestFit="1" customWidth="1"/>
    <col min="236" max="236" width="16.6640625" style="27" bestFit="1" customWidth="1"/>
    <col min="237" max="237" width="15.33203125" style="27" bestFit="1" customWidth="1"/>
    <col min="238" max="238" width="12.1640625" style="27" bestFit="1" customWidth="1"/>
    <col min="239" max="239" width="13.5" style="27" bestFit="1" customWidth="1"/>
    <col min="240" max="240" width="17.5" style="27" bestFit="1" customWidth="1"/>
    <col min="241" max="241" width="16.6640625" style="27" bestFit="1" customWidth="1"/>
    <col min="242" max="242" width="15.33203125" style="27" bestFit="1" customWidth="1"/>
    <col min="243" max="243" width="12.1640625" style="27" bestFit="1" customWidth="1"/>
    <col min="244" max="244" width="13.5" style="27" bestFit="1" customWidth="1"/>
    <col min="245" max="245" width="17.5" style="27" bestFit="1" customWidth="1"/>
    <col min="246" max="246" width="16.6640625" style="27" bestFit="1" customWidth="1"/>
    <col min="247" max="247" width="15.33203125" style="27" bestFit="1" customWidth="1"/>
    <col min="248" max="248" width="12.1640625" style="27" bestFit="1" customWidth="1"/>
    <col min="249" max="249" width="13.5" style="27" bestFit="1" customWidth="1"/>
    <col min="250" max="250" width="17.5" style="27" bestFit="1" customWidth="1"/>
    <col min="251" max="251" width="16.6640625" style="27" bestFit="1" customWidth="1"/>
    <col min="252" max="252" width="15.33203125" style="27" bestFit="1" customWidth="1"/>
    <col min="253" max="253" width="12.1640625" style="27" bestFit="1" customWidth="1"/>
    <col min="254" max="254" width="13.5" style="27" bestFit="1" customWidth="1"/>
    <col min="255" max="255" width="17.5" style="27" bestFit="1" customWidth="1"/>
    <col min="256" max="256" width="16.6640625" style="27" bestFit="1" customWidth="1"/>
    <col min="257" max="257" width="14.83203125" style="27" bestFit="1" customWidth="1"/>
    <col min="258" max="258" width="12.1640625" style="27" bestFit="1" customWidth="1"/>
    <col min="259" max="259" width="13.5" style="27" bestFit="1" customWidth="1"/>
    <col min="260" max="260" width="17.5" style="27" bestFit="1" customWidth="1"/>
    <col min="261" max="261" width="16.6640625" style="27" bestFit="1" customWidth="1"/>
    <col min="262" max="262" width="14.83203125" style="27" bestFit="1" customWidth="1"/>
    <col min="263" max="263" width="12.1640625" style="27" bestFit="1" customWidth="1"/>
    <col min="264" max="264" width="13.5" style="27" bestFit="1" customWidth="1"/>
    <col min="265" max="265" width="17.5" style="27" bestFit="1" customWidth="1"/>
    <col min="266" max="266" width="16.6640625" style="27" bestFit="1" customWidth="1"/>
    <col min="267" max="267" width="14.83203125" style="27" bestFit="1" customWidth="1"/>
    <col min="268" max="268" width="12.1640625" style="27" bestFit="1" customWidth="1"/>
    <col min="269" max="269" width="13.5" style="27" bestFit="1" customWidth="1"/>
    <col min="270" max="270" width="17.5" style="27" bestFit="1" customWidth="1"/>
    <col min="271" max="271" width="16.6640625" style="27" bestFit="1" customWidth="1"/>
    <col min="272" max="272" width="14.83203125" style="27" bestFit="1" customWidth="1"/>
    <col min="273" max="273" width="12.1640625" style="27" bestFit="1" customWidth="1"/>
    <col min="274" max="274" width="13.5" style="27" bestFit="1" customWidth="1"/>
    <col min="275" max="275" width="17.5" style="27" bestFit="1" customWidth="1"/>
    <col min="276" max="276" width="16.6640625" style="27" bestFit="1" customWidth="1"/>
    <col min="277" max="277" width="14.83203125" style="27" bestFit="1" customWidth="1"/>
    <col min="278" max="278" width="13.33203125" style="27" bestFit="1" customWidth="1"/>
    <col min="279" max="279" width="14.5" style="27" bestFit="1" customWidth="1"/>
    <col min="280" max="280" width="18.6640625" style="27" bestFit="1" customWidth="1"/>
    <col min="281" max="281" width="18" style="27" bestFit="1" customWidth="1"/>
    <col min="282" max="282" width="16.33203125" style="27" bestFit="1" customWidth="1"/>
    <col min="283" max="283" width="22.6640625" style="27" customWidth="1"/>
    <col min="284" max="284" width="23" style="27" customWidth="1"/>
    <col min="285" max="285" width="21.1640625" style="98" customWidth="1"/>
    <col min="286" max="286" width="17.6640625" customWidth="1"/>
  </cols>
  <sheetData>
    <row r="1" spans="1:318" ht="28" x14ac:dyDescent="0.2">
      <c r="A1" t="s">
        <v>389</v>
      </c>
      <c r="B1" s="47" t="s">
        <v>23</v>
      </c>
      <c r="C1" s="27" t="s">
        <v>24</v>
      </c>
      <c r="D1" s="47" t="s">
        <v>25</v>
      </c>
      <c r="E1" s="47" t="s">
        <v>26</v>
      </c>
      <c r="F1" s="47" t="s">
        <v>27</v>
      </c>
      <c r="G1" s="27" t="s">
        <v>28</v>
      </c>
      <c r="H1" s="27" t="s">
        <v>29</v>
      </c>
      <c r="I1" s="55" t="s">
        <v>421</v>
      </c>
      <c r="J1" s="55" t="s">
        <v>422</v>
      </c>
      <c r="K1" s="27" t="s">
        <v>30</v>
      </c>
      <c r="L1" s="27" t="s">
        <v>31</v>
      </c>
      <c r="M1" s="12" t="s">
        <v>32</v>
      </c>
      <c r="N1" s="12" t="s">
        <v>33</v>
      </c>
      <c r="O1" s="47" t="s">
        <v>386</v>
      </c>
      <c r="P1" s="47" t="s">
        <v>385</v>
      </c>
      <c r="Q1" s="27" t="s">
        <v>117</v>
      </c>
      <c r="R1" s="21" t="s">
        <v>34</v>
      </c>
      <c r="S1" s="48" t="s">
        <v>35</v>
      </c>
      <c r="T1" s="12" t="s">
        <v>36</v>
      </c>
      <c r="U1" s="12" t="s">
        <v>440</v>
      </c>
      <c r="V1" s="48" t="s">
        <v>796</v>
      </c>
      <c r="W1" s="47" t="s">
        <v>37</v>
      </c>
      <c r="X1" s="27" t="s">
        <v>38</v>
      </c>
      <c r="Y1" s="27" t="s">
        <v>39</v>
      </c>
      <c r="Z1" s="27" t="s">
        <v>40</v>
      </c>
      <c r="AA1" s="27" t="s">
        <v>41</v>
      </c>
      <c r="AB1" s="27" t="s">
        <v>42</v>
      </c>
      <c r="AC1" s="27" t="s">
        <v>43</v>
      </c>
      <c r="AD1" s="27" t="s">
        <v>44</v>
      </c>
      <c r="AE1" s="27" t="s">
        <v>442</v>
      </c>
      <c r="AF1" s="27" t="s">
        <v>753</v>
      </c>
      <c r="AG1" s="79" t="s">
        <v>45</v>
      </c>
      <c r="AH1" s="80" t="s">
        <v>46</v>
      </c>
      <c r="AI1" s="80" t="s">
        <v>47</v>
      </c>
      <c r="AJ1" s="80" t="s">
        <v>48</v>
      </c>
      <c r="AK1" s="80" t="s">
        <v>49</v>
      </c>
      <c r="AL1" s="80" t="s">
        <v>50</v>
      </c>
      <c r="AM1" s="80" t="s">
        <v>51</v>
      </c>
      <c r="AN1" s="80" t="s">
        <v>52</v>
      </c>
      <c r="AO1" s="80" t="s">
        <v>451</v>
      </c>
      <c r="AP1" s="80" t="s">
        <v>754</v>
      </c>
      <c r="AQ1" s="79" t="s">
        <v>53</v>
      </c>
      <c r="AR1" s="80" t="s">
        <v>54</v>
      </c>
      <c r="AS1" s="80" t="s">
        <v>55</v>
      </c>
      <c r="AT1" s="80" t="s">
        <v>56</v>
      </c>
      <c r="AU1" s="80" t="s">
        <v>57</v>
      </c>
      <c r="AV1" s="80" t="s">
        <v>58</v>
      </c>
      <c r="AW1" s="80" t="s">
        <v>59</v>
      </c>
      <c r="AX1" s="80" t="s">
        <v>60</v>
      </c>
      <c r="AY1" s="80" t="s">
        <v>452</v>
      </c>
      <c r="AZ1" s="80" t="s">
        <v>757</v>
      </c>
      <c r="BA1" s="79" t="s">
        <v>61</v>
      </c>
      <c r="BB1" s="80" t="s">
        <v>62</v>
      </c>
      <c r="BC1" s="80" t="s">
        <v>63</v>
      </c>
      <c r="BD1" s="80" t="s">
        <v>64</v>
      </c>
      <c r="BE1" s="80" t="s">
        <v>65</v>
      </c>
      <c r="BF1" s="80" t="s">
        <v>66</v>
      </c>
      <c r="BG1" s="80" t="s">
        <v>67</v>
      </c>
      <c r="BH1" s="80" t="s">
        <v>68</v>
      </c>
      <c r="BI1" s="80" t="s">
        <v>453</v>
      </c>
      <c r="BJ1" s="80" t="s">
        <v>760</v>
      </c>
      <c r="BK1" s="47" t="s">
        <v>454</v>
      </c>
      <c r="BL1" s="27" t="s">
        <v>455</v>
      </c>
      <c r="BM1" s="27" t="s">
        <v>456</v>
      </c>
      <c r="BN1" s="27" t="s">
        <v>457</v>
      </c>
      <c r="BO1" s="27" t="s">
        <v>458</v>
      </c>
      <c r="BP1" s="27" t="s">
        <v>459</v>
      </c>
      <c r="BQ1" s="27" t="s">
        <v>460</v>
      </c>
      <c r="BR1" s="27" t="s">
        <v>461</v>
      </c>
      <c r="BS1" s="27" t="s">
        <v>462</v>
      </c>
      <c r="BT1" s="27" t="s">
        <v>763</v>
      </c>
      <c r="BU1" s="27" t="s">
        <v>463</v>
      </c>
      <c r="BV1" s="27" t="s">
        <v>464</v>
      </c>
      <c r="BW1" s="27" t="s">
        <v>465</v>
      </c>
      <c r="BX1" s="27" t="s">
        <v>466</v>
      </c>
      <c r="BY1" s="27" t="s">
        <v>467</v>
      </c>
      <c r="BZ1" s="27" t="s">
        <v>468</v>
      </c>
      <c r="CA1" s="27" t="s">
        <v>469</v>
      </c>
      <c r="CB1" s="27" t="s">
        <v>470</v>
      </c>
      <c r="CC1" s="27" t="s">
        <v>471</v>
      </c>
      <c r="CD1" s="27" t="s">
        <v>765</v>
      </c>
      <c r="CE1" s="27" t="s">
        <v>472</v>
      </c>
      <c r="CF1" s="27" t="s">
        <v>473</v>
      </c>
      <c r="CG1" s="27" t="s">
        <v>474</v>
      </c>
      <c r="CH1" s="27" t="s">
        <v>475</v>
      </c>
      <c r="CI1" s="27" t="s">
        <v>476</v>
      </c>
      <c r="CJ1" s="27" t="s">
        <v>477</v>
      </c>
      <c r="CK1" s="27" t="s">
        <v>478</v>
      </c>
      <c r="CL1" s="27" t="s">
        <v>479</v>
      </c>
      <c r="CM1" s="27" t="s">
        <v>480</v>
      </c>
      <c r="CN1" s="27" t="s">
        <v>768</v>
      </c>
      <c r="CO1" s="47" t="s">
        <v>69</v>
      </c>
      <c r="CP1" s="27" t="s">
        <v>70</v>
      </c>
      <c r="CQ1" s="27" t="s">
        <v>71</v>
      </c>
      <c r="CR1" s="27" t="s">
        <v>72</v>
      </c>
      <c r="CS1" s="27" t="s">
        <v>73</v>
      </c>
      <c r="CT1" s="27" t="s">
        <v>74</v>
      </c>
      <c r="CU1" s="27" t="s">
        <v>75</v>
      </c>
      <c r="CV1" s="27" t="s">
        <v>76</v>
      </c>
      <c r="CW1" s="27" t="s">
        <v>536</v>
      </c>
      <c r="CX1" s="27" t="s">
        <v>771</v>
      </c>
      <c r="CY1" s="27" t="s">
        <v>77</v>
      </c>
      <c r="CZ1" s="27" t="s">
        <v>78</v>
      </c>
      <c r="DA1" s="27" t="s">
        <v>79</v>
      </c>
      <c r="DB1" s="27" t="s">
        <v>80</v>
      </c>
      <c r="DC1" s="27" t="s">
        <v>81</v>
      </c>
      <c r="DD1" s="27" t="s">
        <v>82</v>
      </c>
      <c r="DE1" s="27" t="s">
        <v>83</v>
      </c>
      <c r="DF1" s="27" t="s">
        <v>84</v>
      </c>
      <c r="DG1" s="27" t="s">
        <v>546</v>
      </c>
      <c r="DH1" s="27" t="s">
        <v>774</v>
      </c>
      <c r="DI1" s="27" t="s">
        <v>85</v>
      </c>
      <c r="DJ1" s="27" t="s">
        <v>86</v>
      </c>
      <c r="DK1" s="27" t="s">
        <v>87</v>
      </c>
      <c r="DL1" s="27" t="s">
        <v>88</v>
      </c>
      <c r="DM1" s="27" t="s">
        <v>89</v>
      </c>
      <c r="DN1" s="27" t="s">
        <v>90</v>
      </c>
      <c r="DO1" s="27" t="s">
        <v>91</v>
      </c>
      <c r="DP1" s="27" t="s">
        <v>92</v>
      </c>
      <c r="DQ1" s="27" t="s">
        <v>555</v>
      </c>
      <c r="DR1" s="27" t="s">
        <v>777</v>
      </c>
      <c r="DS1" s="27" t="s">
        <v>93</v>
      </c>
      <c r="DT1" s="27" t="s">
        <v>94</v>
      </c>
      <c r="DU1" s="27" t="s">
        <v>95</v>
      </c>
      <c r="DV1" s="27" t="s">
        <v>96</v>
      </c>
      <c r="DW1" s="27" t="s">
        <v>97</v>
      </c>
      <c r="DX1" s="27" t="s">
        <v>98</v>
      </c>
      <c r="DY1" s="27" t="s">
        <v>99</v>
      </c>
      <c r="DZ1" s="27" t="s">
        <v>100</v>
      </c>
      <c r="EA1" s="27" t="s">
        <v>565</v>
      </c>
      <c r="EB1" s="27" t="s">
        <v>780</v>
      </c>
      <c r="EC1" s="27" t="s">
        <v>101</v>
      </c>
      <c r="ED1" s="27" t="s">
        <v>102</v>
      </c>
      <c r="EE1" s="27" t="s">
        <v>103</v>
      </c>
      <c r="EF1" s="27" t="s">
        <v>104</v>
      </c>
      <c r="EG1" s="27" t="s">
        <v>105</v>
      </c>
      <c r="EH1" s="27" t="s">
        <v>106</v>
      </c>
      <c r="EI1" s="27" t="s">
        <v>107</v>
      </c>
      <c r="EJ1" s="27" t="s">
        <v>108</v>
      </c>
      <c r="EK1" s="27" t="s">
        <v>575</v>
      </c>
      <c r="EL1" s="27" t="s">
        <v>783</v>
      </c>
      <c r="EM1" s="27" t="s">
        <v>109</v>
      </c>
      <c r="EN1" s="27" t="s">
        <v>110</v>
      </c>
      <c r="EO1" s="27" t="s">
        <v>111</v>
      </c>
      <c r="EP1" s="27" t="s">
        <v>112</v>
      </c>
      <c r="EQ1" s="27" t="s">
        <v>113</v>
      </c>
      <c r="ER1" s="27" t="s">
        <v>114</v>
      </c>
      <c r="ES1" s="27" t="s">
        <v>115</v>
      </c>
      <c r="ET1" s="27" t="s">
        <v>116</v>
      </c>
      <c r="EU1" s="27" t="s">
        <v>576</v>
      </c>
      <c r="EV1" s="27" t="s">
        <v>786</v>
      </c>
      <c r="EW1" s="47" t="s">
        <v>424</v>
      </c>
      <c r="EX1" s="47" t="s">
        <v>425</v>
      </c>
      <c r="EY1" s="27" t="s">
        <v>118</v>
      </c>
      <c r="EZ1" s="27" t="s">
        <v>119</v>
      </c>
      <c r="FA1" s="47" t="s">
        <v>701</v>
      </c>
      <c r="FB1" s="27" t="s">
        <v>702</v>
      </c>
      <c r="FC1" s="27" t="s">
        <v>703</v>
      </c>
      <c r="FD1" s="27" t="s">
        <v>704</v>
      </c>
      <c r="FE1" s="27" t="s">
        <v>705</v>
      </c>
      <c r="FF1" s="27" t="s">
        <v>706</v>
      </c>
      <c r="FG1" s="27" t="s">
        <v>812</v>
      </c>
      <c r="FH1" s="27" t="s">
        <v>707</v>
      </c>
      <c r="FI1" s="27" t="s">
        <v>708</v>
      </c>
      <c r="FJ1" s="27" t="s">
        <v>709</v>
      </c>
      <c r="FK1" s="27" t="s">
        <v>710</v>
      </c>
      <c r="FL1" s="27" t="s">
        <v>711</v>
      </c>
      <c r="FM1" s="27" t="s">
        <v>813</v>
      </c>
      <c r="FN1" s="136" t="s">
        <v>719</v>
      </c>
      <c r="FO1" s="136" t="s">
        <v>120</v>
      </c>
      <c r="FP1" s="136" t="s">
        <v>121</v>
      </c>
      <c r="FQ1" s="137" t="s">
        <v>122</v>
      </c>
      <c r="FR1" s="137" t="s">
        <v>123</v>
      </c>
      <c r="FS1" s="138" t="s">
        <v>124</v>
      </c>
      <c r="FT1" s="138" t="s">
        <v>125</v>
      </c>
      <c r="FU1" s="137" t="s">
        <v>126</v>
      </c>
      <c r="FV1" s="137" t="s">
        <v>127</v>
      </c>
      <c r="FW1" s="140" t="s">
        <v>128</v>
      </c>
      <c r="FX1" s="140" t="s">
        <v>129</v>
      </c>
      <c r="FY1" s="141" t="s">
        <v>130</v>
      </c>
      <c r="FZ1" s="141" t="s">
        <v>131</v>
      </c>
      <c r="GA1" s="140" t="s">
        <v>132</v>
      </c>
      <c r="GB1" s="140" t="s">
        <v>133</v>
      </c>
      <c r="GC1" s="143" t="s">
        <v>134</v>
      </c>
      <c r="GD1" s="143" t="s">
        <v>135</v>
      </c>
      <c r="GE1" s="144" t="s">
        <v>136</v>
      </c>
      <c r="GF1" s="144" t="s">
        <v>137</v>
      </c>
      <c r="GG1" s="143" t="s">
        <v>138</v>
      </c>
      <c r="GH1" s="143" t="s">
        <v>139</v>
      </c>
      <c r="GI1" s="146" t="s">
        <v>140</v>
      </c>
      <c r="GJ1" s="146" t="s">
        <v>141</v>
      </c>
      <c r="GK1" s="147" t="s">
        <v>142</v>
      </c>
      <c r="GL1" s="147" t="s">
        <v>143</v>
      </c>
      <c r="GM1" s="146" t="s">
        <v>144</v>
      </c>
      <c r="GN1" s="146" t="s">
        <v>145</v>
      </c>
      <c r="GO1" s="149" t="s">
        <v>146</v>
      </c>
      <c r="GP1" s="149" t="s">
        <v>147</v>
      </c>
      <c r="GQ1" s="150" t="s">
        <v>148</v>
      </c>
      <c r="GR1" s="150" t="s">
        <v>149</v>
      </c>
      <c r="GS1" s="149" t="s">
        <v>150</v>
      </c>
      <c r="GT1" s="149" t="s">
        <v>151</v>
      </c>
      <c r="GU1" s="137" t="s">
        <v>152</v>
      </c>
      <c r="GV1" s="137" t="s">
        <v>153</v>
      </c>
      <c r="GW1" s="138" t="s">
        <v>154</v>
      </c>
      <c r="GX1" s="138" t="s">
        <v>155</v>
      </c>
      <c r="GY1" s="137" t="s">
        <v>156</v>
      </c>
      <c r="GZ1" s="137" t="s">
        <v>157</v>
      </c>
      <c r="HA1" s="140" t="s">
        <v>158</v>
      </c>
      <c r="HB1" s="140" t="s">
        <v>159</v>
      </c>
      <c r="HC1" s="141" t="s">
        <v>160</v>
      </c>
      <c r="HD1" s="141" t="s">
        <v>161</v>
      </c>
      <c r="HE1" s="140" t="s">
        <v>162</v>
      </c>
      <c r="HF1" s="140" t="s">
        <v>163</v>
      </c>
      <c r="HG1" s="143" t="s">
        <v>164</v>
      </c>
      <c r="HH1" s="143" t="s">
        <v>165</v>
      </c>
      <c r="HI1" s="144" t="s">
        <v>166</v>
      </c>
      <c r="HJ1" s="144" t="s">
        <v>167</v>
      </c>
      <c r="HK1" s="143" t="s">
        <v>168</v>
      </c>
      <c r="HL1" s="143" t="s">
        <v>169</v>
      </c>
      <c r="HM1" s="146" t="s">
        <v>170</v>
      </c>
      <c r="HN1" s="146" t="s">
        <v>171</v>
      </c>
      <c r="HO1" s="147" t="s">
        <v>172</v>
      </c>
      <c r="HP1" s="147" t="s">
        <v>173</v>
      </c>
      <c r="HQ1" s="146" t="s">
        <v>174</v>
      </c>
      <c r="HR1" s="146" t="s">
        <v>175</v>
      </c>
      <c r="HS1" s="149" t="s">
        <v>176</v>
      </c>
      <c r="HT1" s="149" t="s">
        <v>177</v>
      </c>
      <c r="HU1" s="150" t="s">
        <v>178</v>
      </c>
      <c r="HV1" s="150" t="s">
        <v>179</v>
      </c>
      <c r="HW1" s="149" t="s">
        <v>180</v>
      </c>
      <c r="HX1" s="149" t="s">
        <v>181</v>
      </c>
      <c r="HY1" s="137" t="s">
        <v>182</v>
      </c>
      <c r="HZ1" s="137" t="s">
        <v>183</v>
      </c>
      <c r="IA1" s="138" t="s">
        <v>184</v>
      </c>
      <c r="IB1" s="138" t="s">
        <v>185</v>
      </c>
      <c r="IC1" s="137" t="s">
        <v>186</v>
      </c>
      <c r="ID1" s="140" t="s">
        <v>187</v>
      </c>
      <c r="IE1" s="140" t="s">
        <v>188</v>
      </c>
      <c r="IF1" s="141" t="s">
        <v>189</v>
      </c>
      <c r="IG1" s="141" t="s">
        <v>190</v>
      </c>
      <c r="IH1" s="140" t="s">
        <v>191</v>
      </c>
      <c r="II1" s="143" t="s">
        <v>192</v>
      </c>
      <c r="IJ1" s="143" t="s">
        <v>193</v>
      </c>
      <c r="IK1" s="144" t="s">
        <v>194</v>
      </c>
      <c r="IL1" s="144" t="s">
        <v>195</v>
      </c>
      <c r="IM1" s="143" t="s">
        <v>196</v>
      </c>
      <c r="IN1" s="146" t="s">
        <v>197</v>
      </c>
      <c r="IO1" s="146" t="s">
        <v>198</v>
      </c>
      <c r="IP1" s="147" t="s">
        <v>199</v>
      </c>
      <c r="IQ1" s="147" t="s">
        <v>200</v>
      </c>
      <c r="IR1" s="146" t="s">
        <v>201</v>
      </c>
      <c r="IS1" s="149" t="s">
        <v>202</v>
      </c>
      <c r="IT1" s="149" t="s">
        <v>203</v>
      </c>
      <c r="IU1" s="150" t="s">
        <v>204</v>
      </c>
      <c r="IV1" s="150" t="s">
        <v>205</v>
      </c>
      <c r="IW1" s="149" t="s">
        <v>206</v>
      </c>
      <c r="IX1" s="137" t="s">
        <v>207</v>
      </c>
      <c r="IY1" s="137" t="s">
        <v>208</v>
      </c>
      <c r="IZ1" s="138" t="s">
        <v>209</v>
      </c>
      <c r="JA1" s="138" t="s">
        <v>210</v>
      </c>
      <c r="JB1" s="137" t="s">
        <v>211</v>
      </c>
      <c r="JC1" s="13" t="s">
        <v>212</v>
      </c>
      <c r="JD1" s="13" t="s">
        <v>213</v>
      </c>
      <c r="JE1" s="14" t="s">
        <v>214</v>
      </c>
      <c r="JF1" s="14" t="s">
        <v>215</v>
      </c>
      <c r="JG1" s="13" t="s">
        <v>216</v>
      </c>
      <c r="JH1" s="143" t="s">
        <v>217</v>
      </c>
      <c r="JI1" s="143" t="s">
        <v>218</v>
      </c>
      <c r="JJ1" s="144" t="s">
        <v>219</v>
      </c>
      <c r="JK1" s="144" t="s">
        <v>220</v>
      </c>
      <c r="JL1" s="143" t="s">
        <v>221</v>
      </c>
      <c r="JM1" s="146" t="s">
        <v>222</v>
      </c>
      <c r="JN1" s="146" t="s">
        <v>223</v>
      </c>
      <c r="JO1" s="147" t="s">
        <v>224</v>
      </c>
      <c r="JP1" s="147" t="s">
        <v>225</v>
      </c>
      <c r="JQ1" s="146" t="s">
        <v>226</v>
      </c>
      <c r="JR1" s="149" t="s">
        <v>227</v>
      </c>
      <c r="JS1" s="149" t="s">
        <v>228</v>
      </c>
      <c r="JT1" s="150" t="s">
        <v>229</v>
      </c>
      <c r="JU1" s="150" t="s">
        <v>230</v>
      </c>
      <c r="JV1" s="149" t="s">
        <v>231</v>
      </c>
      <c r="JW1" s="51" t="s">
        <v>720</v>
      </c>
      <c r="JX1" s="15" t="s">
        <v>722</v>
      </c>
      <c r="JY1" s="51" t="s">
        <v>790</v>
      </c>
      <c r="JZ1" s="79"/>
      <c r="KA1" s="80"/>
      <c r="KB1" s="80"/>
      <c r="KC1" s="80"/>
      <c r="KD1" s="80"/>
      <c r="KE1" s="80"/>
      <c r="KF1" s="80"/>
      <c r="KG1" s="80"/>
      <c r="KH1" s="80"/>
      <c r="KI1" s="80"/>
      <c r="KJ1" s="79"/>
      <c r="KK1" s="80"/>
      <c r="KL1" s="80"/>
      <c r="KM1" s="80"/>
      <c r="KN1" s="80"/>
      <c r="KO1" s="80"/>
      <c r="KP1" s="80"/>
      <c r="KQ1" s="80"/>
      <c r="KR1" s="80"/>
      <c r="KS1" s="80"/>
      <c r="KT1" s="79"/>
      <c r="KU1" s="80"/>
      <c r="KV1" s="80"/>
      <c r="KW1" s="80"/>
      <c r="KX1" s="80"/>
      <c r="KY1" s="80"/>
      <c r="KZ1" s="80"/>
      <c r="LA1" s="80"/>
      <c r="LB1" s="80"/>
      <c r="LC1" s="80"/>
    </row>
    <row r="2" spans="1:318" s="68" customFormat="1" ht="35" customHeight="1" x14ac:dyDescent="0.2">
      <c r="A2" s="27" t="s">
        <v>245</v>
      </c>
      <c r="B2" s="27" t="s">
        <v>246</v>
      </c>
      <c r="C2" s="27" t="s">
        <v>431</v>
      </c>
      <c r="D2" s="47" t="s">
        <v>694</v>
      </c>
      <c r="E2" s="49" t="s">
        <v>695</v>
      </c>
      <c r="F2" s="61" t="s">
        <v>247</v>
      </c>
      <c r="G2" s="27" t="s">
        <v>248</v>
      </c>
      <c r="H2" s="27" t="s">
        <v>432</v>
      </c>
      <c r="I2" s="55" t="s">
        <v>423</v>
      </c>
      <c r="J2" s="55" t="s">
        <v>433</v>
      </c>
      <c r="K2" s="27" t="s">
        <v>249</v>
      </c>
      <c r="L2" s="27" t="s">
        <v>434</v>
      </c>
      <c r="M2" s="12" t="s">
        <v>435</v>
      </c>
      <c r="N2" s="12" t="s">
        <v>436</v>
      </c>
      <c r="O2" s="27" t="s">
        <v>437</v>
      </c>
      <c r="P2" s="27" t="s">
        <v>438</v>
      </c>
      <c r="Q2" s="27" t="s">
        <v>252</v>
      </c>
      <c r="R2" s="21" t="s">
        <v>439</v>
      </c>
      <c r="S2" s="12" t="s">
        <v>250</v>
      </c>
      <c r="T2" s="12" t="s">
        <v>251</v>
      </c>
      <c r="U2" s="68" t="s">
        <v>440</v>
      </c>
      <c r="V2" s="68" t="s">
        <v>796</v>
      </c>
      <c r="W2" s="68" t="s">
        <v>441</v>
      </c>
      <c r="X2" s="68" t="s">
        <v>443</v>
      </c>
      <c r="Y2" s="68" t="s">
        <v>444</v>
      </c>
      <c r="Z2" s="68" t="s">
        <v>445</v>
      </c>
      <c r="AA2" s="68" t="s">
        <v>446</v>
      </c>
      <c r="AB2" s="68" t="s">
        <v>447</v>
      </c>
      <c r="AC2" s="68" t="s">
        <v>448</v>
      </c>
      <c r="AD2" s="68" t="s">
        <v>449</v>
      </c>
      <c r="AE2" s="68" t="s">
        <v>450</v>
      </c>
      <c r="AF2" s="68" t="s">
        <v>797</v>
      </c>
      <c r="AG2" s="81" t="s">
        <v>483</v>
      </c>
      <c r="AH2" s="81" t="s">
        <v>484</v>
      </c>
      <c r="AI2" s="81" t="s">
        <v>485</v>
      </c>
      <c r="AJ2" s="81" t="s">
        <v>486</v>
      </c>
      <c r="AK2" s="81" t="s">
        <v>487</v>
      </c>
      <c r="AL2" s="81" t="s">
        <v>488</v>
      </c>
      <c r="AM2" s="81" t="s">
        <v>489</v>
      </c>
      <c r="AN2" s="81" t="s">
        <v>490</v>
      </c>
      <c r="AO2" s="81" t="s">
        <v>491</v>
      </c>
      <c r="AP2" s="101" t="s">
        <v>755</v>
      </c>
      <c r="AQ2" s="81" t="s">
        <v>492</v>
      </c>
      <c r="AR2" s="81" t="s">
        <v>493</v>
      </c>
      <c r="AS2" s="81" t="s">
        <v>494</v>
      </c>
      <c r="AT2" s="81" t="s">
        <v>495</v>
      </c>
      <c r="AU2" s="81" t="s">
        <v>496</v>
      </c>
      <c r="AV2" s="81" t="s">
        <v>497</v>
      </c>
      <c r="AW2" s="81" t="s">
        <v>498</v>
      </c>
      <c r="AX2" s="81" t="s">
        <v>499</v>
      </c>
      <c r="AY2" s="81" t="s">
        <v>500</v>
      </c>
      <c r="AZ2" s="101" t="s">
        <v>758</v>
      </c>
      <c r="BA2" s="81" t="s">
        <v>501</v>
      </c>
      <c r="BB2" s="81" t="s">
        <v>502</v>
      </c>
      <c r="BC2" s="81" t="s">
        <v>503</v>
      </c>
      <c r="BD2" s="81" t="s">
        <v>504</v>
      </c>
      <c r="BE2" s="81" t="s">
        <v>505</v>
      </c>
      <c r="BF2" s="81" t="s">
        <v>506</v>
      </c>
      <c r="BG2" s="81" t="s">
        <v>507</v>
      </c>
      <c r="BH2" s="81" t="s">
        <v>508</v>
      </c>
      <c r="BI2" s="81" t="s">
        <v>509</v>
      </c>
      <c r="BJ2" s="101" t="s">
        <v>761</v>
      </c>
      <c r="BK2" s="69" t="s">
        <v>510</v>
      </c>
      <c r="BL2" s="69" t="s">
        <v>511</v>
      </c>
      <c r="BM2" s="69" t="s">
        <v>512</v>
      </c>
      <c r="BN2" s="69" t="s">
        <v>513</v>
      </c>
      <c r="BO2" s="69" t="s">
        <v>514</v>
      </c>
      <c r="BP2" s="69" t="s">
        <v>515</v>
      </c>
      <c r="BQ2" s="69" t="s">
        <v>516</v>
      </c>
      <c r="BR2" s="69" t="s">
        <v>517</v>
      </c>
      <c r="BS2" s="69" t="s">
        <v>518</v>
      </c>
      <c r="BT2" s="48" t="s">
        <v>764</v>
      </c>
      <c r="BU2" s="67" t="s">
        <v>519</v>
      </c>
      <c r="BV2" s="67" t="s">
        <v>520</v>
      </c>
      <c r="BW2" s="67" t="s">
        <v>521</v>
      </c>
      <c r="BX2" s="67" t="s">
        <v>522</v>
      </c>
      <c r="BY2" s="67" t="s">
        <v>523</v>
      </c>
      <c r="BZ2" s="67" t="s">
        <v>524</v>
      </c>
      <c r="CA2" s="67" t="s">
        <v>525</v>
      </c>
      <c r="CB2" s="67" t="s">
        <v>526</v>
      </c>
      <c r="CC2" s="67" t="s">
        <v>527</v>
      </c>
      <c r="CD2" s="49" t="s">
        <v>766</v>
      </c>
      <c r="CE2" s="67" t="s">
        <v>528</v>
      </c>
      <c r="CF2" s="67" t="s">
        <v>529</v>
      </c>
      <c r="CG2" s="67" t="s">
        <v>530</v>
      </c>
      <c r="CH2" s="67" t="s">
        <v>531</v>
      </c>
      <c r="CI2" s="67" t="s">
        <v>532</v>
      </c>
      <c r="CJ2" s="67" t="s">
        <v>533</v>
      </c>
      <c r="CK2" s="67" t="s">
        <v>534</v>
      </c>
      <c r="CL2" s="67" t="s">
        <v>535</v>
      </c>
      <c r="CM2" s="67" t="s">
        <v>482</v>
      </c>
      <c r="CN2" s="49" t="s">
        <v>769</v>
      </c>
      <c r="CO2" s="49" t="s">
        <v>481</v>
      </c>
      <c r="CP2" s="67" t="s">
        <v>537</v>
      </c>
      <c r="CQ2" s="67" t="s">
        <v>538</v>
      </c>
      <c r="CR2" s="67" t="s">
        <v>539</v>
      </c>
      <c r="CS2" s="67" t="s">
        <v>540</v>
      </c>
      <c r="CT2" s="67" t="s">
        <v>541</v>
      </c>
      <c r="CU2" s="67" t="s">
        <v>542</v>
      </c>
      <c r="CV2" s="67" t="s">
        <v>543</v>
      </c>
      <c r="CW2" s="67" t="s">
        <v>544</v>
      </c>
      <c r="CX2" s="49" t="s">
        <v>772</v>
      </c>
      <c r="CY2" s="67" t="s">
        <v>545</v>
      </c>
      <c r="CZ2" s="67" t="s">
        <v>547</v>
      </c>
      <c r="DA2" s="67" t="s">
        <v>548</v>
      </c>
      <c r="DB2" s="67" t="s">
        <v>549</v>
      </c>
      <c r="DC2" s="67" t="s">
        <v>550</v>
      </c>
      <c r="DD2" s="67" t="s">
        <v>551</v>
      </c>
      <c r="DE2" s="67" t="s">
        <v>552</v>
      </c>
      <c r="DF2" s="67" t="s">
        <v>553</v>
      </c>
      <c r="DG2" s="67" t="s">
        <v>554</v>
      </c>
      <c r="DH2" s="49" t="s">
        <v>775</v>
      </c>
      <c r="DI2" s="67" t="s">
        <v>566</v>
      </c>
      <c r="DJ2" s="67" t="s">
        <v>567</v>
      </c>
      <c r="DK2" s="67" t="s">
        <v>568</v>
      </c>
      <c r="DL2" s="67" t="s">
        <v>569</v>
      </c>
      <c r="DM2" s="67" t="s">
        <v>570</v>
      </c>
      <c r="DN2" s="67" t="s">
        <v>571</v>
      </c>
      <c r="DO2" s="67" t="s">
        <v>572</v>
      </c>
      <c r="DP2" s="67" t="s">
        <v>573</v>
      </c>
      <c r="DQ2" s="67" t="s">
        <v>574</v>
      </c>
      <c r="DR2" s="49" t="s">
        <v>778</v>
      </c>
      <c r="DS2" s="67" t="s">
        <v>557</v>
      </c>
      <c r="DT2" s="67" t="s">
        <v>558</v>
      </c>
      <c r="DU2" s="67" t="s">
        <v>559</v>
      </c>
      <c r="DV2" s="67" t="s">
        <v>560</v>
      </c>
      <c r="DW2" s="67" t="s">
        <v>561</v>
      </c>
      <c r="DX2" s="67" t="s">
        <v>562</v>
      </c>
      <c r="DY2" s="67" t="s">
        <v>563</v>
      </c>
      <c r="DZ2" s="67" t="s">
        <v>564</v>
      </c>
      <c r="EA2" s="67" t="s">
        <v>556</v>
      </c>
      <c r="EB2" s="49" t="s">
        <v>781</v>
      </c>
      <c r="EC2" s="67" t="s">
        <v>577</v>
      </c>
      <c r="ED2" s="67" t="s">
        <v>578</v>
      </c>
      <c r="EE2" s="67" t="s">
        <v>579</v>
      </c>
      <c r="EF2" s="67" t="s">
        <v>580</v>
      </c>
      <c r="EG2" s="67" t="s">
        <v>581</v>
      </c>
      <c r="EH2" s="67" t="s">
        <v>582</v>
      </c>
      <c r="EI2" s="67" t="s">
        <v>583</v>
      </c>
      <c r="EJ2" s="67" t="s">
        <v>584</v>
      </c>
      <c r="EK2" s="67" t="s">
        <v>585</v>
      </c>
      <c r="EL2" s="49" t="s">
        <v>784</v>
      </c>
      <c r="EM2" s="67" t="s">
        <v>586</v>
      </c>
      <c r="EN2" s="67" t="s">
        <v>587</v>
      </c>
      <c r="EO2" s="67" t="s">
        <v>588</v>
      </c>
      <c r="EP2" s="67" t="s">
        <v>589</v>
      </c>
      <c r="EQ2" s="67" t="s">
        <v>590</v>
      </c>
      <c r="ER2" s="67" t="s">
        <v>591</v>
      </c>
      <c r="ES2" s="67" t="s">
        <v>592</v>
      </c>
      <c r="ET2" s="67" t="s">
        <v>593</v>
      </c>
      <c r="EU2" s="67" t="s">
        <v>594</v>
      </c>
      <c r="EV2" s="49" t="s">
        <v>787</v>
      </c>
      <c r="EW2" s="67" t="s">
        <v>426</v>
      </c>
      <c r="EX2" s="67" t="s">
        <v>427</v>
      </c>
      <c r="EY2" s="61" t="s">
        <v>253</v>
      </c>
      <c r="EZ2" s="61" t="s">
        <v>254</v>
      </c>
      <c r="FA2" s="49" t="s">
        <v>809</v>
      </c>
      <c r="FB2" s="49" t="s">
        <v>697</v>
      </c>
      <c r="FC2" s="49" t="s">
        <v>698</v>
      </c>
      <c r="FD2" s="49" t="s">
        <v>699</v>
      </c>
      <c r="FE2" s="49" t="s">
        <v>700</v>
      </c>
      <c r="FF2" s="49" t="s">
        <v>712</v>
      </c>
      <c r="FG2" s="49" t="s">
        <v>713</v>
      </c>
      <c r="FH2" s="49" t="s">
        <v>714</v>
      </c>
      <c r="FI2" s="49" t="s">
        <v>715</v>
      </c>
      <c r="FJ2" s="49" t="s">
        <v>716</v>
      </c>
      <c r="FK2" s="49" t="s">
        <v>807</v>
      </c>
      <c r="FL2" s="49" t="s">
        <v>717</v>
      </c>
      <c r="FM2" s="49" t="s">
        <v>808</v>
      </c>
      <c r="FN2" s="49" t="s">
        <v>718</v>
      </c>
      <c r="FO2" s="67" t="s">
        <v>595</v>
      </c>
      <c r="FP2" s="49" t="s">
        <v>798</v>
      </c>
      <c r="FQ2" s="139" t="s">
        <v>391</v>
      </c>
      <c r="FR2" s="139" t="s">
        <v>392</v>
      </c>
      <c r="FS2" s="139" t="s">
        <v>596</v>
      </c>
      <c r="FT2" s="139" t="s">
        <v>597</v>
      </c>
      <c r="FU2" s="139" t="s">
        <v>598</v>
      </c>
      <c r="FV2" s="139" t="s">
        <v>393</v>
      </c>
      <c r="FW2" s="142" t="s">
        <v>394</v>
      </c>
      <c r="FX2" s="142" t="s">
        <v>395</v>
      </c>
      <c r="FY2" s="142" t="s">
        <v>599</v>
      </c>
      <c r="FZ2" s="142" t="s">
        <v>600</v>
      </c>
      <c r="GA2" s="142" t="s">
        <v>601</v>
      </c>
      <c r="GB2" s="142" t="s">
        <v>396</v>
      </c>
      <c r="GC2" s="145" t="s">
        <v>397</v>
      </c>
      <c r="GD2" s="145" t="s">
        <v>398</v>
      </c>
      <c r="GE2" s="145" t="s">
        <v>602</v>
      </c>
      <c r="GF2" s="145" t="s">
        <v>603</v>
      </c>
      <c r="GG2" s="145" t="s">
        <v>604</v>
      </c>
      <c r="GH2" s="145" t="s">
        <v>399</v>
      </c>
      <c r="GI2" s="148" t="s">
        <v>400</v>
      </c>
      <c r="GJ2" s="148" t="s">
        <v>401</v>
      </c>
      <c r="GK2" s="148" t="s">
        <v>605</v>
      </c>
      <c r="GL2" s="148" t="s">
        <v>606</v>
      </c>
      <c r="GM2" s="148" t="s">
        <v>607</v>
      </c>
      <c r="GN2" s="148" t="s">
        <v>402</v>
      </c>
      <c r="GO2" s="151" t="s">
        <v>403</v>
      </c>
      <c r="GP2" s="151" t="s">
        <v>404</v>
      </c>
      <c r="GQ2" s="151" t="s">
        <v>608</v>
      </c>
      <c r="GR2" s="151" t="s">
        <v>609</v>
      </c>
      <c r="GS2" s="151" t="s">
        <v>610</v>
      </c>
      <c r="GT2" s="151" t="s">
        <v>405</v>
      </c>
      <c r="GU2" s="139" t="s">
        <v>406</v>
      </c>
      <c r="GV2" s="139" t="s">
        <v>407</v>
      </c>
      <c r="GW2" s="139" t="s">
        <v>611</v>
      </c>
      <c r="GX2" s="139" t="s">
        <v>612</v>
      </c>
      <c r="GY2" s="139" t="s">
        <v>613</v>
      </c>
      <c r="GZ2" s="139" t="s">
        <v>408</v>
      </c>
      <c r="HA2" s="142" t="s">
        <v>409</v>
      </c>
      <c r="HB2" s="142" t="s">
        <v>410</v>
      </c>
      <c r="HC2" s="142" t="s">
        <v>614</v>
      </c>
      <c r="HD2" s="142" t="s">
        <v>615</v>
      </c>
      <c r="HE2" s="142" t="s">
        <v>616</v>
      </c>
      <c r="HF2" s="142" t="s">
        <v>411</v>
      </c>
      <c r="HG2" s="145" t="s">
        <v>412</v>
      </c>
      <c r="HH2" s="145" t="s">
        <v>413</v>
      </c>
      <c r="HI2" s="145" t="s">
        <v>617</v>
      </c>
      <c r="HJ2" s="145" t="s">
        <v>618</v>
      </c>
      <c r="HK2" s="145" t="s">
        <v>619</v>
      </c>
      <c r="HL2" s="145" t="s">
        <v>414</v>
      </c>
      <c r="HM2" s="148" t="s">
        <v>415</v>
      </c>
      <c r="HN2" s="148" t="s">
        <v>416</v>
      </c>
      <c r="HO2" s="148" t="s">
        <v>620</v>
      </c>
      <c r="HP2" s="148" t="s">
        <v>621</v>
      </c>
      <c r="HQ2" s="148" t="s">
        <v>622</v>
      </c>
      <c r="HR2" s="148" t="s">
        <v>417</v>
      </c>
      <c r="HS2" s="151" t="s">
        <v>418</v>
      </c>
      <c r="HT2" s="151" t="s">
        <v>419</v>
      </c>
      <c r="HU2" s="151" t="s">
        <v>623</v>
      </c>
      <c r="HV2" s="151" t="s">
        <v>624</v>
      </c>
      <c r="HW2" s="151" t="s">
        <v>625</v>
      </c>
      <c r="HX2" s="151" t="s">
        <v>420</v>
      </c>
      <c r="HY2" s="139" t="s">
        <v>384</v>
      </c>
      <c r="HZ2" s="139" t="s">
        <v>384</v>
      </c>
      <c r="IA2" s="139" t="s">
        <v>384</v>
      </c>
      <c r="IB2" s="139" t="s">
        <v>384</v>
      </c>
      <c r="IC2" s="139" t="s">
        <v>384</v>
      </c>
      <c r="ID2" s="142" t="s">
        <v>384</v>
      </c>
      <c r="IE2" s="142" t="s">
        <v>384</v>
      </c>
      <c r="IF2" s="142" t="s">
        <v>384</v>
      </c>
      <c r="IG2" s="142" t="s">
        <v>384</v>
      </c>
      <c r="IH2" s="142" t="s">
        <v>384</v>
      </c>
      <c r="II2" s="145" t="s">
        <v>384</v>
      </c>
      <c r="IJ2" s="145" t="s">
        <v>384</v>
      </c>
      <c r="IK2" s="145" t="s">
        <v>384</v>
      </c>
      <c r="IL2" s="145" t="s">
        <v>384</v>
      </c>
      <c r="IM2" s="145" t="s">
        <v>384</v>
      </c>
      <c r="IN2" s="148" t="s">
        <v>384</v>
      </c>
      <c r="IO2" s="148" t="s">
        <v>384</v>
      </c>
      <c r="IP2" s="148" t="s">
        <v>384</v>
      </c>
      <c r="IQ2" s="148" t="s">
        <v>384</v>
      </c>
      <c r="IR2" s="148" t="s">
        <v>384</v>
      </c>
      <c r="IS2" s="151" t="s">
        <v>384</v>
      </c>
      <c r="IT2" s="151" t="s">
        <v>384</v>
      </c>
      <c r="IU2" s="151" t="s">
        <v>384</v>
      </c>
      <c r="IV2" s="151" t="s">
        <v>384</v>
      </c>
      <c r="IW2" s="151" t="s">
        <v>384</v>
      </c>
      <c r="IX2" s="139" t="s">
        <v>384</v>
      </c>
      <c r="IY2" s="139" t="s">
        <v>384</v>
      </c>
      <c r="IZ2" s="139" t="s">
        <v>384</v>
      </c>
      <c r="JA2" s="139" t="s">
        <v>384</v>
      </c>
      <c r="JB2" s="139" t="s">
        <v>384</v>
      </c>
      <c r="JC2" s="62" t="s">
        <v>384</v>
      </c>
      <c r="JD2" s="62" t="s">
        <v>384</v>
      </c>
      <c r="JE2" s="62" t="s">
        <v>384</v>
      </c>
      <c r="JF2" s="62" t="s">
        <v>384</v>
      </c>
      <c r="JG2" s="62" t="s">
        <v>384</v>
      </c>
      <c r="JH2" s="145" t="s">
        <v>384</v>
      </c>
      <c r="JI2" s="145" t="s">
        <v>384</v>
      </c>
      <c r="JJ2" s="145" t="s">
        <v>384</v>
      </c>
      <c r="JK2" s="145" t="s">
        <v>384</v>
      </c>
      <c r="JL2" s="145" t="s">
        <v>384</v>
      </c>
      <c r="JM2" s="148" t="s">
        <v>384</v>
      </c>
      <c r="JN2" s="148" t="s">
        <v>384</v>
      </c>
      <c r="JO2" s="148" t="s">
        <v>384</v>
      </c>
      <c r="JP2" s="148" t="s">
        <v>384</v>
      </c>
      <c r="JQ2" s="148" t="s">
        <v>384</v>
      </c>
      <c r="JR2" s="151" t="s">
        <v>384</v>
      </c>
      <c r="JS2" s="151" t="s">
        <v>384</v>
      </c>
      <c r="JT2" s="151" t="s">
        <v>384</v>
      </c>
      <c r="JU2" s="151" t="s">
        <v>384</v>
      </c>
      <c r="JV2" s="151" t="s">
        <v>384</v>
      </c>
      <c r="JW2" s="52" t="s">
        <v>384</v>
      </c>
      <c r="JX2" s="27" t="s">
        <v>384</v>
      </c>
      <c r="JY2" s="52" t="s">
        <v>384</v>
      </c>
    </row>
    <row r="3" spans="1:318" x14ac:dyDescent="0.2">
      <c r="A3" s="27" t="s">
        <v>232</v>
      </c>
      <c r="B3" s="27" t="s">
        <v>233</v>
      </c>
      <c r="C3"/>
      <c r="D3"/>
      <c r="E3" s="27" t="s">
        <v>234</v>
      </c>
      <c r="F3" s="27" t="s">
        <v>235</v>
      </c>
      <c r="G3"/>
      <c r="H3" s="27" t="s">
        <v>236</v>
      </c>
      <c r="J3" s="55" t="s">
        <v>236</v>
      </c>
      <c r="K3"/>
      <c r="L3" s="27" t="s">
        <v>236</v>
      </c>
      <c r="M3" s="12" t="s">
        <v>237</v>
      </c>
      <c r="N3" s="12" t="s">
        <v>237</v>
      </c>
      <c r="O3"/>
      <c r="P3" s="27" t="s">
        <v>236</v>
      </c>
      <c r="Q3" s="27" t="s">
        <v>239</v>
      </c>
      <c r="R3" s="21" t="s">
        <v>236</v>
      </c>
      <c r="S3"/>
      <c r="T3"/>
      <c r="U3"/>
      <c r="V3"/>
      <c r="W3" s="27" t="s">
        <v>233</v>
      </c>
      <c r="X3" s="27" t="s">
        <v>233</v>
      </c>
      <c r="Y3" s="27" t="s">
        <v>233</v>
      </c>
      <c r="Z3" s="27" t="s">
        <v>233</v>
      </c>
      <c r="AA3" s="27" t="s">
        <v>233</v>
      </c>
      <c r="AB3" s="27" t="s">
        <v>233</v>
      </c>
      <c r="AC3" s="27" t="s">
        <v>233</v>
      </c>
      <c r="AD3" s="27" t="s">
        <v>233</v>
      </c>
      <c r="AE3" s="27" t="s">
        <v>233</v>
      </c>
      <c r="AF3" s="27" t="s">
        <v>233</v>
      </c>
      <c r="AG3" s="80" t="s">
        <v>238</v>
      </c>
      <c r="AH3" s="80" t="s">
        <v>238</v>
      </c>
      <c r="AI3" s="80" t="s">
        <v>238</v>
      </c>
      <c r="AJ3" s="80" t="s">
        <v>238</v>
      </c>
      <c r="AK3" s="80" t="s">
        <v>238</v>
      </c>
      <c r="AL3" s="80" t="s">
        <v>238</v>
      </c>
      <c r="AM3" s="80" t="s">
        <v>238</v>
      </c>
      <c r="AN3" s="80" t="s">
        <v>238</v>
      </c>
      <c r="AO3" s="80" t="s">
        <v>238</v>
      </c>
      <c r="AP3" s="80" t="s">
        <v>238</v>
      </c>
      <c r="AQ3" s="80" t="s">
        <v>238</v>
      </c>
      <c r="AR3" s="80" t="s">
        <v>238</v>
      </c>
      <c r="AS3" s="80" t="s">
        <v>238</v>
      </c>
      <c r="AT3" s="80" t="s">
        <v>238</v>
      </c>
      <c r="AU3" s="80" t="s">
        <v>238</v>
      </c>
      <c r="AV3" s="80" t="s">
        <v>238</v>
      </c>
      <c r="AW3" s="80" t="s">
        <v>238</v>
      </c>
      <c r="AX3" s="80" t="s">
        <v>238</v>
      </c>
      <c r="AY3" s="80" t="s">
        <v>238</v>
      </c>
      <c r="AZ3" s="80" t="s">
        <v>238</v>
      </c>
      <c r="BA3" s="80" t="s">
        <v>238</v>
      </c>
      <c r="BB3" s="80" t="s">
        <v>238</v>
      </c>
      <c r="BC3" s="80" t="s">
        <v>238</v>
      </c>
      <c r="BD3" s="80" t="s">
        <v>238</v>
      </c>
      <c r="BE3" s="80" t="s">
        <v>238</v>
      </c>
      <c r="BF3" s="80" t="s">
        <v>238</v>
      </c>
      <c r="BG3" s="80" t="s">
        <v>238</v>
      </c>
      <c r="BH3" s="80" t="s">
        <v>238</v>
      </c>
      <c r="BI3" s="80" t="s">
        <v>238</v>
      </c>
      <c r="BJ3" s="80" t="s">
        <v>238</v>
      </c>
      <c r="BK3" s="27" t="s">
        <v>233</v>
      </c>
      <c r="BL3" s="27" t="s">
        <v>233</v>
      </c>
      <c r="BM3" s="27" t="s">
        <v>233</v>
      </c>
      <c r="BN3" s="27" t="s">
        <v>233</v>
      </c>
      <c r="BO3" s="27" t="s">
        <v>233</v>
      </c>
      <c r="BP3" s="27" t="s">
        <v>233</v>
      </c>
      <c r="BQ3" s="27" t="s">
        <v>233</v>
      </c>
      <c r="BR3" s="27" t="s">
        <v>233</v>
      </c>
      <c r="BS3" s="27" t="s">
        <v>233</v>
      </c>
      <c r="BT3" s="27" t="s">
        <v>233</v>
      </c>
      <c r="BU3" s="27" t="s">
        <v>233</v>
      </c>
      <c r="BV3" s="27" t="s">
        <v>233</v>
      </c>
      <c r="BW3" s="27" t="s">
        <v>233</v>
      </c>
      <c r="BX3" s="27" t="s">
        <v>233</v>
      </c>
      <c r="BY3" s="27" t="s">
        <v>233</v>
      </c>
      <c r="BZ3" s="27" t="s">
        <v>233</v>
      </c>
      <c r="CA3" s="27" t="s">
        <v>233</v>
      </c>
      <c r="CB3" s="27" t="s">
        <v>233</v>
      </c>
      <c r="CC3" s="27" t="s">
        <v>233</v>
      </c>
      <c r="CD3" s="27" t="s">
        <v>233</v>
      </c>
      <c r="CE3" s="27" t="s">
        <v>233</v>
      </c>
      <c r="CF3" s="27" t="s">
        <v>233</v>
      </c>
      <c r="CG3" s="27" t="s">
        <v>233</v>
      </c>
      <c r="CH3" s="27" t="s">
        <v>233</v>
      </c>
      <c r="CI3" s="27" t="s">
        <v>233</v>
      </c>
      <c r="CJ3" s="27" t="s">
        <v>233</v>
      </c>
      <c r="CK3" s="27" t="s">
        <v>233</v>
      </c>
      <c r="CL3" s="27" t="s">
        <v>233</v>
      </c>
      <c r="CM3" s="27" t="s">
        <v>233</v>
      </c>
      <c r="CN3" s="27" t="s">
        <v>233</v>
      </c>
      <c r="CO3" s="27" t="s">
        <v>233</v>
      </c>
      <c r="CP3" s="27" t="s">
        <v>233</v>
      </c>
      <c r="CQ3" s="27" t="s">
        <v>233</v>
      </c>
      <c r="CR3" s="27" t="s">
        <v>233</v>
      </c>
      <c r="CS3" s="27" t="s">
        <v>233</v>
      </c>
      <c r="CT3" s="27" t="s">
        <v>233</v>
      </c>
      <c r="CU3" s="27" t="s">
        <v>233</v>
      </c>
      <c r="CV3" s="27" t="s">
        <v>233</v>
      </c>
      <c r="CW3" s="27" t="s">
        <v>233</v>
      </c>
      <c r="CX3" s="27" t="s">
        <v>233</v>
      </c>
      <c r="CY3" s="27" t="s">
        <v>233</v>
      </c>
      <c r="CZ3" s="27" t="s">
        <v>233</v>
      </c>
      <c r="DA3" s="27" t="s">
        <v>233</v>
      </c>
      <c r="DB3" s="27" t="s">
        <v>233</v>
      </c>
      <c r="DC3" s="27" t="s">
        <v>233</v>
      </c>
      <c r="DD3" s="27" t="s">
        <v>233</v>
      </c>
      <c r="DE3" s="27" t="s">
        <v>233</v>
      </c>
      <c r="DF3" s="27" t="s">
        <v>233</v>
      </c>
      <c r="DG3" s="27" t="s">
        <v>233</v>
      </c>
      <c r="DH3" s="27" t="s">
        <v>233</v>
      </c>
      <c r="DI3" s="27" t="s">
        <v>233</v>
      </c>
      <c r="DJ3" s="27" t="s">
        <v>233</v>
      </c>
      <c r="DK3" s="27" t="s">
        <v>233</v>
      </c>
      <c r="DL3" s="27" t="s">
        <v>233</v>
      </c>
      <c r="DM3" s="27" t="s">
        <v>233</v>
      </c>
      <c r="DN3" s="27" t="s">
        <v>233</v>
      </c>
      <c r="DO3" s="27" t="s">
        <v>233</v>
      </c>
      <c r="DP3" s="27" t="s">
        <v>233</v>
      </c>
      <c r="DQ3" s="27" t="s">
        <v>233</v>
      </c>
      <c r="DR3" s="27" t="s">
        <v>233</v>
      </c>
      <c r="DS3" s="27" t="s">
        <v>233</v>
      </c>
      <c r="DT3" s="27" t="s">
        <v>233</v>
      </c>
      <c r="DU3" s="27" t="s">
        <v>233</v>
      </c>
      <c r="DV3" s="27" t="s">
        <v>233</v>
      </c>
      <c r="DW3" s="27" t="s">
        <v>233</v>
      </c>
      <c r="DX3" s="27" t="s">
        <v>233</v>
      </c>
      <c r="DY3" s="27" t="s">
        <v>233</v>
      </c>
      <c r="DZ3" s="27" t="s">
        <v>233</v>
      </c>
      <c r="EA3" s="27" t="s">
        <v>233</v>
      </c>
      <c r="EB3" s="27" t="s">
        <v>233</v>
      </c>
      <c r="EC3" s="27" t="s">
        <v>233</v>
      </c>
      <c r="ED3" s="27" t="s">
        <v>233</v>
      </c>
      <c r="EE3" s="27" t="s">
        <v>233</v>
      </c>
      <c r="EF3" s="27" t="s">
        <v>233</v>
      </c>
      <c r="EG3" s="27" t="s">
        <v>233</v>
      </c>
      <c r="EH3" s="27" t="s">
        <v>233</v>
      </c>
      <c r="EI3" s="27" t="s">
        <v>233</v>
      </c>
      <c r="EJ3" s="27" t="s">
        <v>233</v>
      </c>
      <c r="EK3" s="27" t="s">
        <v>233</v>
      </c>
      <c r="EL3" s="27" t="s">
        <v>233</v>
      </c>
      <c r="EM3" s="27" t="s">
        <v>233</v>
      </c>
      <c r="EN3" s="27" t="s">
        <v>233</v>
      </c>
      <c r="EO3" s="27" t="s">
        <v>233</v>
      </c>
      <c r="EP3" s="27" t="s">
        <v>233</v>
      </c>
      <c r="EQ3" s="27" t="s">
        <v>233</v>
      </c>
      <c r="ER3" s="27" t="s">
        <v>233</v>
      </c>
      <c r="ES3" s="27" t="s">
        <v>233</v>
      </c>
      <c r="ET3" s="27" t="s">
        <v>233</v>
      </c>
      <c r="EU3" s="27" t="s">
        <v>233</v>
      </c>
      <c r="EV3" s="27" t="s">
        <v>233</v>
      </c>
      <c r="EW3" s="47" t="s">
        <v>233</v>
      </c>
      <c r="EX3" s="47" t="s">
        <v>233</v>
      </c>
      <c r="EY3" s="27" t="s">
        <v>240</v>
      </c>
      <c r="EZ3" s="27" t="s">
        <v>240</v>
      </c>
      <c r="FA3" s="27" t="s">
        <v>696</v>
      </c>
      <c r="FB3" s="27" t="s">
        <v>696</v>
      </c>
      <c r="FC3" s="27" t="s">
        <v>696</v>
      </c>
      <c r="FD3" s="27" t="s">
        <v>696</v>
      </c>
      <c r="FE3" s="27" t="s">
        <v>696</v>
      </c>
      <c r="FF3" s="27" t="s">
        <v>696</v>
      </c>
      <c r="FG3" s="27" t="s">
        <v>696</v>
      </c>
      <c r="FH3" s="27" t="s">
        <v>696</v>
      </c>
      <c r="FI3" s="27" t="s">
        <v>696</v>
      </c>
      <c r="FJ3" s="27" t="s">
        <v>696</v>
      </c>
      <c r="FK3" s="27" t="s">
        <v>696</v>
      </c>
      <c r="FL3" s="27" t="s">
        <v>696</v>
      </c>
      <c r="FM3" s="27" t="s">
        <v>696</v>
      </c>
      <c r="FN3" s="136" t="s">
        <v>696</v>
      </c>
      <c r="FO3" s="136" t="s">
        <v>241</v>
      </c>
      <c r="FP3" s="136" t="s">
        <v>242</v>
      </c>
      <c r="FQ3" s="137"/>
      <c r="FR3" s="137" t="s">
        <v>233</v>
      </c>
      <c r="FS3" s="137"/>
      <c r="FT3" s="137" t="s">
        <v>238</v>
      </c>
      <c r="FU3" s="137" t="s">
        <v>238</v>
      </c>
      <c r="FV3" s="137" t="s">
        <v>238</v>
      </c>
      <c r="FW3" s="140"/>
      <c r="FX3" s="140" t="s">
        <v>233</v>
      </c>
      <c r="FY3" s="140"/>
      <c r="FZ3" s="140" t="s">
        <v>238</v>
      </c>
      <c r="GA3" s="140" t="s">
        <v>238</v>
      </c>
      <c r="GB3" s="140" t="s">
        <v>238</v>
      </c>
      <c r="GC3" s="143"/>
      <c r="GD3" s="143" t="s">
        <v>233</v>
      </c>
      <c r="GE3" s="143"/>
      <c r="GF3" s="143" t="s">
        <v>238</v>
      </c>
      <c r="GG3" s="143" t="s">
        <v>238</v>
      </c>
      <c r="GH3" s="143" t="s">
        <v>238</v>
      </c>
      <c r="GI3" s="146"/>
      <c r="GJ3" s="146" t="s">
        <v>233</v>
      </c>
      <c r="GK3" s="146"/>
      <c r="GL3" s="146" t="s">
        <v>238</v>
      </c>
      <c r="GM3" s="146" t="s">
        <v>238</v>
      </c>
      <c r="GN3" s="146" t="s">
        <v>238</v>
      </c>
      <c r="GO3" s="149"/>
      <c r="GP3" s="149" t="s">
        <v>233</v>
      </c>
      <c r="GQ3" s="149"/>
      <c r="GR3" s="149" t="s">
        <v>238</v>
      </c>
      <c r="GS3" s="149" t="s">
        <v>238</v>
      </c>
      <c r="GT3" s="149" t="s">
        <v>238</v>
      </c>
      <c r="GU3" s="137"/>
      <c r="GV3" s="137" t="s">
        <v>233</v>
      </c>
      <c r="GW3" s="137"/>
      <c r="GX3" s="137" t="s">
        <v>238</v>
      </c>
      <c r="GY3" s="137" t="s">
        <v>238</v>
      </c>
      <c r="GZ3" s="137" t="s">
        <v>238</v>
      </c>
      <c r="HA3" s="140"/>
      <c r="HB3" s="140" t="s">
        <v>233</v>
      </c>
      <c r="HC3" s="140"/>
      <c r="HD3" s="140" t="s">
        <v>238</v>
      </c>
      <c r="HE3" s="140" t="s">
        <v>238</v>
      </c>
      <c r="HF3" s="140" t="s">
        <v>238</v>
      </c>
      <c r="HG3" s="143"/>
      <c r="HH3" s="143" t="s">
        <v>233</v>
      </c>
      <c r="HI3" s="143"/>
      <c r="HJ3" s="143" t="s">
        <v>238</v>
      </c>
      <c r="HK3" s="143" t="s">
        <v>238</v>
      </c>
      <c r="HL3" s="143" t="s">
        <v>238</v>
      </c>
      <c r="HM3" s="146"/>
      <c r="HN3" s="146" t="s">
        <v>233</v>
      </c>
      <c r="HO3" s="146"/>
      <c r="HP3" s="146" t="s">
        <v>238</v>
      </c>
      <c r="HQ3" s="146" t="s">
        <v>238</v>
      </c>
      <c r="HR3" s="146" t="s">
        <v>238</v>
      </c>
      <c r="HS3" s="149"/>
      <c r="HT3" s="149" t="s">
        <v>233</v>
      </c>
      <c r="HU3" s="149"/>
      <c r="HV3" s="149" t="s">
        <v>238</v>
      </c>
      <c r="HW3" s="149" t="s">
        <v>238</v>
      </c>
      <c r="HX3" s="149" t="s">
        <v>238</v>
      </c>
      <c r="HY3" s="137"/>
      <c r="HZ3" s="137" t="s">
        <v>233</v>
      </c>
      <c r="IA3" s="137"/>
      <c r="IB3" s="137" t="s">
        <v>238</v>
      </c>
      <c r="IC3" s="137" t="s">
        <v>238</v>
      </c>
      <c r="ID3" s="140"/>
      <c r="IE3" s="140" t="s">
        <v>233</v>
      </c>
      <c r="IF3" s="140"/>
      <c r="IG3" s="140" t="s">
        <v>238</v>
      </c>
      <c r="IH3" s="140" t="s">
        <v>238</v>
      </c>
      <c r="II3" s="143"/>
      <c r="IJ3" s="143" t="s">
        <v>233</v>
      </c>
      <c r="IK3" s="143"/>
      <c r="IL3" s="143" t="s">
        <v>238</v>
      </c>
      <c r="IM3" s="143" t="s">
        <v>238</v>
      </c>
      <c r="IN3" s="146"/>
      <c r="IO3" s="146" t="s">
        <v>233</v>
      </c>
      <c r="IP3" s="146"/>
      <c r="IQ3" s="146" t="s">
        <v>238</v>
      </c>
      <c r="IR3" s="146" t="s">
        <v>238</v>
      </c>
      <c r="IS3" s="149"/>
      <c r="IT3" s="149" t="s">
        <v>233</v>
      </c>
      <c r="IU3" s="149"/>
      <c r="IV3" s="149" t="s">
        <v>238</v>
      </c>
      <c r="IW3" s="149" t="s">
        <v>238</v>
      </c>
      <c r="IX3" s="137"/>
      <c r="IY3" s="137" t="s">
        <v>233</v>
      </c>
      <c r="IZ3" s="137"/>
      <c r="JA3" s="137" t="s">
        <v>238</v>
      </c>
      <c r="JB3" s="137" t="s">
        <v>238</v>
      </c>
      <c r="JC3" s="13"/>
      <c r="JD3" s="13" t="s">
        <v>233</v>
      </c>
      <c r="JE3" s="13"/>
      <c r="JF3" s="13" t="s">
        <v>238</v>
      </c>
      <c r="JG3" s="13" t="s">
        <v>238</v>
      </c>
      <c r="JH3" s="143"/>
      <c r="JI3" s="143" t="s">
        <v>233</v>
      </c>
      <c r="JJ3" s="143"/>
      <c r="JK3" s="143" t="s">
        <v>238</v>
      </c>
      <c r="JL3" s="143" t="s">
        <v>238</v>
      </c>
      <c r="JM3" s="146"/>
      <c r="JN3" s="146" t="s">
        <v>233</v>
      </c>
      <c r="JO3" s="146"/>
      <c r="JP3" s="146" t="s">
        <v>238</v>
      </c>
      <c r="JQ3" s="146" t="s">
        <v>238</v>
      </c>
      <c r="JR3" s="149"/>
      <c r="JS3" s="149" t="s">
        <v>233</v>
      </c>
      <c r="JT3" s="149"/>
      <c r="JU3" s="149" t="s">
        <v>238</v>
      </c>
      <c r="JV3" s="149" t="s">
        <v>238</v>
      </c>
      <c r="JW3" s="52" t="s">
        <v>721</v>
      </c>
      <c r="JY3" s="52" t="s">
        <v>791</v>
      </c>
    </row>
    <row r="4" spans="1:318" ht="18" customHeight="1" x14ac:dyDescent="0.2">
      <c r="A4" s="27" t="s">
        <v>243</v>
      </c>
      <c r="B4" s="27" t="s">
        <v>626</v>
      </c>
      <c r="C4" s="27" t="s">
        <v>627</v>
      </c>
      <c r="D4" s="27" t="s">
        <v>628</v>
      </c>
      <c r="E4" s="27" t="s">
        <v>626</v>
      </c>
      <c r="F4" s="27" t="s">
        <v>626</v>
      </c>
      <c r="G4" s="27" t="s">
        <v>627</v>
      </c>
      <c r="H4" s="27" t="s">
        <v>626</v>
      </c>
      <c r="I4" s="55" t="s">
        <v>627</v>
      </c>
      <c r="J4" s="55" t="s">
        <v>626</v>
      </c>
      <c r="K4" s="27" t="s">
        <v>629</v>
      </c>
      <c r="L4" s="27" t="s">
        <v>626</v>
      </c>
      <c r="M4" s="12" t="s">
        <v>626</v>
      </c>
      <c r="N4" s="12" t="s">
        <v>626</v>
      </c>
      <c r="O4" s="27" t="s">
        <v>627</v>
      </c>
      <c r="P4" s="27" t="s">
        <v>626</v>
      </c>
      <c r="Q4" s="27" t="s">
        <v>626</v>
      </c>
      <c r="R4" s="21" t="s">
        <v>626</v>
      </c>
      <c r="S4" s="12" t="s">
        <v>628</v>
      </c>
      <c r="T4" s="12" t="s">
        <v>628</v>
      </c>
      <c r="U4" s="12" t="s">
        <v>628</v>
      </c>
      <c r="V4" s="12" t="s">
        <v>628</v>
      </c>
      <c r="W4" s="27" t="s">
        <v>626</v>
      </c>
      <c r="X4" s="27" t="s">
        <v>626</v>
      </c>
      <c r="Y4" s="27" t="s">
        <v>626</v>
      </c>
      <c r="Z4" s="27" t="s">
        <v>626</v>
      </c>
      <c r="AA4" s="27" t="s">
        <v>626</v>
      </c>
      <c r="AB4" s="27" t="s">
        <v>626</v>
      </c>
      <c r="AC4" s="27" t="s">
        <v>626</v>
      </c>
      <c r="AD4" s="27" t="s">
        <v>626</v>
      </c>
      <c r="AE4" s="27" t="s">
        <v>626</v>
      </c>
      <c r="AF4" s="27" t="s">
        <v>626</v>
      </c>
      <c r="AG4" s="80" t="s">
        <v>626</v>
      </c>
      <c r="AH4" s="80" t="s">
        <v>626</v>
      </c>
      <c r="AI4" s="80" t="s">
        <v>626</v>
      </c>
      <c r="AJ4" s="80" t="s">
        <v>626</v>
      </c>
      <c r="AK4" s="80" t="s">
        <v>626</v>
      </c>
      <c r="AL4" s="80" t="s">
        <v>626</v>
      </c>
      <c r="AM4" s="80" t="s">
        <v>626</v>
      </c>
      <c r="AN4" s="80" t="s">
        <v>626</v>
      </c>
      <c r="AO4" s="80" t="s">
        <v>626</v>
      </c>
      <c r="AP4" s="80" t="s">
        <v>626</v>
      </c>
      <c r="AQ4" s="80" t="s">
        <v>626</v>
      </c>
      <c r="AR4" s="80" t="s">
        <v>626</v>
      </c>
      <c r="AS4" s="80" t="s">
        <v>626</v>
      </c>
      <c r="AT4" s="80" t="s">
        <v>626</v>
      </c>
      <c r="AU4" s="80" t="s">
        <v>626</v>
      </c>
      <c r="AV4" s="80" t="s">
        <v>626</v>
      </c>
      <c r="AW4" s="80" t="s">
        <v>626</v>
      </c>
      <c r="AX4" s="80" t="s">
        <v>626</v>
      </c>
      <c r="AY4" s="80" t="s">
        <v>626</v>
      </c>
      <c r="AZ4" s="80" t="s">
        <v>626</v>
      </c>
      <c r="BA4" s="80" t="s">
        <v>626</v>
      </c>
      <c r="BB4" s="80" t="s">
        <v>626</v>
      </c>
      <c r="BC4" s="80" t="s">
        <v>626</v>
      </c>
      <c r="BD4" s="80" t="s">
        <v>626</v>
      </c>
      <c r="BE4" s="80" t="s">
        <v>626</v>
      </c>
      <c r="BF4" s="80" t="s">
        <v>626</v>
      </c>
      <c r="BG4" s="80" t="s">
        <v>626</v>
      </c>
      <c r="BH4" s="80" t="s">
        <v>626</v>
      </c>
      <c r="BI4" s="80" t="s">
        <v>626</v>
      </c>
      <c r="BJ4" s="80" t="s">
        <v>626</v>
      </c>
      <c r="BK4" s="27" t="s">
        <v>626</v>
      </c>
      <c r="BL4" s="27" t="s">
        <v>626</v>
      </c>
      <c r="BM4" s="27" t="s">
        <v>626</v>
      </c>
      <c r="BN4" s="27" t="s">
        <v>626</v>
      </c>
      <c r="BO4" s="27" t="s">
        <v>626</v>
      </c>
      <c r="BP4" s="27" t="s">
        <v>626</v>
      </c>
      <c r="BQ4" s="27" t="s">
        <v>626</v>
      </c>
      <c r="BR4" s="27" t="s">
        <v>626</v>
      </c>
      <c r="BS4" s="27" t="s">
        <v>626</v>
      </c>
      <c r="BT4" s="27" t="s">
        <v>626</v>
      </c>
      <c r="BU4" s="27" t="s">
        <v>626</v>
      </c>
      <c r="BV4" s="27" t="s">
        <v>626</v>
      </c>
      <c r="BW4" s="27" t="s">
        <v>626</v>
      </c>
      <c r="BX4" s="27" t="s">
        <v>626</v>
      </c>
      <c r="BY4" s="27" t="s">
        <v>626</v>
      </c>
      <c r="BZ4" s="27" t="s">
        <v>626</v>
      </c>
      <c r="CA4" s="27" t="s">
        <v>626</v>
      </c>
      <c r="CB4" s="27" t="s">
        <v>626</v>
      </c>
      <c r="CC4" s="27" t="s">
        <v>626</v>
      </c>
      <c r="CD4" s="27" t="s">
        <v>626</v>
      </c>
      <c r="CE4" s="27" t="s">
        <v>626</v>
      </c>
      <c r="CF4" s="27" t="s">
        <v>626</v>
      </c>
      <c r="CG4" s="27" t="s">
        <v>626</v>
      </c>
      <c r="CH4" s="27" t="s">
        <v>626</v>
      </c>
      <c r="CI4" s="27" t="s">
        <v>626</v>
      </c>
      <c r="CJ4" s="27" t="s">
        <v>626</v>
      </c>
      <c r="CK4" s="27" t="s">
        <v>626</v>
      </c>
      <c r="CL4" s="27" t="s">
        <v>626</v>
      </c>
      <c r="CM4" s="27" t="s">
        <v>626</v>
      </c>
      <c r="CN4" s="27" t="s">
        <v>626</v>
      </c>
      <c r="CO4" s="27" t="s">
        <v>626</v>
      </c>
      <c r="CP4" s="27" t="s">
        <v>626</v>
      </c>
      <c r="CQ4" s="27" t="s">
        <v>626</v>
      </c>
      <c r="CR4" s="27" t="s">
        <v>626</v>
      </c>
      <c r="CS4" s="27" t="s">
        <v>626</v>
      </c>
      <c r="CT4" s="27" t="s">
        <v>626</v>
      </c>
      <c r="CU4" s="27" t="s">
        <v>626</v>
      </c>
      <c r="CV4" s="27" t="s">
        <v>626</v>
      </c>
      <c r="CW4" s="27" t="s">
        <v>626</v>
      </c>
      <c r="CX4" s="27" t="s">
        <v>626</v>
      </c>
      <c r="CY4" s="27" t="s">
        <v>626</v>
      </c>
      <c r="CZ4" s="27" t="s">
        <v>626</v>
      </c>
      <c r="DA4" s="27" t="s">
        <v>626</v>
      </c>
      <c r="DB4" s="27" t="s">
        <v>626</v>
      </c>
      <c r="DC4" s="27" t="s">
        <v>626</v>
      </c>
      <c r="DD4" s="27" t="s">
        <v>626</v>
      </c>
      <c r="DE4" s="27" t="s">
        <v>626</v>
      </c>
      <c r="DF4" s="27" t="s">
        <v>626</v>
      </c>
      <c r="DG4" s="27" t="s">
        <v>626</v>
      </c>
      <c r="DH4" s="27" t="s">
        <v>626</v>
      </c>
      <c r="DI4" s="27" t="s">
        <v>626</v>
      </c>
      <c r="DJ4" s="27" t="s">
        <v>626</v>
      </c>
      <c r="DK4" s="27" t="s">
        <v>626</v>
      </c>
      <c r="DL4" s="27" t="s">
        <v>626</v>
      </c>
      <c r="DM4" s="27" t="s">
        <v>626</v>
      </c>
      <c r="DN4" s="27" t="s">
        <v>626</v>
      </c>
      <c r="DO4" s="27" t="s">
        <v>626</v>
      </c>
      <c r="DP4" s="27" t="s">
        <v>626</v>
      </c>
      <c r="DQ4" s="27" t="s">
        <v>626</v>
      </c>
      <c r="DR4" s="27" t="s">
        <v>626</v>
      </c>
      <c r="DS4" s="27" t="s">
        <v>626</v>
      </c>
      <c r="DT4" s="27" t="s">
        <v>626</v>
      </c>
      <c r="DU4" s="27" t="s">
        <v>626</v>
      </c>
      <c r="DV4" s="27" t="s">
        <v>626</v>
      </c>
      <c r="DW4" s="27" t="s">
        <v>626</v>
      </c>
      <c r="DX4" s="27" t="s">
        <v>626</v>
      </c>
      <c r="DY4" s="27" t="s">
        <v>626</v>
      </c>
      <c r="DZ4" s="27" t="s">
        <v>626</v>
      </c>
      <c r="EA4" s="27" t="s">
        <v>626</v>
      </c>
      <c r="EB4" s="27" t="s">
        <v>626</v>
      </c>
      <c r="EC4" s="27" t="s">
        <v>626</v>
      </c>
      <c r="ED4" s="27" t="s">
        <v>626</v>
      </c>
      <c r="EE4" s="27" t="s">
        <v>626</v>
      </c>
      <c r="EF4" s="27" t="s">
        <v>626</v>
      </c>
      <c r="EG4" s="27" t="s">
        <v>626</v>
      </c>
      <c r="EH4" s="27" t="s">
        <v>626</v>
      </c>
      <c r="EI4" s="27" t="s">
        <v>626</v>
      </c>
      <c r="EJ4" s="27" t="s">
        <v>626</v>
      </c>
      <c r="EK4" s="27" t="s">
        <v>626</v>
      </c>
      <c r="EL4" s="27" t="s">
        <v>626</v>
      </c>
      <c r="EM4" s="27" t="s">
        <v>626</v>
      </c>
      <c r="EN4" s="27" t="s">
        <v>626</v>
      </c>
      <c r="EO4" s="27" t="s">
        <v>626</v>
      </c>
      <c r="EP4" s="27" t="s">
        <v>626</v>
      </c>
      <c r="EQ4" s="27" t="s">
        <v>626</v>
      </c>
      <c r="ER4" s="27" t="s">
        <v>626</v>
      </c>
      <c r="ES4" s="27" t="s">
        <v>626</v>
      </c>
      <c r="ET4" s="27" t="s">
        <v>626</v>
      </c>
      <c r="EU4" s="27" t="s">
        <v>626</v>
      </c>
      <c r="EV4" s="27" t="s">
        <v>626</v>
      </c>
      <c r="EW4" s="27" t="s">
        <v>626</v>
      </c>
      <c r="EX4" s="27" t="s">
        <v>626</v>
      </c>
      <c r="EY4" s="27" t="s">
        <v>626</v>
      </c>
      <c r="EZ4" s="27" t="s">
        <v>626</v>
      </c>
      <c r="FA4" s="27" t="s">
        <v>626</v>
      </c>
      <c r="FB4" s="27" t="s">
        <v>626</v>
      </c>
      <c r="FC4" s="27" t="s">
        <v>626</v>
      </c>
      <c r="FD4" s="27" t="s">
        <v>626</v>
      </c>
      <c r="FE4" s="27" t="s">
        <v>626</v>
      </c>
      <c r="FF4" s="27" t="s">
        <v>626</v>
      </c>
      <c r="FG4" s="27" t="s">
        <v>626</v>
      </c>
      <c r="FH4" s="27" t="s">
        <v>626</v>
      </c>
      <c r="FI4" s="27" t="s">
        <v>626</v>
      </c>
      <c r="FJ4" s="27" t="s">
        <v>626</v>
      </c>
      <c r="FK4" s="27" t="s">
        <v>626</v>
      </c>
      <c r="FL4" s="27" t="s">
        <v>626</v>
      </c>
      <c r="FM4" s="27" t="s">
        <v>626</v>
      </c>
      <c r="FN4" s="136" t="s">
        <v>626</v>
      </c>
      <c r="FO4" s="136" t="s">
        <v>626</v>
      </c>
      <c r="FP4" s="136" t="s">
        <v>626</v>
      </c>
      <c r="FQ4" s="137" t="s">
        <v>626</v>
      </c>
      <c r="FR4" s="137" t="s">
        <v>626</v>
      </c>
      <c r="FS4" s="137" t="s">
        <v>626</v>
      </c>
      <c r="FT4" s="137" t="s">
        <v>626</v>
      </c>
      <c r="FU4" s="137" t="s">
        <v>626</v>
      </c>
      <c r="FV4" s="137" t="s">
        <v>626</v>
      </c>
      <c r="FW4" s="140" t="s">
        <v>626</v>
      </c>
      <c r="FX4" s="140" t="s">
        <v>626</v>
      </c>
      <c r="FY4" s="140" t="s">
        <v>626</v>
      </c>
      <c r="FZ4" s="140" t="s">
        <v>626</v>
      </c>
      <c r="GA4" s="140" t="s">
        <v>626</v>
      </c>
      <c r="GB4" s="140" t="s">
        <v>626</v>
      </c>
      <c r="GC4" s="143" t="s">
        <v>626</v>
      </c>
      <c r="GD4" s="143" t="s">
        <v>626</v>
      </c>
      <c r="GE4" s="143" t="s">
        <v>626</v>
      </c>
      <c r="GF4" s="143" t="s">
        <v>626</v>
      </c>
      <c r="GG4" s="143" t="s">
        <v>626</v>
      </c>
      <c r="GH4" s="143" t="s">
        <v>626</v>
      </c>
      <c r="GI4" s="146" t="s">
        <v>626</v>
      </c>
      <c r="GJ4" s="146" t="s">
        <v>626</v>
      </c>
      <c r="GK4" s="146" t="s">
        <v>626</v>
      </c>
      <c r="GL4" s="146" t="s">
        <v>626</v>
      </c>
      <c r="GM4" s="146" t="s">
        <v>626</v>
      </c>
      <c r="GN4" s="146" t="s">
        <v>626</v>
      </c>
      <c r="GO4" s="149" t="s">
        <v>626</v>
      </c>
      <c r="GP4" s="149" t="s">
        <v>626</v>
      </c>
      <c r="GQ4" s="149" t="s">
        <v>626</v>
      </c>
      <c r="GR4" s="149" t="s">
        <v>626</v>
      </c>
      <c r="GS4" s="149" t="s">
        <v>626</v>
      </c>
      <c r="GT4" s="149" t="s">
        <v>626</v>
      </c>
      <c r="GU4" s="137" t="s">
        <v>626</v>
      </c>
      <c r="GV4" s="137" t="s">
        <v>626</v>
      </c>
      <c r="GW4" s="137" t="s">
        <v>626</v>
      </c>
      <c r="GX4" s="137" t="s">
        <v>626</v>
      </c>
      <c r="GY4" s="137" t="s">
        <v>626</v>
      </c>
      <c r="GZ4" s="137" t="s">
        <v>626</v>
      </c>
      <c r="HA4" s="140" t="s">
        <v>626</v>
      </c>
      <c r="HB4" s="140" t="s">
        <v>626</v>
      </c>
      <c r="HC4" s="140" t="s">
        <v>626</v>
      </c>
      <c r="HD4" s="140" t="s">
        <v>626</v>
      </c>
      <c r="HE4" s="140" t="s">
        <v>626</v>
      </c>
      <c r="HF4" s="140" t="s">
        <v>626</v>
      </c>
      <c r="HG4" s="143" t="s">
        <v>626</v>
      </c>
      <c r="HH4" s="143" t="s">
        <v>626</v>
      </c>
      <c r="HI4" s="143" t="s">
        <v>626</v>
      </c>
      <c r="HJ4" s="143" t="s">
        <v>626</v>
      </c>
      <c r="HK4" s="143" t="s">
        <v>626</v>
      </c>
      <c r="HL4" s="143" t="s">
        <v>626</v>
      </c>
      <c r="HM4" s="146" t="s">
        <v>626</v>
      </c>
      <c r="HN4" s="146" t="s">
        <v>626</v>
      </c>
      <c r="HO4" s="146" t="s">
        <v>626</v>
      </c>
      <c r="HP4" s="146" t="s">
        <v>626</v>
      </c>
      <c r="HQ4" s="146" t="s">
        <v>626</v>
      </c>
      <c r="HR4" s="146" t="s">
        <v>626</v>
      </c>
      <c r="HS4" s="149" t="s">
        <v>626</v>
      </c>
      <c r="HT4" s="149" t="s">
        <v>626</v>
      </c>
      <c r="HU4" s="149" t="s">
        <v>626</v>
      </c>
      <c r="HV4" s="149" t="s">
        <v>626</v>
      </c>
      <c r="HW4" s="149" t="s">
        <v>626</v>
      </c>
      <c r="HX4" s="149" t="s">
        <v>626</v>
      </c>
      <c r="HY4" s="152" t="s">
        <v>384</v>
      </c>
      <c r="HZ4" s="152" t="s">
        <v>384</v>
      </c>
      <c r="IA4" s="152" t="s">
        <v>384</v>
      </c>
      <c r="IB4" s="152" t="s">
        <v>384</v>
      </c>
      <c r="IC4" s="152" t="s">
        <v>384</v>
      </c>
      <c r="ID4" s="153" t="s">
        <v>384</v>
      </c>
      <c r="IE4" s="153" t="s">
        <v>384</v>
      </c>
      <c r="IF4" s="153" t="s">
        <v>384</v>
      </c>
      <c r="IG4" s="153" t="s">
        <v>384</v>
      </c>
      <c r="IH4" s="153" t="s">
        <v>384</v>
      </c>
      <c r="II4" s="154" t="s">
        <v>384</v>
      </c>
      <c r="IJ4" s="154" t="s">
        <v>384</v>
      </c>
      <c r="IK4" s="154" t="s">
        <v>384</v>
      </c>
      <c r="IL4" s="154" t="s">
        <v>384</v>
      </c>
      <c r="IM4" s="154" t="s">
        <v>384</v>
      </c>
      <c r="IN4" s="155" t="s">
        <v>384</v>
      </c>
      <c r="IO4" s="155" t="s">
        <v>384</v>
      </c>
      <c r="IP4" s="155" t="s">
        <v>384</v>
      </c>
      <c r="IQ4" s="155" t="s">
        <v>384</v>
      </c>
      <c r="IR4" s="155" t="s">
        <v>384</v>
      </c>
      <c r="IS4" s="156" t="s">
        <v>384</v>
      </c>
      <c r="IT4" s="156" t="s">
        <v>384</v>
      </c>
      <c r="IU4" s="156" t="s">
        <v>384</v>
      </c>
      <c r="IV4" s="156" t="s">
        <v>384</v>
      </c>
      <c r="IW4" s="156" t="s">
        <v>384</v>
      </c>
      <c r="IX4" s="152" t="s">
        <v>384</v>
      </c>
      <c r="IY4" s="152" t="s">
        <v>384</v>
      </c>
      <c r="IZ4" s="152" t="s">
        <v>384</v>
      </c>
      <c r="JA4" s="152" t="s">
        <v>384</v>
      </c>
      <c r="JB4" s="152" t="s">
        <v>384</v>
      </c>
      <c r="JC4" s="54" t="s">
        <v>384</v>
      </c>
      <c r="JD4" s="54" t="s">
        <v>384</v>
      </c>
      <c r="JE4" s="54" t="s">
        <v>384</v>
      </c>
      <c r="JF4" s="54" t="s">
        <v>384</v>
      </c>
      <c r="JG4" s="54" t="s">
        <v>384</v>
      </c>
      <c r="JH4" s="154" t="s">
        <v>384</v>
      </c>
      <c r="JI4" s="154" t="s">
        <v>384</v>
      </c>
      <c r="JJ4" s="154" t="s">
        <v>384</v>
      </c>
      <c r="JK4" s="154" t="s">
        <v>384</v>
      </c>
      <c r="JL4" s="154" t="s">
        <v>384</v>
      </c>
      <c r="JM4" s="155" t="s">
        <v>384</v>
      </c>
      <c r="JN4" s="155" t="s">
        <v>384</v>
      </c>
      <c r="JO4" s="155" t="s">
        <v>384</v>
      </c>
      <c r="JP4" s="155" t="s">
        <v>384</v>
      </c>
      <c r="JQ4" s="155" t="s">
        <v>384</v>
      </c>
      <c r="JR4" s="156" t="s">
        <v>384</v>
      </c>
      <c r="JS4" s="156" t="s">
        <v>384</v>
      </c>
      <c r="JT4" s="156" t="s">
        <v>384</v>
      </c>
      <c r="JU4" s="156" t="s">
        <v>384</v>
      </c>
      <c r="JV4" s="156" t="s">
        <v>384</v>
      </c>
      <c r="JW4" s="52" t="s">
        <v>384</v>
      </c>
      <c r="JX4" s="27" t="s">
        <v>384</v>
      </c>
      <c r="JY4" s="52" t="s">
        <v>384</v>
      </c>
      <c r="JZ4" s="52"/>
    </row>
    <row r="5" spans="1:318" ht="36" customHeight="1" x14ac:dyDescent="0.25">
      <c r="A5" s="27" t="s">
        <v>255</v>
      </c>
      <c r="B5" s="27" t="s">
        <v>256</v>
      </c>
      <c r="C5" s="27" t="s">
        <v>257</v>
      </c>
      <c r="D5"/>
      <c r="E5" s="27" t="s">
        <v>258</v>
      </c>
      <c r="F5" s="17" t="s">
        <v>247</v>
      </c>
      <c r="G5" s="27" t="s">
        <v>258</v>
      </c>
      <c r="H5" s="16" t="s">
        <v>259</v>
      </c>
      <c r="I5" s="56"/>
      <c r="J5" s="56"/>
      <c r="K5" s="27" t="s">
        <v>258</v>
      </c>
      <c r="L5" s="16" t="s">
        <v>260</v>
      </c>
      <c r="M5" s="12" t="s">
        <v>261</v>
      </c>
      <c r="N5"/>
      <c r="O5" s="27" t="s">
        <v>258</v>
      </c>
      <c r="P5" s="47" t="s">
        <v>258</v>
      </c>
      <c r="Q5" s="49" t="s">
        <v>258</v>
      </c>
      <c r="R5" s="21" t="s">
        <v>262</v>
      </c>
      <c r="S5" s="12" t="s">
        <v>258</v>
      </c>
      <c r="T5" s="12" t="s">
        <v>258</v>
      </c>
      <c r="U5"/>
      <c r="V5"/>
      <c r="W5" s="27" t="s">
        <v>256</v>
      </c>
      <c r="X5" s="27" t="s">
        <v>256</v>
      </c>
      <c r="Y5" s="27" t="s">
        <v>256</v>
      </c>
      <c r="Z5" s="27" t="s">
        <v>256</v>
      </c>
      <c r="AA5" s="27" t="s">
        <v>256</v>
      </c>
      <c r="AB5" s="27" t="s">
        <v>256</v>
      </c>
      <c r="AC5" s="27" t="s">
        <v>256</v>
      </c>
      <c r="AD5" s="27" t="s">
        <v>256</v>
      </c>
      <c r="AE5" s="27" t="s">
        <v>256</v>
      </c>
      <c r="AF5" s="27" t="s">
        <v>256</v>
      </c>
      <c r="AG5" s="80" t="s">
        <v>258</v>
      </c>
      <c r="AH5" s="80" t="s">
        <v>258</v>
      </c>
      <c r="AI5" s="80" t="s">
        <v>258</v>
      </c>
      <c r="AJ5" s="80" t="s">
        <v>258</v>
      </c>
      <c r="AK5" s="80" t="s">
        <v>258</v>
      </c>
      <c r="AL5" s="80" t="s">
        <v>258</v>
      </c>
      <c r="AM5" s="80" t="s">
        <v>258</v>
      </c>
      <c r="AN5" s="80" t="s">
        <v>258</v>
      </c>
      <c r="AO5" s="80" t="s">
        <v>258</v>
      </c>
      <c r="AP5" s="80" t="s">
        <v>258</v>
      </c>
      <c r="AQ5" s="80" t="s">
        <v>258</v>
      </c>
      <c r="AR5" s="80" t="s">
        <v>258</v>
      </c>
      <c r="AS5" s="80" t="s">
        <v>258</v>
      </c>
      <c r="AT5" s="80" t="s">
        <v>258</v>
      </c>
      <c r="AU5" s="80" t="s">
        <v>258</v>
      </c>
      <c r="AV5" s="80" t="s">
        <v>258</v>
      </c>
      <c r="AW5" s="80" t="s">
        <v>258</v>
      </c>
      <c r="AX5" s="80" t="s">
        <v>258</v>
      </c>
      <c r="AY5" s="80" t="s">
        <v>258</v>
      </c>
      <c r="AZ5" s="80" t="s">
        <v>258</v>
      </c>
      <c r="BA5" s="80" t="s">
        <v>258</v>
      </c>
      <c r="BB5" s="80" t="s">
        <v>258</v>
      </c>
      <c r="BC5" s="80" t="s">
        <v>258</v>
      </c>
      <c r="BD5" s="80" t="s">
        <v>258</v>
      </c>
      <c r="BE5" s="80" t="s">
        <v>258</v>
      </c>
      <c r="BF5" s="80" t="s">
        <v>258</v>
      </c>
      <c r="BG5" s="80" t="s">
        <v>258</v>
      </c>
      <c r="BH5" s="80" t="s">
        <v>258</v>
      </c>
      <c r="BI5" s="80" t="s">
        <v>258</v>
      </c>
      <c r="BJ5" s="80" t="s">
        <v>258</v>
      </c>
      <c r="BK5"/>
      <c r="BL5"/>
      <c r="BM5"/>
      <c r="BN5"/>
      <c r="BO5"/>
      <c r="BP5"/>
      <c r="BQ5"/>
      <c r="BR5"/>
      <c r="BS5"/>
      <c r="BT5"/>
      <c r="BU5" s="17" t="s">
        <v>390</v>
      </c>
      <c r="BV5" s="17" t="s">
        <v>390</v>
      </c>
      <c r="BW5" s="17" t="s">
        <v>390</v>
      </c>
      <c r="BX5" s="17" t="s">
        <v>390</v>
      </c>
      <c r="BY5" s="17" t="s">
        <v>390</v>
      </c>
      <c r="BZ5" s="17" t="s">
        <v>390</v>
      </c>
      <c r="CA5" s="17" t="s">
        <v>390</v>
      </c>
      <c r="CB5" s="17" t="s">
        <v>390</v>
      </c>
      <c r="CC5" s="17" t="s">
        <v>390</v>
      </c>
      <c r="CD5" s="17" t="s">
        <v>390</v>
      </c>
      <c r="CE5" s="47" t="s">
        <v>263</v>
      </c>
      <c r="CF5" s="47" t="s">
        <v>263</v>
      </c>
      <c r="CG5" s="47" t="s">
        <v>263</v>
      </c>
      <c r="CH5" s="47" t="s">
        <v>263</v>
      </c>
      <c r="CI5" s="47" t="s">
        <v>263</v>
      </c>
      <c r="CJ5" s="47" t="s">
        <v>263</v>
      </c>
      <c r="CK5" s="47" t="s">
        <v>263</v>
      </c>
      <c r="CL5" s="47" t="s">
        <v>263</v>
      </c>
      <c r="CM5" s="47" t="s">
        <v>263</v>
      </c>
      <c r="CN5" s="47" t="s">
        <v>263</v>
      </c>
      <c r="CO5" s="47" t="s">
        <v>264</v>
      </c>
      <c r="CP5" s="47" t="s">
        <v>264</v>
      </c>
      <c r="CQ5" s="27" t="s">
        <v>264</v>
      </c>
      <c r="CR5" s="27" t="s">
        <v>264</v>
      </c>
      <c r="CS5" s="27" t="s">
        <v>264</v>
      </c>
      <c r="CT5" s="27" t="s">
        <v>264</v>
      </c>
      <c r="CU5" s="27" t="s">
        <v>264</v>
      </c>
      <c r="CV5" s="27" t="s">
        <v>264</v>
      </c>
      <c r="CW5" s="27" t="s">
        <v>264</v>
      </c>
      <c r="CX5" s="27" t="s">
        <v>264</v>
      </c>
      <c r="CY5" s="27" t="s">
        <v>265</v>
      </c>
      <c r="CZ5" s="27" t="s">
        <v>265</v>
      </c>
      <c r="DA5" s="27" t="s">
        <v>265</v>
      </c>
      <c r="DB5" s="27" t="s">
        <v>265</v>
      </c>
      <c r="DC5" s="27" t="s">
        <v>265</v>
      </c>
      <c r="DD5" s="27" t="s">
        <v>265</v>
      </c>
      <c r="DE5" s="27" t="s">
        <v>265</v>
      </c>
      <c r="DF5" s="27" t="s">
        <v>265</v>
      </c>
      <c r="DG5" s="27" t="s">
        <v>265</v>
      </c>
      <c r="DH5" s="27" t="s">
        <v>265</v>
      </c>
      <c r="DI5" s="27" t="s">
        <v>266</v>
      </c>
      <c r="DJ5" s="27" t="s">
        <v>266</v>
      </c>
      <c r="DK5" s="27" t="s">
        <v>266</v>
      </c>
      <c r="DL5" s="27" t="s">
        <v>266</v>
      </c>
      <c r="DM5" s="27" t="s">
        <v>266</v>
      </c>
      <c r="DN5" s="27" t="s">
        <v>266</v>
      </c>
      <c r="DO5" s="27" t="s">
        <v>266</v>
      </c>
      <c r="DP5" s="27" t="s">
        <v>266</v>
      </c>
      <c r="DQ5" s="27" t="s">
        <v>266</v>
      </c>
      <c r="DR5" s="27" t="s">
        <v>266</v>
      </c>
      <c r="DS5" s="27" t="s">
        <v>267</v>
      </c>
      <c r="DT5" s="27" t="s">
        <v>267</v>
      </c>
      <c r="DU5" s="27" t="s">
        <v>267</v>
      </c>
      <c r="DV5" s="27" t="s">
        <v>267</v>
      </c>
      <c r="DW5" s="27" t="s">
        <v>267</v>
      </c>
      <c r="DX5" s="27" t="s">
        <v>267</v>
      </c>
      <c r="DY5" s="27" t="s">
        <v>267</v>
      </c>
      <c r="DZ5" s="27" t="s">
        <v>267</v>
      </c>
      <c r="EA5" s="27" t="s">
        <v>267</v>
      </c>
      <c r="EB5" s="27" t="s">
        <v>267</v>
      </c>
      <c r="EC5" s="27" t="s">
        <v>268</v>
      </c>
      <c r="ED5" s="27" t="s">
        <v>268</v>
      </c>
      <c r="EE5" s="27" t="s">
        <v>268</v>
      </c>
      <c r="EF5" s="27" t="s">
        <v>268</v>
      </c>
      <c r="EG5" s="27" t="s">
        <v>268</v>
      </c>
      <c r="EH5" s="27" t="s">
        <v>268</v>
      </c>
      <c r="EI5" s="27" t="s">
        <v>268</v>
      </c>
      <c r="EJ5" s="27" t="s">
        <v>268</v>
      </c>
      <c r="EK5" s="27" t="s">
        <v>268</v>
      </c>
      <c r="EL5" s="27" t="s">
        <v>268</v>
      </c>
      <c r="EM5" s="27" t="s">
        <v>269</v>
      </c>
      <c r="EN5" s="27" t="s">
        <v>269</v>
      </c>
      <c r="EO5" s="27" t="s">
        <v>269</v>
      </c>
      <c r="EP5" s="27" t="s">
        <v>269</v>
      </c>
      <c r="EQ5" s="27" t="s">
        <v>269</v>
      </c>
      <c r="ER5" s="27" t="s">
        <v>269</v>
      </c>
      <c r="ES5" s="27" t="s">
        <v>269</v>
      </c>
      <c r="ET5" s="27" t="s">
        <v>269</v>
      </c>
      <c r="EU5" s="27" t="s">
        <v>269</v>
      </c>
      <c r="EV5" s="27" t="s">
        <v>269</v>
      </c>
      <c r="EW5" s="47"/>
      <c r="EY5" s="47" t="s">
        <v>270</v>
      </c>
      <c r="EZ5" s="27" t="s">
        <v>258</v>
      </c>
      <c r="FA5" s="27" t="s">
        <v>258</v>
      </c>
      <c r="FB5" s="27" t="s">
        <v>258</v>
      </c>
      <c r="FC5" s="27" t="s">
        <v>258</v>
      </c>
      <c r="FD5" s="27" t="s">
        <v>258</v>
      </c>
      <c r="FE5" s="27" t="s">
        <v>258</v>
      </c>
      <c r="FF5" s="27" t="s">
        <v>258</v>
      </c>
      <c r="FG5" s="27" t="s">
        <v>258</v>
      </c>
      <c r="FH5" s="27" t="s">
        <v>258</v>
      </c>
      <c r="FI5" s="27" t="s">
        <v>258</v>
      </c>
      <c r="FJ5" s="27" t="s">
        <v>258</v>
      </c>
      <c r="FK5" s="27" t="s">
        <v>258</v>
      </c>
      <c r="FL5" s="27" t="s">
        <v>258</v>
      </c>
      <c r="FM5" s="27" t="s">
        <v>258</v>
      </c>
      <c r="FN5" s="136" t="s">
        <v>271</v>
      </c>
      <c r="FO5" s="136" t="s">
        <v>258</v>
      </c>
      <c r="FP5" s="136" t="s">
        <v>258</v>
      </c>
      <c r="FQ5" s="137" t="s">
        <v>258</v>
      </c>
      <c r="FR5" s="137" t="s">
        <v>258</v>
      </c>
      <c r="FS5" s="137" t="s">
        <v>258</v>
      </c>
      <c r="FT5" s="137" t="s">
        <v>272</v>
      </c>
      <c r="FU5" s="137" t="s">
        <v>273</v>
      </c>
      <c r="FV5" s="137" t="s">
        <v>258</v>
      </c>
      <c r="FW5" s="140" t="s">
        <v>258</v>
      </c>
      <c r="FX5" s="140" t="s">
        <v>258</v>
      </c>
      <c r="FY5" s="140" t="s">
        <v>258</v>
      </c>
      <c r="FZ5" s="140" t="s">
        <v>274</v>
      </c>
      <c r="GA5" s="140" t="s">
        <v>275</v>
      </c>
      <c r="GB5" s="140" t="s">
        <v>258</v>
      </c>
      <c r="GC5" s="143" t="s">
        <v>258</v>
      </c>
      <c r="GD5" s="143" t="s">
        <v>258</v>
      </c>
      <c r="GE5" s="143" t="s">
        <v>258</v>
      </c>
      <c r="GF5" s="143" t="s">
        <v>276</v>
      </c>
      <c r="GG5" s="143" t="s">
        <v>277</v>
      </c>
      <c r="GH5" s="143" t="s">
        <v>258</v>
      </c>
      <c r="GI5" s="146" t="s">
        <v>258</v>
      </c>
      <c r="GJ5" s="146" t="s">
        <v>258</v>
      </c>
      <c r="GK5" s="146" t="s">
        <v>258</v>
      </c>
      <c r="GL5" s="146" t="s">
        <v>278</v>
      </c>
      <c r="GM5" s="146" t="s">
        <v>279</v>
      </c>
      <c r="GN5" s="146" t="s">
        <v>258</v>
      </c>
      <c r="GO5" s="149" t="s">
        <v>258</v>
      </c>
      <c r="GP5" s="149" t="s">
        <v>258</v>
      </c>
      <c r="GQ5" s="149" t="s">
        <v>258</v>
      </c>
      <c r="GR5" s="149" t="s">
        <v>258</v>
      </c>
      <c r="GS5" s="149" t="s">
        <v>258</v>
      </c>
      <c r="GT5" s="149" t="s">
        <v>258</v>
      </c>
      <c r="GU5" s="137" t="s">
        <v>258</v>
      </c>
      <c r="GV5" s="137" t="s">
        <v>258</v>
      </c>
      <c r="GW5" s="137" t="s">
        <v>258</v>
      </c>
      <c r="GX5" s="137" t="s">
        <v>258</v>
      </c>
      <c r="GY5" s="137" t="s">
        <v>258</v>
      </c>
      <c r="GZ5" s="137" t="s">
        <v>258</v>
      </c>
      <c r="HA5" s="140" t="s">
        <v>258</v>
      </c>
      <c r="HB5" s="140" t="s">
        <v>258</v>
      </c>
      <c r="HC5" s="140" t="s">
        <v>258</v>
      </c>
      <c r="HD5" s="140" t="s">
        <v>258</v>
      </c>
      <c r="HE5" s="140" t="s">
        <v>258</v>
      </c>
      <c r="HF5" s="140" t="s">
        <v>258</v>
      </c>
      <c r="HG5" s="143" t="s">
        <v>258</v>
      </c>
      <c r="HH5" s="143" t="s">
        <v>258</v>
      </c>
      <c r="HI5" s="143" t="s">
        <v>258</v>
      </c>
      <c r="HJ5" s="143" t="s">
        <v>258</v>
      </c>
      <c r="HK5" s="143" t="s">
        <v>258</v>
      </c>
      <c r="HL5" s="143" t="s">
        <v>258</v>
      </c>
      <c r="HM5" s="146" t="s">
        <v>258</v>
      </c>
      <c r="HN5" s="146" t="s">
        <v>258</v>
      </c>
      <c r="HO5" s="146" t="s">
        <v>258</v>
      </c>
      <c r="HP5" s="146" t="s">
        <v>258</v>
      </c>
      <c r="HQ5" s="146" t="s">
        <v>258</v>
      </c>
      <c r="HR5" s="146" t="s">
        <v>258</v>
      </c>
      <c r="HS5" s="149" t="s">
        <v>258</v>
      </c>
      <c r="HT5" s="149" t="s">
        <v>258</v>
      </c>
      <c r="HU5" s="149" t="s">
        <v>258</v>
      </c>
      <c r="HV5" s="149" t="s">
        <v>258</v>
      </c>
      <c r="HW5" s="149" t="s">
        <v>258</v>
      </c>
      <c r="HX5" s="149" t="s">
        <v>258</v>
      </c>
      <c r="HY5" s="137" t="s">
        <v>258</v>
      </c>
      <c r="HZ5" s="137" t="s">
        <v>258</v>
      </c>
      <c r="IA5" s="137" t="s">
        <v>258</v>
      </c>
      <c r="IB5" s="137" t="s">
        <v>280</v>
      </c>
      <c r="IC5" s="137" t="s">
        <v>281</v>
      </c>
      <c r="ID5" s="140" t="s">
        <v>258</v>
      </c>
      <c r="IE5" s="140" t="s">
        <v>258</v>
      </c>
      <c r="IF5" s="140" t="s">
        <v>258</v>
      </c>
      <c r="IG5" s="140" t="s">
        <v>282</v>
      </c>
      <c r="IH5" s="140" t="s">
        <v>283</v>
      </c>
      <c r="II5" s="143" t="s">
        <v>258</v>
      </c>
      <c r="IJ5" s="143" t="s">
        <v>258</v>
      </c>
      <c r="IK5" s="143" t="s">
        <v>258</v>
      </c>
      <c r="IL5" s="143" t="s">
        <v>284</v>
      </c>
      <c r="IM5" s="143" t="s">
        <v>285</v>
      </c>
      <c r="IN5" s="146" t="s">
        <v>258</v>
      </c>
      <c r="IO5" s="146" t="s">
        <v>258</v>
      </c>
      <c r="IP5" s="146" t="s">
        <v>258</v>
      </c>
      <c r="IQ5" s="146" t="s">
        <v>286</v>
      </c>
      <c r="IR5" s="146" t="s">
        <v>287</v>
      </c>
      <c r="IS5" s="149" t="s">
        <v>258</v>
      </c>
      <c r="IT5" s="149" t="s">
        <v>258</v>
      </c>
      <c r="IU5" s="149" t="s">
        <v>258</v>
      </c>
      <c r="IV5" s="149" t="s">
        <v>258</v>
      </c>
      <c r="IW5" s="149" t="s">
        <v>258</v>
      </c>
      <c r="IX5" s="137" t="s">
        <v>258</v>
      </c>
      <c r="IY5" s="137" t="s">
        <v>258</v>
      </c>
      <c r="IZ5" s="137" t="s">
        <v>258</v>
      </c>
      <c r="JA5" s="137" t="s">
        <v>258</v>
      </c>
      <c r="JB5" s="137" t="s">
        <v>258</v>
      </c>
      <c r="JC5" s="13" t="s">
        <v>258</v>
      </c>
      <c r="JD5" s="13" t="s">
        <v>258</v>
      </c>
      <c r="JE5" s="13" t="s">
        <v>258</v>
      </c>
      <c r="JF5" s="13" t="s">
        <v>258</v>
      </c>
      <c r="JG5" s="13" t="s">
        <v>258</v>
      </c>
      <c r="JH5" s="143" t="s">
        <v>258</v>
      </c>
      <c r="JI5" s="143" t="s">
        <v>258</v>
      </c>
      <c r="JJ5" s="143" t="s">
        <v>258</v>
      </c>
      <c r="JK5" s="143" t="s">
        <v>258</v>
      </c>
      <c r="JL5" s="143" t="s">
        <v>258</v>
      </c>
      <c r="JM5" s="146" t="s">
        <v>258</v>
      </c>
      <c r="JN5" s="146" t="s">
        <v>258</v>
      </c>
      <c r="JO5" s="146" t="s">
        <v>258</v>
      </c>
      <c r="JP5" s="146" t="s">
        <v>258</v>
      </c>
      <c r="JQ5" s="146" t="s">
        <v>258</v>
      </c>
      <c r="JR5" s="149" t="s">
        <v>258</v>
      </c>
      <c r="JS5" s="149" t="s">
        <v>258</v>
      </c>
      <c r="JT5" s="149" t="s">
        <v>258</v>
      </c>
      <c r="JU5" s="149" t="s">
        <v>258</v>
      </c>
      <c r="JV5" s="149" t="s">
        <v>288</v>
      </c>
      <c r="JW5" s="52" t="s">
        <v>384</v>
      </c>
      <c r="JX5" s="27" t="s">
        <v>384</v>
      </c>
      <c r="JY5" s="52" t="s">
        <v>384</v>
      </c>
      <c r="JZ5" s="52"/>
    </row>
    <row r="6" spans="1:318" ht="28" x14ac:dyDescent="0.2">
      <c r="A6" s="27" t="s">
        <v>289</v>
      </c>
      <c r="B6" s="63" t="s">
        <v>290</v>
      </c>
      <c r="C6" s="63" t="s">
        <v>291</v>
      </c>
      <c r="D6" s="65" t="s">
        <v>292</v>
      </c>
      <c r="E6" s="63" t="s">
        <v>637</v>
      </c>
      <c r="F6" s="76" t="s">
        <v>638</v>
      </c>
      <c r="G6" s="63" t="s">
        <v>634</v>
      </c>
      <c r="H6" s="49"/>
      <c r="I6" s="64" t="s">
        <v>630</v>
      </c>
      <c r="J6" s="52"/>
      <c r="K6" s="65" t="s">
        <v>631</v>
      </c>
      <c r="L6" s="49"/>
      <c r="M6" s="89"/>
      <c r="N6" s="89"/>
      <c r="O6" s="65" t="s">
        <v>632</v>
      </c>
      <c r="P6" s="49"/>
      <c r="Q6" s="65" t="s">
        <v>633</v>
      </c>
      <c r="R6" s="88"/>
      <c r="S6" s="66" t="s">
        <v>387</v>
      </c>
      <c r="T6" s="66" t="s">
        <v>388</v>
      </c>
      <c r="U6"/>
      <c r="V6"/>
      <c r="W6" s="63" t="s">
        <v>293</v>
      </c>
      <c r="X6" s="63" t="s">
        <v>294</v>
      </c>
      <c r="Y6" s="63" t="s">
        <v>295</v>
      </c>
      <c r="Z6" s="63" t="s">
        <v>296</v>
      </c>
      <c r="AA6" s="63" t="s">
        <v>297</v>
      </c>
      <c r="AB6" s="63" t="s">
        <v>298</v>
      </c>
      <c r="AC6" s="63" t="s">
        <v>299</v>
      </c>
      <c r="AD6" s="63" t="s">
        <v>300</v>
      </c>
      <c r="AE6" s="63" t="s">
        <v>430</v>
      </c>
      <c r="AF6" s="63" t="s">
        <v>752</v>
      </c>
      <c r="AG6" s="82" t="s">
        <v>666</v>
      </c>
      <c r="AH6" s="83" t="s">
        <v>667</v>
      </c>
      <c r="AI6" s="82" t="s">
        <v>668</v>
      </c>
      <c r="AJ6" s="82" t="s">
        <v>669</v>
      </c>
      <c r="AK6" s="82" t="s">
        <v>670</v>
      </c>
      <c r="AL6" s="82" t="s">
        <v>671</v>
      </c>
      <c r="AM6" s="82" t="s">
        <v>672</v>
      </c>
      <c r="AN6" s="82" t="s">
        <v>673</v>
      </c>
      <c r="AO6" s="82" t="s">
        <v>674</v>
      </c>
      <c r="AP6" s="82" t="s">
        <v>756</v>
      </c>
      <c r="AQ6" s="84" t="s">
        <v>675</v>
      </c>
      <c r="AR6" s="85" t="s">
        <v>676</v>
      </c>
      <c r="AS6" s="84" t="s">
        <v>677</v>
      </c>
      <c r="AT6" s="84" t="s">
        <v>678</v>
      </c>
      <c r="AU6" s="84" t="s">
        <v>679</v>
      </c>
      <c r="AV6" s="84" t="s">
        <v>680</v>
      </c>
      <c r="AW6" s="84" t="s">
        <v>681</v>
      </c>
      <c r="AX6" s="84" t="s">
        <v>682</v>
      </c>
      <c r="AY6" s="84" t="s">
        <v>683</v>
      </c>
      <c r="AZ6" s="84" t="s">
        <v>759</v>
      </c>
      <c r="BA6" s="86" t="s">
        <v>684</v>
      </c>
      <c r="BB6" s="87" t="s">
        <v>685</v>
      </c>
      <c r="BC6" s="86" t="s">
        <v>686</v>
      </c>
      <c r="BD6" s="86" t="s">
        <v>687</v>
      </c>
      <c r="BE6" s="86" t="s">
        <v>688</v>
      </c>
      <c r="BF6" s="86" t="s">
        <v>689</v>
      </c>
      <c r="BG6" s="86" t="s">
        <v>690</v>
      </c>
      <c r="BH6" s="86" t="s">
        <v>691</v>
      </c>
      <c r="BI6" s="86" t="s">
        <v>692</v>
      </c>
      <c r="BJ6" s="86" t="s">
        <v>762</v>
      </c>
      <c r="BK6" s="18"/>
      <c r="BL6"/>
      <c r="BM6"/>
      <c r="BN6"/>
      <c r="BO6"/>
      <c r="BP6"/>
      <c r="BQ6"/>
      <c r="BR6"/>
      <c r="BS6"/>
      <c r="BT6"/>
      <c r="BU6" s="73" t="s">
        <v>301</v>
      </c>
      <c r="BV6" s="73" t="s">
        <v>302</v>
      </c>
      <c r="BW6" s="73" t="s">
        <v>303</v>
      </c>
      <c r="BX6" s="73" t="s">
        <v>304</v>
      </c>
      <c r="BY6" s="73" t="s">
        <v>305</v>
      </c>
      <c r="BZ6" s="73" t="s">
        <v>306</v>
      </c>
      <c r="CA6" s="73" t="s">
        <v>307</v>
      </c>
      <c r="CB6" s="73" t="s">
        <v>308</v>
      </c>
      <c r="CC6" s="73" t="s">
        <v>635</v>
      </c>
      <c r="CD6" s="73" t="s">
        <v>767</v>
      </c>
      <c r="CE6" s="63" t="s">
        <v>309</v>
      </c>
      <c r="CF6" s="63" t="s">
        <v>310</v>
      </c>
      <c r="CG6" s="63" t="s">
        <v>311</v>
      </c>
      <c r="CH6" s="63" t="s">
        <v>312</v>
      </c>
      <c r="CI6" s="63" t="s">
        <v>313</v>
      </c>
      <c r="CJ6" s="63" t="s">
        <v>314</v>
      </c>
      <c r="CK6" s="63" t="s">
        <v>315</v>
      </c>
      <c r="CL6" s="63" t="s">
        <v>316</v>
      </c>
      <c r="CM6" s="63" t="s">
        <v>636</v>
      </c>
      <c r="CN6" s="63" t="s">
        <v>770</v>
      </c>
      <c r="CO6" s="74" t="s">
        <v>751</v>
      </c>
      <c r="CP6" s="72" t="s">
        <v>725</v>
      </c>
      <c r="CQ6" s="74" t="s">
        <v>726</v>
      </c>
      <c r="CR6" s="74" t="s">
        <v>727</v>
      </c>
      <c r="CS6" s="74" t="s">
        <v>728</v>
      </c>
      <c r="CT6" s="74" t="s">
        <v>729</v>
      </c>
      <c r="CU6" s="74" t="s">
        <v>730</v>
      </c>
      <c r="CV6" s="74" t="s">
        <v>731</v>
      </c>
      <c r="CW6" s="74" t="s">
        <v>732</v>
      </c>
      <c r="CX6" s="102" t="s">
        <v>773</v>
      </c>
      <c r="CY6" s="74" t="s">
        <v>639</v>
      </c>
      <c r="CZ6" s="74" t="s">
        <v>640</v>
      </c>
      <c r="DA6" s="74" t="s">
        <v>641</v>
      </c>
      <c r="DB6" s="74" t="s">
        <v>642</v>
      </c>
      <c r="DC6" s="74" t="s">
        <v>643</v>
      </c>
      <c r="DD6" s="74" t="s">
        <v>644</v>
      </c>
      <c r="DE6" s="74" t="s">
        <v>645</v>
      </c>
      <c r="DF6" s="74" t="s">
        <v>646</v>
      </c>
      <c r="DG6" s="74" t="s">
        <v>647</v>
      </c>
      <c r="DH6" s="102" t="s">
        <v>776</v>
      </c>
      <c r="DI6" s="103" t="s">
        <v>733</v>
      </c>
      <c r="DJ6" s="70" t="s">
        <v>734</v>
      </c>
      <c r="DK6" s="75" t="s">
        <v>735</v>
      </c>
      <c r="DL6" s="75" t="s">
        <v>736</v>
      </c>
      <c r="DM6" s="75" t="s">
        <v>737</v>
      </c>
      <c r="DN6" s="75" t="s">
        <v>738</v>
      </c>
      <c r="DO6" s="75" t="s">
        <v>739</v>
      </c>
      <c r="DP6" s="75" t="s">
        <v>740</v>
      </c>
      <c r="DQ6" s="75" t="s">
        <v>741</v>
      </c>
      <c r="DR6" s="103" t="s">
        <v>779</v>
      </c>
      <c r="DS6" s="75" t="s">
        <v>648</v>
      </c>
      <c r="DT6" s="75" t="s">
        <v>649</v>
      </c>
      <c r="DU6" s="75" t="s">
        <v>650</v>
      </c>
      <c r="DV6" s="75" t="s">
        <v>651</v>
      </c>
      <c r="DW6" s="75" t="s">
        <v>652</v>
      </c>
      <c r="DX6" s="75" t="s">
        <v>653</v>
      </c>
      <c r="DY6" s="75" t="s">
        <v>654</v>
      </c>
      <c r="DZ6" s="75" t="s">
        <v>655</v>
      </c>
      <c r="EA6" s="75" t="s">
        <v>656</v>
      </c>
      <c r="EB6" s="103" t="s">
        <v>782</v>
      </c>
      <c r="EC6" s="77" t="s">
        <v>742</v>
      </c>
      <c r="ED6" s="71" t="s">
        <v>743</v>
      </c>
      <c r="EE6" s="77" t="s">
        <v>744</v>
      </c>
      <c r="EF6" s="77" t="s">
        <v>745</v>
      </c>
      <c r="EG6" s="77" t="s">
        <v>746</v>
      </c>
      <c r="EH6" s="77" t="s">
        <v>747</v>
      </c>
      <c r="EI6" s="77" t="s">
        <v>748</v>
      </c>
      <c r="EJ6" s="77" t="s">
        <v>749</v>
      </c>
      <c r="EK6" s="77" t="s">
        <v>750</v>
      </c>
      <c r="EL6" s="104" t="s">
        <v>785</v>
      </c>
      <c r="EM6" s="77" t="s">
        <v>657</v>
      </c>
      <c r="EN6" s="77" t="s">
        <v>658</v>
      </c>
      <c r="EO6" s="77" t="s">
        <v>659</v>
      </c>
      <c r="EP6" s="77" t="s">
        <v>660</v>
      </c>
      <c r="EQ6" s="77" t="s">
        <v>661</v>
      </c>
      <c r="ER6" s="77" t="s">
        <v>662</v>
      </c>
      <c r="ES6" s="77" t="s">
        <v>663</v>
      </c>
      <c r="ET6" s="77" t="s">
        <v>664</v>
      </c>
      <c r="EU6" s="77" t="s">
        <v>665</v>
      </c>
      <c r="EV6" s="104" t="s">
        <v>788</v>
      </c>
      <c r="EW6" s="65" t="s">
        <v>428</v>
      </c>
      <c r="EX6" s="65" t="s">
        <v>429</v>
      </c>
      <c r="FA6"/>
      <c r="FB6"/>
      <c r="FC6"/>
      <c r="FD6"/>
      <c r="FE6"/>
      <c r="FF6"/>
      <c r="FG6"/>
      <c r="FH6"/>
      <c r="FI6"/>
      <c r="FJ6"/>
      <c r="FK6"/>
      <c r="FL6"/>
      <c r="FM6"/>
      <c r="FN6" s="136"/>
      <c r="FO6" s="136"/>
      <c r="FP6" s="136"/>
      <c r="FQ6" s="137"/>
      <c r="FR6" s="137"/>
      <c r="FS6" s="137"/>
      <c r="FT6" s="137"/>
      <c r="FU6" s="137"/>
      <c r="FV6" s="137"/>
      <c r="FW6" s="140"/>
      <c r="FX6" s="140"/>
      <c r="FY6" s="140"/>
      <c r="FZ6" s="140"/>
      <c r="GA6" s="140"/>
      <c r="GB6" s="140"/>
      <c r="GC6" s="143"/>
      <c r="GD6" s="143"/>
      <c r="GE6" s="143"/>
      <c r="GF6" s="143"/>
      <c r="GG6" s="143"/>
      <c r="GH6" s="143"/>
      <c r="GI6" s="146"/>
      <c r="GJ6" s="146"/>
      <c r="GK6" s="146"/>
      <c r="GL6" s="146"/>
      <c r="GM6" s="146"/>
      <c r="GN6" s="146"/>
      <c r="GO6" s="149"/>
      <c r="GP6" s="149"/>
      <c r="GQ6" s="149"/>
      <c r="GR6" s="149"/>
      <c r="GS6" s="149"/>
      <c r="GT6" s="149"/>
      <c r="GU6" s="137"/>
      <c r="GV6" s="137"/>
      <c r="GW6" s="137"/>
      <c r="GX6" s="137"/>
      <c r="GY6" s="137"/>
      <c r="GZ6" s="137"/>
      <c r="HA6" s="140"/>
      <c r="HB6" s="140"/>
      <c r="HC6" s="140"/>
      <c r="HD6" s="140"/>
      <c r="HE6" s="140"/>
      <c r="HF6" s="140"/>
      <c r="HG6" s="143"/>
      <c r="HH6" s="143"/>
      <c r="HI6" s="143"/>
      <c r="HJ6" s="143"/>
      <c r="HK6" s="143"/>
      <c r="HL6" s="143"/>
      <c r="HM6" s="146"/>
      <c r="HN6" s="146"/>
      <c r="HO6" s="146"/>
      <c r="HP6" s="146"/>
      <c r="HQ6" s="146"/>
      <c r="HR6" s="146"/>
      <c r="HS6" s="149"/>
      <c r="HT6" s="149"/>
      <c r="HU6" s="149"/>
      <c r="HV6" s="149"/>
      <c r="HW6" s="149"/>
      <c r="HX6" s="149"/>
      <c r="HY6" s="137"/>
      <c r="HZ6" s="137"/>
      <c r="IA6" s="137"/>
      <c r="IB6" s="137"/>
      <c r="IC6" s="137"/>
      <c r="ID6" s="140"/>
      <c r="IE6" s="140"/>
      <c r="IF6" s="140"/>
      <c r="IG6" s="140"/>
      <c r="IH6" s="140"/>
      <c r="II6" s="143"/>
      <c r="IJ6" s="143"/>
      <c r="IK6" s="143"/>
      <c r="IL6" s="143"/>
      <c r="IM6" s="143"/>
      <c r="IN6" s="146"/>
      <c r="IO6" s="146"/>
      <c r="IP6" s="146"/>
      <c r="IQ6" s="146"/>
      <c r="IR6" s="146"/>
      <c r="IS6" s="149"/>
      <c r="IT6" s="149"/>
      <c r="IU6" s="149"/>
      <c r="IV6" s="149"/>
      <c r="IW6" s="149"/>
      <c r="IX6" s="137"/>
      <c r="IY6" s="137"/>
      <c r="IZ6" s="137"/>
      <c r="JA6" s="137"/>
      <c r="JB6" s="137"/>
      <c r="JC6" s="13"/>
      <c r="JD6" s="13"/>
      <c r="JE6" s="13"/>
      <c r="JF6" s="13"/>
      <c r="JG6" s="13"/>
      <c r="JH6" s="143"/>
      <c r="JI6" s="143"/>
      <c r="JJ6" s="143"/>
      <c r="JK6" s="143"/>
      <c r="JL6" s="143"/>
      <c r="JM6" s="146"/>
      <c r="JN6" s="146"/>
      <c r="JO6" s="146"/>
      <c r="JP6" s="146"/>
      <c r="JQ6" s="146"/>
      <c r="JR6" s="149"/>
      <c r="JS6" s="149"/>
      <c r="JT6" s="149"/>
      <c r="JU6" s="149"/>
      <c r="JV6" s="149"/>
      <c r="JW6" s="52"/>
    </row>
    <row r="7" spans="1:318" x14ac:dyDescent="0.2">
      <c r="A7" s="53">
        <v>1</v>
      </c>
      <c r="B7" s="96">
        <f t="shared" ref="B7:B35" si="0">AA7</f>
        <v>1029.3104234942298</v>
      </c>
      <c r="C7" s="27" t="str">
        <f>'Standard Settings'!B2</f>
        <v>Y/1/2</v>
      </c>
      <c r="D7" s="27">
        <f>'Standard Settings'!H2</f>
        <v>55</v>
      </c>
      <c r="E7" s="19">
        <f t="shared" ref="E7:E35" si="1">(DW7-DM7)/2048</f>
        <v>3.1962245287846525E-3</v>
      </c>
      <c r="F7" s="18">
        <f>((EchelleFPAparam!$S$3/('crmcfgWLEN.txt'!$U7+F$53))*(SIN('Standard Settings'!$F2+0.0005)+SIN('Standard Settings'!$F2+0.0005+EchelleFPAparam!$M$3))-(EchelleFPAparam!$S$3/('crmcfgWLEN.txt'!$U7+F$53))*(SIN('Standard Settings'!$F2-0.0005)+SIN('Standard Settings'!$F2-0.0005+EchelleFPAparam!$M$3)))*1000*EchelleFPAparam!$O$3/180</f>
        <v>8.7798479325381873</v>
      </c>
      <c r="G7" s="20" t="str">
        <f>'Standard Settings'!C2</f>
        <v>Y</v>
      </c>
      <c r="H7" s="46"/>
      <c r="I7" s="59" t="s">
        <v>353</v>
      </c>
      <c r="J7" s="57"/>
      <c r="K7" s="27" t="str">
        <f>'Standard Settings'!$D2</f>
        <v>YJ</v>
      </c>
      <c r="L7" s="46"/>
      <c r="M7" s="12">
        <v>2.5</v>
      </c>
      <c r="N7" s="12">
        <v>2.5</v>
      </c>
      <c r="O7" s="27" t="str">
        <f>'Standard Settings'!$D2</f>
        <v>YJ</v>
      </c>
      <c r="P7" s="46"/>
      <c r="Q7" s="27">
        <f>'Standard Settings'!$E2</f>
        <v>65.55765000000001</v>
      </c>
      <c r="R7" s="106">
        <f>'Standard Settings'!$J2</f>
        <v>510000</v>
      </c>
      <c r="S7" s="21">
        <f>'Standard Settings'!$G2</f>
        <v>51</v>
      </c>
      <c r="T7" s="21">
        <f>'Standard Settings'!$I2</f>
        <v>59</v>
      </c>
      <c r="U7" s="22">
        <v>51</v>
      </c>
      <c r="V7" s="22">
        <f>D7+5</f>
        <v>60</v>
      </c>
      <c r="W7" s="23">
        <f>IF(AND($U7-$S7+B$53&gt;=0,$U7-$T7+B$53&lt;=0),(EchelleFPAparam!$S$3/('crmcfgWLEN.txt'!$U7+B$53))*(SIN('Standard Settings'!$F2)+SIN('Standard Settings'!$F2+EchelleFPAparam!$M$3)),-1)</f>
        <v>1110.0406527878949</v>
      </c>
      <c r="X7" s="23">
        <f>IF(AND($U7-$S7+C$53&gt;=0,$U7-$T7+C$53&lt;=0),(EchelleFPAparam!$S$3/('crmcfgWLEN.txt'!$U7+C$53))*(SIN('Standard Settings'!$F2)+SIN('Standard Settings'!$F2+EchelleFPAparam!$M$3)),-1)</f>
        <v>1088.6937171573586</v>
      </c>
      <c r="Y7" s="23">
        <f>IF(AND($U7-$S7+D$53&gt;=0,$U7-$T7+D$53&lt;=0),(EchelleFPAparam!$S$3/('crmcfgWLEN.txt'!$U7+D$53))*(SIN('Standard Settings'!$F2)+SIN('Standard Settings'!$F2+EchelleFPAparam!$M$3)),-1)</f>
        <v>1068.1523262675971</v>
      </c>
      <c r="Z7" s="23">
        <f>IF(AND($U7-$S7+E$53&gt;=0,$U7-$T7+E$53&lt;=0),(EchelleFPAparam!$S$3/('crmcfgWLEN.txt'!$U7+E$53))*(SIN('Standard Settings'!$F2)+SIN('Standard Settings'!$F2+EchelleFPAparam!$M$3)),-1)</f>
        <v>1048.3717276330119</v>
      </c>
      <c r="AA7" s="23">
        <f>IF(AND($U7-$S7+F$53&gt;=0,$U7-$T7+F$53&lt;=0),(EchelleFPAparam!$S$3/('crmcfgWLEN.txt'!$U7+F$53))*(SIN('Standard Settings'!$F2)+SIN('Standard Settings'!$F2+EchelleFPAparam!$M$3)),-1)</f>
        <v>1029.3104234942298</v>
      </c>
      <c r="AB7" s="23">
        <f>IF(AND($U7-$S7+G$53&gt;=0,$U7-$T7+G$53&lt;=0),(EchelleFPAparam!$S$3/('crmcfgWLEN.txt'!$U7+G$53))*(SIN('Standard Settings'!$F2)+SIN('Standard Settings'!$F2+EchelleFPAparam!$M$3)),-1)</f>
        <v>1010.9298802175473</v>
      </c>
      <c r="AC7" s="23">
        <f>IF(AND($U7-$S7+H$53&gt;=0,$U7-$T7+H$53&lt;=0),(EchelleFPAparam!$S$3/('crmcfgWLEN.txt'!$U7+H$53))*(SIN('Standard Settings'!$F2)+SIN('Standard Settings'!$F2+EchelleFPAparam!$M$3)),-1)</f>
        <v>993.19426828390601</v>
      </c>
      <c r="AD7" s="23">
        <f>IF(AND($U7-$S7+I$53&gt;=0,$U7-$T7+I$53&lt;=0),(EchelleFPAparam!$S$3/('crmcfgWLEN.txt'!$U7+I$53))*(SIN('Standard Settings'!$F2)+SIN('Standard Settings'!$F2+EchelleFPAparam!$M$3)),-1)</f>
        <v>976.07022917556287</v>
      </c>
      <c r="AE7" s="23">
        <f>IF(AND($U7-$S7+J$53&gt;=0,$U7-$T7+J$53&lt;=0),(EchelleFPAparam!$S$3/('crmcfgWLEN.txt'!$U7+J$53))*(SIN('Standard Settings'!$F2)+SIN('Standard Settings'!$F2+EchelleFPAparam!$M$3)),-1)</f>
        <v>959.52666596919744</v>
      </c>
      <c r="AF7" s="23">
        <f>IF(AND($U7-$S7+K$53&gt;=0,$U7-$T7+K$53&lt;=0),(EchelleFPAparam!$S$3/('crmcfgWLEN.txt'!$U7+K$53))*(SIN('Standard Settings'!$F2)+SIN('Standard Settings'!$F2+EchelleFPAparam!$M$3)),-1)</f>
        <v>-1</v>
      </c>
      <c r="AG7" s="112">
        <v>284.39090938250303</v>
      </c>
      <c r="AH7" s="112">
        <v>528.12333514207603</v>
      </c>
      <c r="AI7" s="112">
        <v>761.432943178605</v>
      </c>
      <c r="AJ7" s="112">
        <v>985.16958165578501</v>
      </c>
      <c r="AK7" s="112">
        <v>1200.0533461749301</v>
      </c>
      <c r="AL7" s="112">
        <v>1405.67555184462</v>
      </c>
      <c r="AM7" s="112">
        <v>1603.86062311045</v>
      </c>
      <c r="AN7" s="112">
        <v>1795.78326880844</v>
      </c>
      <c r="AO7" s="112">
        <v>1990</v>
      </c>
      <c r="AP7" s="131">
        <v>-100.1</v>
      </c>
      <c r="AQ7" s="112">
        <v>248.88654245063199</v>
      </c>
      <c r="AR7" s="112">
        <v>494.38086172412102</v>
      </c>
      <c r="AS7" s="112">
        <v>729.85217476535604</v>
      </c>
      <c r="AT7" s="112">
        <v>955.49964190140201</v>
      </c>
      <c r="AU7" s="112">
        <v>1171.92159576825</v>
      </c>
      <c r="AV7" s="112">
        <v>1379.57491090538</v>
      </c>
      <c r="AW7" s="112">
        <v>1578.5813850890399</v>
      </c>
      <c r="AX7" s="112">
        <v>1771.97119802118</v>
      </c>
      <c r="AY7" s="112">
        <v>1980</v>
      </c>
      <c r="AZ7" s="130">
        <v>-100.1</v>
      </c>
      <c r="BA7" s="112">
        <v>214.31131562641099</v>
      </c>
      <c r="BB7" s="112">
        <v>462.91938948197298</v>
      </c>
      <c r="BC7" s="112">
        <v>700.53138207299401</v>
      </c>
      <c r="BD7" s="112">
        <v>927.81506282214104</v>
      </c>
      <c r="BE7" s="112">
        <v>1146.0789501157001</v>
      </c>
      <c r="BF7" s="112">
        <v>1356.1767215802899</v>
      </c>
      <c r="BG7" s="112">
        <v>1557.4590772213501</v>
      </c>
      <c r="BH7" s="112">
        <v>1751.3346448209099</v>
      </c>
      <c r="BI7" s="112">
        <v>1945</v>
      </c>
      <c r="BJ7" s="132">
        <v>-100.1</v>
      </c>
      <c r="BK7" s="24">
        <f>EchelleFPAparam!$S$3/('crmcfgWLEN.txt'!$U7+B$53)*(SIN(EchelleFPAparam!$T$3-EchelleFPAparam!$M$3/2)+SIN('Standard Settings'!$F2+EchelleFPAparam!$M$3))</f>
        <v>1109.1709214514012</v>
      </c>
      <c r="BL7" s="24">
        <f>EchelleFPAparam!$S$3/('crmcfgWLEN.txt'!$U7+C$53)*(SIN(EchelleFPAparam!$T$3-EchelleFPAparam!$M$3/2)+SIN('Standard Settings'!$F2+EchelleFPAparam!$M$3))</f>
        <v>1087.8407114234897</v>
      </c>
      <c r="BM7" s="24">
        <f>EchelleFPAparam!$S$3/('crmcfgWLEN.txt'!$U7+D$53)*(SIN(EchelleFPAparam!$T$3-EchelleFPAparam!$M$3/2)+SIN('Standard Settings'!$F2+EchelleFPAparam!$M$3))</f>
        <v>1067.3154149815371</v>
      </c>
      <c r="BN7" s="24">
        <f>EchelleFPAparam!$S$3/('crmcfgWLEN.txt'!$U7+E$53)*(SIN(EchelleFPAparam!$T$3-EchelleFPAparam!$M$3/2)+SIN('Standard Settings'!$F2+EchelleFPAparam!$M$3))</f>
        <v>1047.5503147041011</v>
      </c>
      <c r="BO7" s="24">
        <f>EchelleFPAparam!$S$3/('crmcfgWLEN.txt'!$U7+F$53)*(SIN(EchelleFPAparam!$T$3-EchelleFPAparam!$M$3/2)+SIN('Standard Settings'!$F2+EchelleFPAparam!$M$3))</f>
        <v>1028.5039453458446</v>
      </c>
      <c r="BP7" s="24">
        <f>EchelleFPAparam!$S$3/('crmcfgWLEN.txt'!$U7+G$53)*(SIN(EchelleFPAparam!$T$3-EchelleFPAparam!$M$3/2)+SIN('Standard Settings'!$F2+EchelleFPAparam!$M$3))</f>
        <v>1010.1378034646689</v>
      </c>
      <c r="BQ7" s="24">
        <f>EchelleFPAparam!$S$3/('crmcfgWLEN.txt'!$U7+H$53)*(SIN(EchelleFPAparam!$T$3-EchelleFPAparam!$M$3/2)+SIN('Standard Settings'!$F2+EchelleFPAparam!$M$3))</f>
        <v>992.41608761441159</v>
      </c>
      <c r="BR7" s="24">
        <f>EchelleFPAparam!$S$3/('crmcfgWLEN.txt'!$U7+I$53)*(SIN(EchelleFPAparam!$T$3-EchelleFPAparam!$M$3/2)+SIN('Standard Settings'!$F2+EchelleFPAparam!$M$3))</f>
        <v>975.30546541416311</v>
      </c>
      <c r="BS7" s="24">
        <f>EchelleFPAparam!$S$3/('crmcfgWLEN.txt'!$U7+J$53)*(SIN(EchelleFPAparam!$T$3-EchelleFPAparam!$M$3/2)+SIN('Standard Settings'!$F2+EchelleFPAparam!$M$3))</f>
        <v>958.77486430544855</v>
      </c>
      <c r="BT7" s="24">
        <f>EchelleFPAparam!$S$3/('crmcfgWLEN.txt'!$U7+K$53)*(SIN(EchelleFPAparam!$T$3-EchelleFPAparam!$M$3/2)+SIN('Standard Settings'!$F2+EchelleFPAparam!$M$3))</f>
        <v>942.79528323369095</v>
      </c>
      <c r="BU7" s="25">
        <f>BK7*(($D7+B$53)/($D7+B$53+0.5))</f>
        <v>1099.1783906275148</v>
      </c>
      <c r="BV7" s="25">
        <f t="shared" ref="BV7:BV35" si="2">BL7*(($D7+C$53)/($D7+C$53+0.5))</f>
        <v>1078.2138024728392</v>
      </c>
      <c r="BW7" s="25">
        <f t="shared" ref="BW7:BW35" si="3">BM7*(($D7+D$53)/($D7+D$53+0.5))</f>
        <v>1058.0344113730021</v>
      </c>
      <c r="BX7" s="25">
        <f t="shared" ref="BX7:BX35" si="4">BN7*(($D7+E$53)/($D7+E$53+0.5))</f>
        <v>1038.5968932109038</v>
      </c>
      <c r="BY7" s="25">
        <f t="shared" ref="BY7:BY35" si="5">BO7*(($D7+F$53)/($D7+F$53+0.5))</f>
        <v>1019.8610550488207</v>
      </c>
      <c r="BZ7" s="25">
        <f t="shared" ref="BZ7:BZ35" si="6">BP7*(($D7+G$53)/($D7+G$53+0.5))</f>
        <v>1001.7895571550436</v>
      </c>
      <c r="CA7" s="25">
        <f t="shared" ref="CA7:CA35" si="7">BQ7*(($D7+H$53)/($D7+H$53+0.5))</f>
        <v>984.34766413787167</v>
      </c>
      <c r="CB7" s="25">
        <f t="shared" ref="CB7:CB35" si="8">BR7*(($D7+I$53)/($D7+I$53+0.5))</f>
        <v>967.50302169084978</v>
      </c>
      <c r="CC7" s="25">
        <f t="shared" ref="CC7:CC35" si="9">BS7*(($D7+J$53)/($D7+J$53+0.5))</f>
        <v>951.22545592509073</v>
      </c>
      <c r="CD7" s="25">
        <f t="shared" ref="CD7:CD35" si="10">BT7*(($D7+K$53)/($D7+K$53+0.5))</f>
        <v>935.48679266598788</v>
      </c>
      <c r="CE7" s="25">
        <f>BK7*(($D7+B$53)/($D7+B$53-0.5))</f>
        <v>1119.3468014647167</v>
      </c>
      <c r="CF7" s="25">
        <f t="shared" ref="CF7:CF35" si="11">BL7*(($D7+C$53)/($D7+C$53-0.5))</f>
        <v>1097.6410781930706</v>
      </c>
      <c r="CG7" s="25">
        <f t="shared" ref="CG7:CG35" si="12">BM7*(($D7+D$53)/($D7+D$53-0.5))</f>
        <v>1076.7606841406657</v>
      </c>
      <c r="CH7" s="25">
        <f t="shared" ref="CH7:CH35" si="13">BN7*(($D7+E$53)/($D7+E$53-0.5))</f>
        <v>1056.6594478754409</v>
      </c>
      <c r="CI7" s="25">
        <f t="shared" ref="CI7:CI35" si="14">BO7*(($D7+F$53)/($D7+F$53-0.5))</f>
        <v>1037.2945773573476</v>
      </c>
      <c r="CJ7" s="25">
        <f t="shared" ref="CJ7:CJ35" si="15">BP7*(($D7+G$53)/($D7+G$53-0.5))</f>
        <v>1018.6263564349601</v>
      </c>
      <c r="CK7" s="25">
        <f t="shared" ref="CK7:CK35" si="16">BQ7*(($D7+H$53)/($D7+H$53-0.5))</f>
        <v>1000.6178734624646</v>
      </c>
      <c r="CL7" s="25">
        <f t="shared" ref="CL7:CL35" si="17">BR7*(($D7+I$53)/($D7+I$53-0.5))</f>
        <v>983.23477814110743</v>
      </c>
      <c r="CM7" s="25">
        <f t="shared" ref="CM7:CM35" si="18">BS7*(($D7+J$53)/($D7+J$53-0.5))</f>
        <v>966.44506321989218</v>
      </c>
      <c r="CN7" s="25">
        <f t="shared" ref="CN7:CN35" si="19">BT7*(($D7+K$53)/($D7+K$53-0.5))</f>
        <v>950.21886814104289</v>
      </c>
      <c r="CO7" s="26">
        <f>(EchelleFPAparam!$S$3/($U7+B$53))*COS((AG7-EchelleFPAparam!$AE3)*EchelleFPAparam!$C$3/EchelleFPAparam!$E$3)*(SIN('Standard Settings'!$F2)+SIN('Standard Settings'!$F2+EchelleFPAparam!$M$3+(EchelleFPAparam!$F$3*EchelleFPAparam!$B$6)*COS(EchelleFPAparam!$AC$3)-(AG7-1024)*SIN(EchelleFPAparam!$AC$3)*EchelleFPAparam!$C$3/EchelleFPAparam!$E$3))</f>
        <v>1098.3605459084472</v>
      </c>
      <c r="CP7" s="26">
        <f>(EchelleFPAparam!$S$3/($U7+C$53)*COS((AH7-EchelleFPAparam!$AE3)*EchelleFPAparam!$C$3/EchelleFPAparam!$E$3))*(SIN('Standard Settings'!$F2)+SIN('Standard Settings'!$F2+EchelleFPAparam!$M$3+(EchelleFPAparam!$F$3*EchelleFPAparam!$B$6)*COS(EchelleFPAparam!$AC$3)-(AH7-1024)*SIN(EchelleFPAparam!$AC$3)*EchelleFPAparam!$C$3/EchelleFPAparam!$E$3))</f>
        <v>1077.3012121705265</v>
      </c>
      <c r="CQ7" s="26">
        <f>(EchelleFPAparam!$S$3/($U7+D$53)*COS((AI7-EchelleFPAparam!$AE3)*EchelleFPAparam!$C$3/EchelleFPAparam!$E$3))*(SIN('Standard Settings'!$F2)+SIN('Standard Settings'!$F2+EchelleFPAparam!$M$3+(EchelleFPAparam!$F$3*EchelleFPAparam!$B$6)*COS(EchelleFPAparam!$AC$3)-(AI7-1024)*SIN(EchelleFPAparam!$AC$3)*EchelleFPAparam!$C$3/EchelleFPAparam!$E$3))</f>
        <v>1057.0255905502763</v>
      </c>
      <c r="CR7" s="26">
        <f>(EchelleFPAparam!$S$3/($U7+E$53)*COS((AJ7-EchelleFPAparam!$AE3)*EchelleFPAparam!$C$3/EchelleFPAparam!$E$3))*(SIN('Standard Settings'!$F2)+SIN('Standard Settings'!$F2+EchelleFPAparam!$M$3+(EchelleFPAparam!$F$3*EchelleFPAparam!$B$6)*COS(EchelleFPAparam!$AC$3)-(AJ7-1024)*SIN(EchelleFPAparam!$AC$3)*EchelleFPAparam!$C$3/EchelleFPAparam!$E$3))</f>
        <v>1037.4913527320043</v>
      </c>
      <c r="CS7" s="26">
        <f>(EchelleFPAparam!$S$3/($U7+F$53)*COS((AK7-EchelleFPAparam!$AE3)*EchelleFPAparam!$C$3/EchelleFPAparam!$E$3))*(SIN('Standard Settings'!$F2)+SIN('Standard Settings'!$F2+EchelleFPAparam!$M$3+(EchelleFPAparam!$F$3*EchelleFPAparam!$B$6)*COS(EchelleFPAparam!$AC$3)-(AK7-1024)*SIN(EchelleFPAparam!$AC$3)*EchelleFPAparam!$C$3/EchelleFPAparam!$E$3))</f>
        <v>1018.6590802447157</v>
      </c>
      <c r="CT7" s="26">
        <f>(EchelleFPAparam!$S$3/($U7+G$53)*COS((AL7-EchelleFPAparam!$AE3)*EchelleFPAparam!$C$3/EchelleFPAparam!$E$3))*(SIN('Standard Settings'!$F2)+SIN('Standard Settings'!$F2+EchelleFPAparam!$M$3+(EchelleFPAparam!$F$3*EchelleFPAparam!$B$6)*COS(EchelleFPAparam!$AC$3)-(AL7-1024)*SIN(EchelleFPAparam!$AC$3)*EchelleFPAparam!$C$3/EchelleFPAparam!$E$3))</f>
        <v>1000.491936593757</v>
      </c>
      <c r="CU7" s="26">
        <f>(EchelleFPAparam!$S$3/($U7+H$53)*COS((AM7-EchelleFPAparam!$AE3)*EchelleFPAparam!$C$3/EchelleFPAparam!$E$3))*(SIN('Standard Settings'!$F2)+SIN('Standard Settings'!$F2+EchelleFPAparam!$M$3+(EchelleFPAparam!$F$3*EchelleFPAparam!$B$6)*COS(EchelleFPAparam!$AC$3)-(AM7-1024)*SIN(EchelleFPAparam!$AC$3)*EchelleFPAparam!$C$3/EchelleFPAparam!$E$3))</f>
        <v>982.95583664435753</v>
      </c>
      <c r="CV7" s="26">
        <f>(EchelleFPAparam!$S$3/($U7+I$53)*COS((AN7-EchelleFPAparam!$AE3)*EchelleFPAparam!$C$3/EchelleFPAparam!$E$3))*(SIN('Standard Settings'!$F2)+SIN('Standard Settings'!$F2+EchelleFPAparam!$M$3+(EchelleFPAparam!$F$3*EchelleFPAparam!$B$6)*COS(EchelleFPAparam!$AC$3)-(AN7-1024)*SIN(EchelleFPAparam!$AC$3)*EchelleFPAparam!$C$3/EchelleFPAparam!$E$3))</f>
        <v>966.01879422682896</v>
      </c>
      <c r="CW7" s="26">
        <f>(EchelleFPAparam!$S$3/($U7+J$53)*COS((AO7-EchelleFPAparam!$AE3)*EchelleFPAparam!$C$3/EchelleFPAparam!$E$3))*(SIN('Standard Settings'!$F2)+SIN('Standard Settings'!$F2+EchelleFPAparam!$M$3+(EchelleFPAparam!$F$3*EchelleFPAparam!$B$6)*COS(EchelleFPAparam!$AC$3)-(AO7-1024)*SIN(EchelleFPAparam!$AC$3)*EchelleFPAparam!$C$3/EchelleFPAparam!$E$3))</f>
        <v>949.65096362136705</v>
      </c>
      <c r="CX7" s="26">
        <f>(EchelleFPAparam!$S$3/($U7+K$53)*COS((AP7-EchelleFPAparam!$AE3)*EchelleFPAparam!$C$3/EchelleFPAparam!$E$3))*(SIN('Standard Settings'!$F2)+SIN('Standard Settings'!$F2+EchelleFPAparam!$M$3+(EchelleFPAparam!$F$3*EchelleFPAparam!$B$6)*COS(EchelleFPAparam!$AC$3)-(AP7-1024)*SIN(EchelleFPAparam!$AC$3)*EchelleFPAparam!$C$3/EchelleFPAparam!$E$3))</f>
        <v>933.50437222308369</v>
      </c>
      <c r="CY7" s="26">
        <f>(EchelleFPAparam!$S$3/($U7+B$53)*COS((AG7-EchelleFPAparam!$AE3)*EchelleFPAparam!$C$3/EchelleFPAparam!$E$3))*(SIN('Standard Settings'!$F2)+SIN('Standard Settings'!$F2+EchelleFPAparam!$M$3+EchelleFPAparam!$G$3*EchelleFPAparam!$B$6*COS(EchelleFPAparam!$AC$3)-(AG7-1024)*SIN(EchelleFPAparam!$AC$3)*EchelleFPAparam!$C$3/EchelleFPAparam!$E$3))</f>
        <v>1105.7750335141111</v>
      </c>
      <c r="CZ7" s="26">
        <f>(EchelleFPAparam!$S$3/($U7+C$53)*COS((AH7-EchelleFPAparam!$AE3)*EchelleFPAparam!$C$3/EchelleFPAparam!$E$3))*(SIN('Standard Settings'!$F2)+SIN('Standard Settings'!$F2+EchelleFPAparam!$M$3+EchelleFPAparam!$G$3*EchelleFPAparam!$B$6*COS(EchelleFPAparam!$AC$3)-(AH7-1024)*SIN(EchelleFPAparam!$AC$3)*EchelleFPAparam!$C$3/EchelleFPAparam!$E$3))</f>
        <v>1084.5724935103933</v>
      </c>
      <c r="DA7" s="26">
        <f>(EchelleFPAparam!$S$3/($U7+D$53)*COS((AI7-EchelleFPAparam!$AE3)*EchelleFPAparam!$C$3/EchelleFPAparam!$E$3))*(SIN('Standard Settings'!$F2)+SIN('Standard Settings'!$F2+EchelleFPAparam!$M$3+EchelleFPAparam!$G$3*EchelleFPAparam!$B$6*COS(EchelleFPAparam!$AC$3)-(AI7-1024)*SIN(EchelleFPAparam!$AC$3)*EchelleFPAparam!$C$3/EchelleFPAparam!$E$3))</f>
        <v>1064.1590392906285</v>
      </c>
      <c r="DB7" s="26">
        <f>(EchelleFPAparam!$S$3/($U7+E$53)*COS((AJ7-EchelleFPAparam!$AE3)*EchelleFPAparam!$C$3/EchelleFPAparam!$E$3))*(SIN('Standard Settings'!$F2)+SIN('Standard Settings'!$F2+EchelleFPAparam!$M$3+EchelleFPAparam!$G$3*EchelleFPAparam!$B$6*COS(EchelleFPAparam!$AC$3)-(AJ7-1024)*SIN(EchelleFPAparam!$AC$3)*EchelleFPAparam!$C$3/EchelleFPAparam!$E$3))</f>
        <v>1044.4920486994374</v>
      </c>
      <c r="DC7" s="26">
        <f>(EchelleFPAparam!$S$3/($U7+F$53)*COS((AK7-EchelleFPAparam!$AE3)*EchelleFPAparam!$C$3/EchelleFPAparam!$E$3))*(SIN('Standard Settings'!$F2)+SIN('Standard Settings'!$F2+EchelleFPAparam!$M$3+EchelleFPAparam!$G$3*EchelleFPAparam!$B$6*COS(EchelleFPAparam!$AC$3)-(AK7-1024)*SIN(EchelleFPAparam!$AC$3)*EchelleFPAparam!$C$3/EchelleFPAparam!$E$3))</f>
        <v>1025.5318301782877</v>
      </c>
      <c r="DD7" s="26">
        <f>(EchelleFPAparam!$S$3/($U7+G$53)*COS((AL7-EchelleFPAparam!$AE3)*EchelleFPAparam!$C$3/EchelleFPAparam!$E$3))*(SIN('Standard Settings'!$F2)+SIN('Standard Settings'!$F2+EchelleFPAparam!$M$3+EchelleFPAparam!$G$3*EchelleFPAparam!$B$6*COS(EchelleFPAparam!$AC$3)-(AL7-1024)*SIN(EchelleFPAparam!$AC$3)*EchelleFPAparam!$C$3/EchelleFPAparam!$E$3))</f>
        <v>1007.2412965646279</v>
      </c>
      <c r="DE7" s="26">
        <f>(EchelleFPAparam!$S$3/($U7+H$53)*COS((AM7-EchelleFPAparam!$AE3)*EchelleFPAparam!$C$3/EchelleFPAparam!$E$3))*(SIN('Standard Settings'!$F2)+SIN('Standard Settings'!$F2+EchelleFPAparam!$M$3+EchelleFPAparam!$G$3*EchelleFPAparam!$B$6*COS(EchelleFPAparam!$AC$3)-(AM7-1024)*SIN(EchelleFPAparam!$AC$3)*EchelleFPAparam!$C$3/EchelleFPAparam!$E$3))</f>
        <v>989.58612202833694</v>
      </c>
      <c r="DF7" s="26">
        <f>(EchelleFPAparam!$S$3/($U7+I$53)*COS((AN7-EchelleFPAparam!$AE3)*EchelleFPAparam!$C$3/EchelleFPAparam!$E$3))*(SIN('Standard Settings'!$F2)+SIN('Standard Settings'!$F2+EchelleFPAparam!$M$3+EchelleFPAparam!$G$3*EchelleFPAparam!$B$6*COS(EchelleFPAparam!$AC$3)-(AN7-1024)*SIN(EchelleFPAparam!$AC$3)*EchelleFPAparam!$C$3/EchelleFPAparam!$E$3))</f>
        <v>972.53409710013148</v>
      </c>
      <c r="DG7" s="26">
        <f>(EchelleFPAparam!$S$3/($U7+J$53)*COS((AO7-EchelleFPAparam!$AE3)*EchelleFPAparam!$C$3/EchelleFPAparam!$E$3))*(SIN('Standard Settings'!$F2)+SIN('Standard Settings'!$F2+EchelleFPAparam!$M$3+EchelleFPAparam!$G$3*EchelleFPAparam!$B$6*COS(EchelleFPAparam!$AC$3)-(AO7-1024)*SIN(EchelleFPAparam!$AC$3)*EchelleFPAparam!$C$3/EchelleFPAparam!$E$3))</f>
        <v>956.0551398082066</v>
      </c>
      <c r="DH7" s="26">
        <f>(EchelleFPAparam!$S$3/($U7+K$53)*COS((AP7-EchelleFPAparam!$AE3)*EchelleFPAparam!$C$3/EchelleFPAparam!$E$3))*(SIN('Standard Settings'!$F2)+SIN('Standard Settings'!$F2+EchelleFPAparam!$M$3+EchelleFPAparam!$G$3*EchelleFPAparam!$B$6*COS(EchelleFPAparam!$AC$3)-(AP7-1024)*SIN(EchelleFPAparam!$AC$3)*EchelleFPAparam!$C$3/EchelleFPAparam!$E$3))</f>
        <v>939.80742621217394</v>
      </c>
      <c r="DI7" s="26">
        <f>(EchelleFPAparam!$S$3/($U7+B$53)*COS((AQ7-EchelleFPAparam!$AE3)*EchelleFPAparam!$C$3/EchelleFPAparam!$E$3))*(SIN('Standard Settings'!$F2)+SIN('Standard Settings'!$F2+EchelleFPAparam!$M$3+EchelleFPAparam!$H$3*EchelleFPAparam!$B$6*COS(EchelleFPAparam!$AC$3)-(AQ7-1024)*SIN(EchelleFPAparam!$AC$3)*EchelleFPAparam!$C$3/EchelleFPAparam!$E$3))</f>
        <v>1106.2745836508732</v>
      </c>
      <c r="DJ7" s="26">
        <f>(EchelleFPAparam!$S$3/($U7+C$53)*COS((AR7-EchelleFPAparam!$AE3)*EchelleFPAparam!$C$3/EchelleFPAparam!$E$3))*(SIN('Standard Settings'!$F2)+SIN('Standard Settings'!$F2+EchelleFPAparam!$M$3+EchelleFPAparam!$H$3*EchelleFPAparam!$B$6*COS(EchelleFPAparam!$AC$3)-(AR7-1024)*SIN(EchelleFPAparam!$AC$3)*EchelleFPAparam!$C$3/EchelleFPAparam!$E$3))</f>
        <v>1085.0641500398253</v>
      </c>
      <c r="DK7" s="26">
        <f>(EchelleFPAparam!$S$3/($U7+D$53)*COS((AS7-EchelleFPAparam!$AE3)*EchelleFPAparam!$C$3/EchelleFPAparam!$E$3))*(SIN('Standard Settings'!$F2)+SIN('Standard Settings'!$F2+EchelleFPAparam!$M$3+EchelleFPAparam!$H$3*EchelleFPAparam!$B$6*COS(EchelleFPAparam!$AC$3)-(AS7-1024)*SIN(EchelleFPAparam!$AC$3)*EchelleFPAparam!$C$3/EchelleFPAparam!$E$3))</f>
        <v>1064.6429986128064</v>
      </c>
      <c r="DL7" s="26">
        <f>(EchelleFPAparam!$S$3/($U7+E$53)*COS((AT7-EchelleFPAparam!$AE3)*EchelleFPAparam!$C$3/EchelleFPAparam!$E$3))*(SIN('Standard Settings'!$F2)+SIN('Standard Settings'!$F2+EchelleFPAparam!$M$3+EchelleFPAparam!$H$3*EchelleFPAparam!$B$6*COS(EchelleFPAparam!$AC$3)-(AT7-1024)*SIN(EchelleFPAparam!$AC$3)*EchelleFPAparam!$C$3/EchelleFPAparam!$E$3))</f>
        <v>1044.9683611651208</v>
      </c>
      <c r="DM7" s="26">
        <f>(EchelleFPAparam!$S$3/($U7+F$53)*COS((AU7-EchelleFPAparam!$AE3)*EchelleFPAparam!$C$3/EchelleFPAparam!$E$3))*(SIN('Standard Settings'!$F2)+SIN('Standard Settings'!$F2+EchelleFPAparam!$M$3+EchelleFPAparam!$H$3*EchelleFPAparam!$B$6*COS(EchelleFPAparam!$AC$3)-(AU7-1024)*SIN(EchelleFPAparam!$AC$3)*EchelleFPAparam!$C$3/EchelleFPAparam!$E$3))</f>
        <v>1026.000563365867</v>
      </c>
      <c r="DN7" s="26">
        <f>(EchelleFPAparam!$S$3/($U7+G$53)*COS((AV7-EchelleFPAparam!$AE3)*EchelleFPAparam!$C$3/EchelleFPAparam!$E$3))*(SIN('Standard Settings'!$F2)+SIN('Standard Settings'!$F2+EchelleFPAparam!$M$3+EchelleFPAparam!$H$3*EchelleFPAparam!$B$6*COS(EchelleFPAparam!$AC$3)-(AV7-1024)*SIN(EchelleFPAparam!$AC$3)*EchelleFPAparam!$C$3/EchelleFPAparam!$E$3))</f>
        <v>1007.7026389330224</v>
      </c>
      <c r="DO7" s="26">
        <f>(EchelleFPAparam!$S$3/($U7+H$53)*COS((AW7-EchelleFPAparam!$AE3)*EchelleFPAparam!$C$3/EchelleFPAparam!$E$3))*(SIN('Standard Settings'!$F2)+SIN('Standard Settings'!$F2+EchelleFPAparam!$M$3+EchelleFPAparam!$H$3*EchelleFPAparam!$B$6*COS(EchelleFPAparam!$AC$3)-(AW7-1024)*SIN(EchelleFPAparam!$AC$3)*EchelleFPAparam!$C$3/EchelleFPAparam!$E$3))</f>
        <v>990.04010603347263</v>
      </c>
      <c r="DP7" s="26">
        <f>(EchelleFPAparam!$S$3/($U7+I$53)*COS((AX7-EchelleFPAparam!$AE3)*EchelleFPAparam!$C$3/EchelleFPAparam!$E$3))*(SIN('Standard Settings'!$F2)+SIN('Standard Settings'!$F2+EchelleFPAparam!$M$3+EchelleFPAparam!$H$3*EchelleFPAparam!$B$6*COS(EchelleFPAparam!$AC$3)-(AX7-1024)*SIN(EchelleFPAparam!$AC$3)*EchelleFPAparam!$C$3/EchelleFPAparam!$E$3))</f>
        <v>972.98093590071721</v>
      </c>
      <c r="DQ7" s="26">
        <f>(EchelleFPAparam!$S$3/($U7+J$53)*COS((AY7-EchelleFPAparam!$AE3)*EchelleFPAparam!$C$3/EchelleFPAparam!$E$3))*(SIN('Standard Settings'!$F2)+SIN('Standard Settings'!$F2+EchelleFPAparam!$M$3+EchelleFPAparam!$H$3*EchelleFPAparam!$B$6*COS(EchelleFPAparam!$AC$3)-(AY7-1024)*SIN(EchelleFPAparam!$AC$3)*EchelleFPAparam!$C$3/EchelleFPAparam!$E$3))</f>
        <v>956.49516134306782</v>
      </c>
      <c r="DR7" s="26">
        <f>(EchelleFPAparam!$S$3/($U7+K$53)*COS((AZ7-EchelleFPAparam!$AE3)*EchelleFPAparam!$C$3/EchelleFPAparam!$E$3))*(SIN('Standard Settings'!$F2)+SIN('Standard Settings'!$F2+EchelleFPAparam!$M$3+EchelleFPAparam!$H$3*EchelleFPAparam!$B$6*COS(EchelleFPAparam!$AC$3)-(AZ7-1024)*SIN(EchelleFPAparam!$AC$3)*EchelleFPAparam!$C$3/EchelleFPAparam!$E$3))</f>
        <v>940.24062573768674</v>
      </c>
      <c r="DS7" s="26">
        <f>(EchelleFPAparam!$S$3/($U7+B$53)*COS((AQ7-EchelleFPAparam!$AE3)*EchelleFPAparam!$C$3/EchelleFPAparam!$E$3))*(SIN('Standard Settings'!$F2)+SIN('Standard Settings'!$F2+EchelleFPAparam!$M$3+EchelleFPAparam!$I$3*EchelleFPAparam!$B$6*COS(EchelleFPAparam!$AC$3)-(AQ7-1024)*SIN(EchelleFPAparam!$AC$3)*EchelleFPAparam!$C$3/EchelleFPAparam!$E$3))</f>
        <v>1113.3366303563782</v>
      </c>
      <c r="DT7" s="26">
        <f>(EchelleFPAparam!$S$3/($U7+C$53)*COS((AR7-EchelleFPAparam!$AE3)*EchelleFPAparam!$C$3/EchelleFPAparam!$E$3))*(SIN('Standard Settings'!$F2)+SIN('Standard Settings'!$F2+EchelleFPAparam!$M$3+EchelleFPAparam!$I$3*EchelleFPAparam!$B$6*COS(EchelleFPAparam!$AC$3)-(AR7-1024)*SIN(EchelleFPAparam!$AC$3)*EchelleFPAparam!$C$3/EchelleFPAparam!$E$3))</f>
        <v>1091.9897454030342</v>
      </c>
      <c r="DU7" s="26">
        <f>(EchelleFPAparam!$S$3/($U7+D$53)*COS((AS7-EchelleFPAparam!$AE3)*EchelleFPAparam!$C$3/EchelleFPAparam!$E$3))*(SIN('Standard Settings'!$F2)+SIN('Standard Settings'!$F2+EchelleFPAparam!$M$3+EchelleFPAparam!$I$3*EchelleFPAparam!$B$6*COS(EchelleFPAparam!$AC$3)-(AS7-1024)*SIN(EchelleFPAparam!$AC$3)*EchelleFPAparam!$C$3/EchelleFPAparam!$E$3))</f>
        <v>1071.4372628633337</v>
      </c>
      <c r="DV7" s="26">
        <f>(EchelleFPAparam!$S$3/($U7+E$53)*COS((AT7-EchelleFPAparam!$AE3)*EchelleFPAparam!$C$3/EchelleFPAparam!$E$3))*(SIN('Standard Settings'!$F2)+SIN('Standard Settings'!$F2+EchelleFPAparam!$M$3+EchelleFPAparam!$I$3*EchelleFPAparam!$B$6*COS(EchelleFPAparam!$AC$3)-(AT7-1024)*SIN(EchelleFPAparam!$AC$3)*EchelleFPAparam!$C$3/EchelleFPAparam!$E$3))</f>
        <v>1051.636136184095</v>
      </c>
      <c r="DW7" s="26">
        <f>(EchelleFPAparam!$S$3/($U7+F$53)*COS((AU7-EchelleFPAparam!$AE3)*EchelleFPAparam!$C$3/EchelleFPAparam!$E$3))*(SIN('Standard Settings'!$F2)+SIN('Standard Settings'!$F2+EchelleFPAparam!$M$3+EchelleFPAparam!$I$3*EchelleFPAparam!$B$6*COS(EchelleFPAparam!$AC$3)-(AU7-1024)*SIN(EchelleFPAparam!$AC$3)*EchelleFPAparam!$C$3/EchelleFPAparam!$E$3))</f>
        <v>1032.546431200818</v>
      </c>
      <c r="DX7" s="26">
        <f>(EchelleFPAparam!$S$3/($U7+G$53)*COS((AV7-EchelleFPAparam!$AE3)*EchelleFPAparam!$C$3/EchelleFPAparam!$E$3))*(SIN('Standard Settings'!$F2)+SIN('Standard Settings'!$F2+EchelleFPAparam!$M$3+EchelleFPAparam!$I$3*EchelleFPAparam!$B$6*COS(EchelleFPAparam!$AC$3)-(AV7-1024)*SIN(EchelleFPAparam!$AC$3)*EchelleFPAparam!$C$3/EchelleFPAparam!$E$3))</f>
        <v>1014.1309401120238</v>
      </c>
      <c r="DY7" s="26">
        <f>(EchelleFPAparam!$S$3/($U7+H$53)*COS((AW7-EchelleFPAparam!$AE3)*EchelleFPAparam!$C$3/EchelleFPAparam!$E$3))*(SIN('Standard Settings'!$F2)+SIN('Standard Settings'!$F2+EchelleFPAparam!$M$3+EchelleFPAparam!$I$3*EchelleFPAparam!$B$6*COS(EchelleFPAparam!$AC$3)-(AW7-1024)*SIN(EchelleFPAparam!$AC$3)*EchelleFPAparam!$C$3/EchelleFPAparam!$E$3))</f>
        <v>996.35495711957765</v>
      </c>
      <c r="DZ7" s="26">
        <f>(EchelleFPAparam!$S$3/($U7+I$53)*COS((AX7-EchelleFPAparam!$AE3)*EchelleFPAparam!$C$3/EchelleFPAparam!$E$3))*(SIN('Standard Settings'!$F2)+SIN('Standard Settings'!$F2+EchelleFPAparam!$M$3+EchelleFPAparam!$I$3*EchelleFPAparam!$B$6*COS(EchelleFPAparam!$AC$3)-(AX7-1024)*SIN(EchelleFPAparam!$AC$3)*EchelleFPAparam!$C$3/EchelleFPAparam!$E$3))</f>
        <v>979.18623424023895</v>
      </c>
      <c r="EA7" s="26">
        <f>(EchelleFPAparam!$S$3/($U7+J$53)*COS((AY7-EchelleFPAparam!$AE3)*EchelleFPAparam!$C$3/EchelleFPAparam!$E$3))*(SIN('Standard Settings'!$F2)+SIN('Standard Settings'!$F2+EchelleFPAparam!$M$3+EchelleFPAparam!$I$3*EchelleFPAparam!$B$6*COS(EchelleFPAparam!$AC$3)-(AY7-1024)*SIN(EchelleFPAparam!$AC$3)*EchelleFPAparam!$C$3/EchelleFPAparam!$E$3))</f>
        <v>962.59453417636894</v>
      </c>
      <c r="EB7" s="26">
        <f>(EchelleFPAparam!$S$3/($U7+K$53)*COS((AZ7-EchelleFPAparam!$AE3)*EchelleFPAparam!$C$3/EchelleFPAparam!$E$3))*(SIN('Standard Settings'!$F2)+SIN('Standard Settings'!$F2+EchelleFPAparam!$M$3+EchelleFPAparam!$I$3*COS(EchelleFPAparam!$AC$3)-(AZ7-1024)*SIN(EchelleFPAparam!$AC$3)*EchelleFPAparam!$C$3/EchelleFPAparam!$E$3))</f>
        <v>946.21504464534837</v>
      </c>
      <c r="EC7" s="26">
        <f>(EchelleFPAparam!$S$3/($U7+B$53)*COS((BA7-EchelleFPAparam!$AE3)*EchelleFPAparam!$C$3/EchelleFPAparam!$E$3))*(SIN('Standard Settings'!$F2)+SIN('Standard Settings'!$F2+EchelleFPAparam!$M$3+EchelleFPAparam!$J$3*EchelleFPAparam!$B$6*COS(EchelleFPAparam!$AC$3)-(BA7-1024)*SIN(EchelleFPAparam!$AC$3)*EchelleFPAparam!$C$3/EchelleFPAparam!$E$3))</f>
        <v>1113.8253432482045</v>
      </c>
      <c r="ED7" s="26">
        <f>(EchelleFPAparam!$S$3/($U7+C$53)*COS((BB7-EchelleFPAparam!$AE3)*EchelleFPAparam!$C$3/EchelleFPAparam!$E$3))*(SIN('Standard Settings'!$F2)+SIN('Standard Settings'!$F2+EchelleFPAparam!$M$3+EchelleFPAparam!$J$3*EchelleFPAparam!$B$6*COS(EchelleFPAparam!$AC$3)-(BB7-1024)*SIN(EchelleFPAparam!$AC$3)*EchelleFPAparam!$C$3/EchelleFPAparam!$E$3))</f>
        <v>1092.4710874686411</v>
      </c>
      <c r="EE7" s="26">
        <f>(EchelleFPAparam!$S$3/($U7+D$53)*COS((BC7-EchelleFPAparam!$AE3)*EchelleFPAparam!$C$3/EchelleFPAparam!$E$3))*(SIN('Standard Settings'!$F2)+SIN('Standard Settings'!$F2+EchelleFPAparam!$M$3+EchelleFPAparam!$J$3*EchelleFPAparam!$B$6*COS(EchelleFPAparam!$AC$3)-(BC7-1024)*SIN(EchelleFPAparam!$AC$3)*EchelleFPAparam!$C$3/EchelleFPAparam!$E$3))</f>
        <v>1071.9110356726103</v>
      </c>
      <c r="EF7" s="26">
        <f>(EchelleFPAparam!$S$3/($U7+E$53)*COS((BD7-EchelleFPAparam!$AE3)*EchelleFPAparam!$C$3/EchelleFPAparam!$E$3))*(SIN('Standard Settings'!$F2)+SIN('Standard Settings'!$F2+EchelleFPAparam!$M$3+EchelleFPAparam!$J$3*EchelleFPAparam!$B$6*COS(EchelleFPAparam!$AC$3)-(BD7-1024)*SIN(EchelleFPAparam!$AC$3)*EchelleFPAparam!$C$3/EchelleFPAparam!$E$3))</f>
        <v>1052.102344257298</v>
      </c>
      <c r="EG7" s="26">
        <f>(EchelleFPAparam!$S$3/($U7+F$53)*COS((BE7-EchelleFPAparam!$AE3)*EchelleFPAparam!$C$3/EchelleFPAparam!$E$3))*(SIN('Standard Settings'!$F2)+SIN('Standard Settings'!$F2+EchelleFPAparam!$M$3+EchelleFPAparam!$J$3*EchelleFPAparam!$B$6*COS(EchelleFPAparam!$AC$3)-(BE7-1024)*SIN(EchelleFPAparam!$AC$3)*EchelleFPAparam!$C$3/EchelleFPAparam!$E$3))</f>
        <v>1033.0052317094605</v>
      </c>
      <c r="EH7" s="26">
        <f>(EchelleFPAparam!$S$3/($U7+G$53)*COS((BF7-EchelleFPAparam!$AE3)*EchelleFPAparam!$C$3/EchelleFPAparam!$E$3))*(SIN('Standard Settings'!$F2)+SIN('Standard Settings'!$F2+EchelleFPAparam!$M$3+EchelleFPAparam!$J$3*EchelleFPAparam!$B$6*COS(EchelleFPAparam!$AC$3)-(BF7-1024)*SIN(EchelleFPAparam!$AC$3)*EchelleFPAparam!$C$3/EchelleFPAparam!$E$3))</f>
        <v>1014.5825105504964</v>
      </c>
      <c r="EI7" s="26">
        <f>(EchelleFPAparam!$S$3/($U7+H$53)*COS((BG7-EchelleFPAparam!$AE3)*EchelleFPAparam!$C$3/EchelleFPAparam!$E$3))*(SIN('Standard Settings'!$F2)+SIN('Standard Settings'!$F2+EchelleFPAparam!$M$3+EchelleFPAparam!$J$3*EchelleFPAparam!$B$6*COS(EchelleFPAparam!$AC$3)-(BG7-1024)*SIN(EchelleFPAparam!$AC$3)*EchelleFPAparam!$C$3/EchelleFPAparam!$E$3))</f>
        <v>996.79936930981546</v>
      </c>
      <c r="EJ7" s="26">
        <f>(EchelleFPAparam!$S$3/($U7+I$53)*COS((BH7-EchelleFPAparam!$AE3)*EchelleFPAparam!$C$3/EchelleFPAparam!$E$3))*(SIN('Standard Settings'!$F2)+SIN('Standard Settings'!$F2+EchelleFPAparam!$M$3+EchelleFPAparam!$J$3*EchelleFPAparam!$B$6*COS(EchelleFPAparam!$AC$3)-(BH7-1024)*SIN(EchelleFPAparam!$AC$3)*EchelleFPAparam!$C$3/EchelleFPAparam!$E$3))</f>
        <v>979.6235216030534</v>
      </c>
      <c r="EK7" s="26">
        <f>(EchelleFPAparam!$S$3/($U7+J$53)*COS((BI7-EchelleFPAparam!$AE3)*EchelleFPAparam!$C$3/EchelleFPAparam!$E$3))*(SIN('Standard Settings'!$F2)+SIN('Standard Settings'!$F2+EchelleFPAparam!$M$3+EchelleFPAparam!$J$3*EchelleFPAparam!$B$6*COS(EchelleFPAparam!$AC$3)-(BI7-1024)*SIN(EchelleFPAparam!$AC$3)*EchelleFPAparam!$C$3/EchelleFPAparam!$E$3))</f>
        <v>963.02477166429799</v>
      </c>
      <c r="EL7" s="26">
        <f>(EchelleFPAparam!$S$3/($U7+K$53)*COS((BJ7-EchelleFPAparam!$AE3)*EchelleFPAparam!$C$3/EchelleFPAparam!$E$3))*(SIN('Standard Settings'!$F2)+SIN('Standard Settings'!$F2+EchelleFPAparam!$M$3+EchelleFPAparam!$J$3*EchelleFPAparam!$B$6*COS(EchelleFPAparam!$AC$3)-(BJ7-1024)*SIN(EchelleFPAparam!$AC$3)*EchelleFPAparam!$C$3/EchelleFPAparam!$E$3))</f>
        <v>946.66791399953559</v>
      </c>
      <c r="EM7" s="26">
        <f>(EchelleFPAparam!$S$3/($U7+B$53)*COS((BA7-EchelleFPAparam!$AE3)*EchelleFPAparam!$C$3/EchelleFPAparam!$E$3))*(SIN('Standard Settings'!$F2)+SIN('Standard Settings'!$F2+EchelleFPAparam!$M$3+EchelleFPAparam!$K$3*EchelleFPAparam!$B$6*COS(EchelleFPAparam!$AC$3)-(BA7-1024)*SIN(EchelleFPAparam!$AC$3)*EchelleFPAparam!$C$3/EchelleFPAparam!$E$3))</f>
        <v>1120.5293665299316</v>
      </c>
      <c r="EN7" s="26">
        <f>(EchelleFPAparam!$S$3/($U7+C$53)*COS((BB7-EchelleFPAparam!$AE3)*EchelleFPAparam!$C$3/EchelleFPAparam!$E$3))*(SIN('Standard Settings'!$F2)+SIN('Standard Settings'!$F2+EchelleFPAparam!$M$3+EchelleFPAparam!$K$3*EchelleFPAparam!$B$6*COS(EchelleFPAparam!$AC$3)-(BB7-1024)*SIN(EchelleFPAparam!$AC$3)*EchelleFPAparam!$C$3/EchelleFPAparam!$E$3))</f>
        <v>1099.0455169633576</v>
      </c>
      <c r="EO7" s="26">
        <f>(EchelleFPAparam!$S$3/($U7+D$53)*COS((BC7-EchelleFPAparam!$AE3)*EchelleFPAparam!$C$3/EchelleFPAparam!$E$3))*(SIN('Standard Settings'!$F2)+SIN('Standard Settings'!$F2+EchelleFPAparam!$M$3+EchelleFPAparam!$K$3*EchelleFPAparam!$B$6*COS(EchelleFPAparam!$AC$3)-(BC7-1024)*SIN(EchelleFPAparam!$AC$3)*EchelleFPAparam!$C$3/EchelleFPAparam!$E$3))</f>
        <v>1078.3607378946485</v>
      </c>
      <c r="EP7" s="26">
        <f>(EchelleFPAparam!$S$3/($U7+E$53)*COS((BD7-EchelleFPAparam!$AE3)*EchelleFPAparam!$C$3/EchelleFPAparam!$E$3))*(SIN('Standard Settings'!$F2)+SIN('Standard Settings'!$F2+EchelleFPAparam!$M$3+EchelleFPAparam!$K$3*EchelleFPAparam!$B$6*COS(EchelleFPAparam!$AC$3)-(BD7-1024)*SIN(EchelleFPAparam!$AC$3)*EchelleFPAparam!$C$3/EchelleFPAparam!$E$3))</f>
        <v>1058.4319203357779</v>
      </c>
      <c r="EQ7" s="26">
        <f>(EchelleFPAparam!$S$3/($U7+F$53)*COS((BE7-EchelleFPAparam!$AE3)*EchelleFPAparam!$C$3/EchelleFPAparam!$E$3))*(SIN('Standard Settings'!$F2)+SIN('Standard Settings'!$F2+EchelleFPAparam!$M$3+EchelleFPAparam!$K$3*EchelleFPAparam!$B$6*COS(EchelleFPAparam!$AC$3)-(BE7-1024)*SIN(EchelleFPAparam!$AC$3)*EchelleFPAparam!$C$3/EchelleFPAparam!$E$3))</f>
        <v>1039.2190337646584</v>
      </c>
      <c r="ER7" s="26">
        <f>(EchelleFPAparam!$S$3/($U7+G$53)*COS((BF7-EchelleFPAparam!$AE3)*EchelleFPAparam!$C$3/EchelleFPAparam!$E$3))*(SIN('Standard Settings'!$F2)+SIN('Standard Settings'!$F2+EchelleFPAparam!$M$3+EchelleFPAparam!$K$3*EchelleFPAparam!$B$6*COS(EchelleFPAparam!$AC$3)-(BF7-1024)*SIN(EchelleFPAparam!$AC$3)*EchelleFPAparam!$C$3/EchelleFPAparam!$E$3))</f>
        <v>1020.6846597935396</v>
      </c>
      <c r="ES7" s="26">
        <f>(EchelleFPAparam!$S$3/($U7+H$53)*COS((BG7-EchelleFPAparam!$AE3)*EchelleFPAparam!$C$3/EchelleFPAparam!$E$3))*(SIN('Standard Settings'!$F2)+SIN('Standard Settings'!$F2+EchelleFPAparam!$M$3+EchelleFPAparam!$K$3*EchelleFPAparam!$B$6*COS(EchelleFPAparam!$AC$3)-(BG7-1024)*SIN(EchelleFPAparam!$AC$3)*EchelleFPAparam!$C$3/EchelleFPAparam!$E$3))</f>
        <v>1002.7937767073232</v>
      </c>
      <c r="ET7" s="26">
        <f>(EchelleFPAparam!$S$3/($U7+I$53)*COS((BH7-EchelleFPAparam!$AE3)*EchelleFPAparam!$C$3/EchelleFPAparam!$E$3))*(SIN('Standard Settings'!$F2)+SIN('Standard Settings'!$F2+EchelleFPAparam!$M$3+EchelleFPAparam!$K$3*EchelleFPAparam!$B$6*COS(EchelleFPAparam!$AC$3)-(BH7-1024)*SIN(EchelleFPAparam!$AC$3)*EchelleFPAparam!$C$3/EchelleFPAparam!$E$3))</f>
        <v>985.51389522174486</v>
      </c>
      <c r="EU7" s="26">
        <f>(EchelleFPAparam!$S$3/($U7+J$53)*COS((BI7-EchelleFPAparam!$AE3)*EchelleFPAparam!$C$3/EchelleFPAparam!$E$3))*(SIN('Standard Settings'!$F2)+SIN('Standard Settings'!$F2+EchelleFPAparam!$M$3+EchelleFPAparam!$K$3*EchelleFPAparam!$B$6*COS(EchelleFPAparam!$AC$3)-(BI7-1024)*SIN(EchelleFPAparam!$AC$3)*EchelleFPAparam!$C$3/EchelleFPAparam!$E$3))</f>
        <v>968.81460799352078</v>
      </c>
      <c r="EV7" s="26">
        <f>(EchelleFPAparam!$S$3/($U7+K$53)*COS((BJ7-EchelleFPAparam!$AE3)*EchelleFPAparam!$C$3/EchelleFPAparam!$E$3))*(SIN('Standard Settings'!$F2)+SIN('Standard Settings'!$F2+EchelleFPAparam!$M$3+EchelleFPAparam!$K$3*EchelleFPAparam!$B$6*COS(EchelleFPAparam!$AC$3)-(BJ7-1024)*SIN(EchelleFPAparam!$AC$3)*EchelleFPAparam!$C$3/EchelleFPAparam!$E$3))</f>
        <v>952.36699680471963</v>
      </c>
      <c r="EW7" s="60">
        <f>CW7</f>
        <v>949.65096362136705</v>
      </c>
      <c r="EX7" s="60">
        <f t="shared" ref="EX7:EX15" si="20">EM7</f>
        <v>1120.5293665299316</v>
      </c>
      <c r="EY7" s="90">
        <v>0.39</v>
      </c>
      <c r="EZ7" s="90">
        <v>0.36</v>
      </c>
      <c r="FA7" s="50">
        <v>30000</v>
      </c>
      <c r="FB7" s="50">
        <v>5000</v>
      </c>
      <c r="FC7" s="50">
        <v>5000</v>
      </c>
      <c r="FD7" s="50">
        <v>3625</v>
      </c>
      <c r="FE7" s="95">
        <v>100</v>
      </c>
      <c r="FF7" s="50">
        <v>5000</v>
      </c>
      <c r="FG7" s="50">
        <v>175</v>
      </c>
      <c r="FH7" s="50">
        <f t="shared" ref="FH7:FM7" si="21">FB7/4</f>
        <v>1250</v>
      </c>
      <c r="FI7" s="50">
        <f t="shared" si="21"/>
        <v>1250</v>
      </c>
      <c r="FJ7" s="50">
        <f t="shared" si="21"/>
        <v>906.25</v>
      </c>
      <c r="FK7" s="95">
        <f t="shared" si="21"/>
        <v>25</v>
      </c>
      <c r="FL7" s="50">
        <f t="shared" si="21"/>
        <v>1250</v>
      </c>
      <c r="FM7" s="50">
        <f t="shared" si="21"/>
        <v>43.75</v>
      </c>
      <c r="FN7" s="50">
        <v>500</v>
      </c>
      <c r="FO7" s="91">
        <f>1/(F7*EchelleFPAparam!$Q$3)</f>
        <v>-11957.710138843946</v>
      </c>
      <c r="FP7" s="91">
        <f t="shared" ref="FP7:FP35" si="22">E7*FO7</f>
        <v>-38.219526453869953</v>
      </c>
      <c r="FQ7" s="50">
        <v>-999999</v>
      </c>
      <c r="FR7" s="50">
        <v>-999999</v>
      </c>
      <c r="FS7" s="90">
        <v>1</v>
      </c>
      <c r="FT7" s="90">
        <v>845.846</v>
      </c>
      <c r="FU7" s="90">
        <v>1614.806</v>
      </c>
      <c r="FV7" s="50">
        <v>-999999</v>
      </c>
      <c r="FW7" s="50">
        <v>-999999</v>
      </c>
      <c r="FX7" s="50">
        <v>-999999</v>
      </c>
      <c r="FY7" s="90">
        <v>1</v>
      </c>
      <c r="FZ7" s="90">
        <v>807.25800000000004</v>
      </c>
      <c r="GA7" s="90">
        <v>539.98500000000001</v>
      </c>
      <c r="GB7" s="50">
        <v>-999999</v>
      </c>
      <c r="GC7" s="50">
        <v>-999999</v>
      </c>
      <c r="GD7" s="50">
        <v>-999999</v>
      </c>
      <c r="GE7" s="90">
        <v>2</v>
      </c>
      <c r="GF7" s="90">
        <v>957.93600000000004</v>
      </c>
      <c r="GG7" s="90">
        <v>1779.83</v>
      </c>
      <c r="GH7" s="50">
        <v>-999999</v>
      </c>
      <c r="GI7" s="50">
        <v>-999999</v>
      </c>
      <c r="GJ7" s="50">
        <v>-999999</v>
      </c>
      <c r="GK7" s="90">
        <v>2</v>
      </c>
      <c r="GL7" s="90">
        <v>1711.673</v>
      </c>
      <c r="GM7" s="90">
        <v>729.95100000000002</v>
      </c>
      <c r="GN7" s="50">
        <v>-999999</v>
      </c>
      <c r="GO7" s="50">
        <v>-999999</v>
      </c>
      <c r="GP7" s="50">
        <v>-999999</v>
      </c>
      <c r="GQ7" s="50">
        <v>-999999</v>
      </c>
      <c r="GR7" s="50">
        <v>-999999</v>
      </c>
      <c r="GS7" s="50">
        <v>-999999</v>
      </c>
      <c r="GT7" s="50">
        <v>-999999</v>
      </c>
      <c r="GU7" s="50">
        <v>-999999</v>
      </c>
      <c r="GV7" s="50">
        <v>-999999</v>
      </c>
      <c r="GW7" s="50">
        <v>-999999</v>
      </c>
      <c r="GX7" s="50">
        <v>-999999</v>
      </c>
      <c r="GY7" s="50">
        <v>-999999</v>
      </c>
      <c r="GZ7" s="50">
        <v>-999999</v>
      </c>
      <c r="HA7" s="50">
        <v>-999999</v>
      </c>
      <c r="HB7" s="50">
        <v>-999999</v>
      </c>
      <c r="HC7" s="50">
        <v>-999999</v>
      </c>
      <c r="HD7" s="50">
        <v>-999999</v>
      </c>
      <c r="HE7" s="50">
        <v>-999999</v>
      </c>
      <c r="HF7" s="50">
        <v>-999999</v>
      </c>
      <c r="HG7" s="50">
        <v>-999999</v>
      </c>
      <c r="HH7" s="50">
        <v>-999999</v>
      </c>
      <c r="HI7" s="50">
        <v>-999999</v>
      </c>
      <c r="HJ7" s="50">
        <v>-999999</v>
      </c>
      <c r="HK7" s="50">
        <v>-999999</v>
      </c>
      <c r="HL7" s="50">
        <v>-999999</v>
      </c>
      <c r="HM7" s="50">
        <v>-999999</v>
      </c>
      <c r="HN7" s="50">
        <v>-999999</v>
      </c>
      <c r="HO7" s="50">
        <v>-999999</v>
      </c>
      <c r="HP7" s="50">
        <v>-999999</v>
      </c>
      <c r="HQ7" s="50">
        <v>-999999</v>
      </c>
      <c r="HR7" s="50">
        <v>-999999</v>
      </c>
      <c r="HS7" s="50">
        <v>-999999</v>
      </c>
      <c r="HT7" s="50">
        <v>-999999</v>
      </c>
      <c r="HU7" s="50">
        <v>-999999</v>
      </c>
      <c r="HV7" s="50">
        <v>-999999</v>
      </c>
      <c r="HW7" s="50">
        <v>-999999</v>
      </c>
      <c r="HX7" s="50">
        <v>-999999</v>
      </c>
      <c r="HY7" s="50"/>
      <c r="HZ7" s="50"/>
      <c r="IA7" s="50"/>
      <c r="IB7" s="50"/>
      <c r="IC7" s="50"/>
      <c r="ID7" s="50"/>
      <c r="IE7" s="50"/>
      <c r="IF7" s="50"/>
      <c r="IG7" s="50"/>
      <c r="IH7" s="50"/>
      <c r="II7" s="50"/>
      <c r="IJ7" s="50"/>
      <c r="IK7" s="50"/>
      <c r="IL7" s="50"/>
      <c r="IM7" s="50"/>
      <c r="IN7" s="50"/>
      <c r="IO7" s="50"/>
      <c r="IP7" s="50"/>
      <c r="IQ7" s="50"/>
      <c r="IR7" s="50"/>
      <c r="IS7" s="50"/>
      <c r="IT7" s="50"/>
      <c r="IU7" s="50"/>
      <c r="IV7" s="50"/>
      <c r="IW7" s="50"/>
      <c r="IX7" s="50"/>
      <c r="IY7" s="50"/>
      <c r="IZ7" s="50"/>
      <c r="JA7" s="50"/>
      <c r="JB7" s="50"/>
      <c r="JC7" s="50"/>
      <c r="JD7" s="50"/>
      <c r="JE7" s="50"/>
      <c r="JF7" s="50"/>
      <c r="JG7" s="50"/>
      <c r="JH7" s="50"/>
      <c r="JI7" s="50"/>
      <c r="JJ7" s="50"/>
      <c r="JK7" s="50"/>
      <c r="JL7" s="50"/>
      <c r="JM7" s="50"/>
      <c r="JN7" s="50"/>
      <c r="JO7" s="50"/>
      <c r="JP7" s="50"/>
      <c r="JQ7" s="50"/>
      <c r="JR7" s="50"/>
      <c r="JS7" s="50"/>
      <c r="JT7" s="50"/>
      <c r="JU7" s="50"/>
      <c r="JV7" s="50"/>
      <c r="JW7" s="52">
        <f t="shared" ref="JW7:JW35" si="23">F7/E7</f>
        <v>2746.9434182324726</v>
      </c>
      <c r="JX7" s="27">
        <f t="shared" ref="JX7:JX35" si="24">B7/E7</f>
        <v>322039.46069008479</v>
      </c>
      <c r="JY7" s="107">
        <f>JW7*EchelleFPAparam!$Q$3</f>
        <v>-2.6164636058664301E-2</v>
      </c>
      <c r="KA7" s="19"/>
      <c r="KB7" s="19"/>
      <c r="KC7" s="19"/>
      <c r="KD7" s="19"/>
      <c r="KE7" s="19"/>
      <c r="KF7" s="19"/>
      <c r="KG7" s="19"/>
      <c r="KH7" s="19"/>
      <c r="KI7" s="19"/>
      <c r="KJ7" s="19"/>
      <c r="KK7" s="19"/>
      <c r="KL7" s="19"/>
      <c r="KM7" s="19"/>
      <c r="KW7" s="19"/>
      <c r="KX7" s="19"/>
      <c r="KY7" s="19"/>
      <c r="KZ7" s="19"/>
      <c r="LA7" s="19"/>
      <c r="LB7" s="19"/>
      <c r="LC7" s="19"/>
      <c r="LD7" s="19"/>
      <c r="LE7" s="19"/>
      <c r="LF7" s="19"/>
    </row>
    <row r="8" spans="1:318" x14ac:dyDescent="0.2">
      <c r="A8" s="53">
        <f>A7+1</f>
        <v>2</v>
      </c>
      <c r="B8" s="96">
        <f t="shared" si="0"/>
        <v>1027.6321761507729</v>
      </c>
      <c r="C8" s="27" t="str">
        <f>'Standard Settings'!B3</f>
        <v>Y/2/2</v>
      </c>
      <c r="D8" s="27">
        <f>'Standard Settings'!H3</f>
        <v>55</v>
      </c>
      <c r="E8" s="19">
        <f t="shared" si="1"/>
        <v>3.2164628318203103E-3</v>
      </c>
      <c r="F8" s="18">
        <f>((EchelleFPAparam!$S$3/('crmcfgWLEN.txt'!$U8+F$53))*(SIN('Standard Settings'!$F3+0.0005)+SIN('Standard Settings'!$F3+0.0005+EchelleFPAparam!$M$3))-(EchelleFPAparam!$S$3/('crmcfgWLEN.txt'!$U8+F$53))*(SIN('Standard Settings'!$F3-0.0005)+SIN('Standard Settings'!$F3-0.0005+EchelleFPAparam!$M$3)))*1000*EchelleFPAparam!$O$3/180</f>
        <v>8.8395297839322975</v>
      </c>
      <c r="G8" s="20" t="str">
        <f>'Standard Settings'!C3</f>
        <v>Y</v>
      </c>
      <c r="H8" s="46"/>
      <c r="I8" s="59" t="s">
        <v>353</v>
      </c>
      <c r="J8" s="57"/>
      <c r="K8" s="27" t="str">
        <f>'Standard Settings'!$D3</f>
        <v>YJ</v>
      </c>
      <c r="L8" s="46"/>
      <c r="M8" s="12">
        <v>2.5</v>
      </c>
      <c r="N8" s="12">
        <v>2.5</v>
      </c>
      <c r="O8" s="27" t="str">
        <f>'Standard Settings'!$D3</f>
        <v>YJ</v>
      </c>
      <c r="P8" s="46"/>
      <c r="Q8" s="27">
        <f>'Standard Settings'!$E3</f>
        <v>65.367150000000009</v>
      </c>
      <c r="R8" s="106">
        <f>'Standard Settings'!$J3</f>
        <v>530000</v>
      </c>
      <c r="S8" s="21">
        <f>'Standard Settings'!$G3</f>
        <v>51</v>
      </c>
      <c r="T8" s="21">
        <f>'Standard Settings'!$I3</f>
        <v>59</v>
      </c>
      <c r="U8" s="22">
        <f t="shared" ref="U8:U35" si="25">D8-4</f>
        <v>51</v>
      </c>
      <c r="V8" s="22">
        <f t="shared" ref="V8:V35" si="26">D8+5</f>
        <v>60</v>
      </c>
      <c r="W8" s="23">
        <f>IF(AND($U8-$S8+B$53&gt;=0,$U8-$T8+B$53&lt;=0),(EchelleFPAparam!$S$3/('crmcfgWLEN.txt'!$U8+B$53))*(SIN('Standard Settings'!$F3)+SIN('Standard Settings'!$F3+EchelleFPAparam!$M$3)),-1)</f>
        <v>1108.2307782018142</v>
      </c>
      <c r="X8" s="23">
        <f>IF(AND($U8-$S8+C$53&gt;=0,$U8-$T8+C$53&lt;=0),(EchelleFPAparam!$S$3/('crmcfgWLEN.txt'!$U8+C$53))*(SIN('Standard Settings'!$F3)+SIN('Standard Settings'!$F3+EchelleFPAparam!$M$3)),-1)</f>
        <v>1086.9186478517793</v>
      </c>
      <c r="Y8" s="23">
        <f>IF(AND($U8-$S8+D$53&gt;=0,$U8-$T8+D$53&lt;=0),(EchelleFPAparam!$S$3/('crmcfgWLEN.txt'!$U8+D$53))*(SIN('Standard Settings'!$F3)+SIN('Standard Settings'!$F3+EchelleFPAparam!$M$3)),-1)</f>
        <v>1066.4107488357079</v>
      </c>
      <c r="Z8" s="23">
        <f>IF(AND($U8-$S8+E$53&gt;=0,$U8-$T8+E$53&lt;=0),(EchelleFPAparam!$S$3/('crmcfgWLEN.txt'!$U8+E$53))*(SIN('Standard Settings'!$F3)+SIN('Standard Settings'!$F3+EchelleFPAparam!$M$3)),-1)</f>
        <v>1046.6624016350465</v>
      </c>
      <c r="AA8" s="23">
        <f>IF(AND($U8-$S8+F$53&gt;=0,$U8-$T8+F$53&lt;=0),(EchelleFPAparam!$S$3/('crmcfgWLEN.txt'!$U8+F$53))*(SIN('Standard Settings'!$F3)+SIN('Standard Settings'!$F3+EchelleFPAparam!$M$3)),-1)</f>
        <v>1027.6321761507729</v>
      </c>
      <c r="AB8" s="23">
        <f>IF(AND($U8-$S8+G$53&gt;=0,$U8-$T8+G$53&lt;=0),(EchelleFPAparam!$S$3/('crmcfgWLEN.txt'!$U8+G$53))*(SIN('Standard Settings'!$F3)+SIN('Standard Settings'!$F3+EchelleFPAparam!$M$3)),-1)</f>
        <v>1009.2816015766522</v>
      </c>
      <c r="AC8" s="23">
        <f>IF(AND($U8-$S8+H$53&gt;=0,$U8-$T8+H$53&lt;=0),(EchelleFPAparam!$S$3/('crmcfgWLEN.txt'!$U8+H$53))*(SIN('Standard Settings'!$F3)+SIN('Standard Settings'!$F3+EchelleFPAparam!$M$3)),-1)</f>
        <v>991.57490681214949</v>
      </c>
      <c r="AD8" s="23">
        <f>IF(AND($U8-$S8+I$53&gt;=0,$U8-$T8+I$53&lt;=0),(EchelleFPAparam!$S$3/('crmcfgWLEN.txt'!$U8+I$53))*(SIN('Standard Settings'!$F3)+SIN('Standard Settings'!$F3+EchelleFPAparam!$M$3)),-1)</f>
        <v>974.47878772918136</v>
      </c>
      <c r="AE8" s="23">
        <f>IF(AND($U8-$S8+J$53&gt;=0,$U8-$T8+J$53&lt;=0),(EchelleFPAparam!$S$3/('crmcfgWLEN.txt'!$U8+J$53))*(SIN('Standard Settings'!$F3)+SIN('Standard Settings'!$F3+EchelleFPAparam!$M$3)),-1)</f>
        <v>957.96219810665298</v>
      </c>
      <c r="AF8" s="23">
        <f>IF(AND($U8-$S8+K$53&gt;=0,$U8-$T8+K$53&lt;=0),(EchelleFPAparam!$S$3/('crmcfgWLEN.txt'!$U8+K$53))*(SIN('Standard Settings'!$F3)+SIN('Standard Settings'!$F3+EchelleFPAparam!$M$3)),-1)</f>
        <v>-1</v>
      </c>
      <c r="AG8" s="112">
        <v>306.49443254264798</v>
      </c>
      <c r="AH8" s="112">
        <v>549.70098814593098</v>
      </c>
      <c r="AI8" s="112">
        <v>782.49926459872995</v>
      </c>
      <c r="AJ8" s="112">
        <v>1005.72505779803</v>
      </c>
      <c r="AK8" s="112">
        <v>1220.21886273888</v>
      </c>
      <c r="AL8" s="112">
        <v>1425.3052009856699</v>
      </c>
      <c r="AM8" s="112">
        <v>1623.3277956924901</v>
      </c>
      <c r="AN8" s="112">
        <v>1814.8138193483401</v>
      </c>
      <c r="AO8" s="112">
        <v>2010</v>
      </c>
      <c r="AP8" s="131">
        <v>-100.1</v>
      </c>
      <c r="AQ8" s="112">
        <v>270.59358900778301</v>
      </c>
      <c r="AR8" s="112">
        <v>515.55160276073798</v>
      </c>
      <c r="AS8" s="112">
        <v>750.50539950732605</v>
      </c>
      <c r="AT8" s="112">
        <v>975.73591119923697</v>
      </c>
      <c r="AU8" s="112">
        <v>1191.6551813846199</v>
      </c>
      <c r="AV8" s="112">
        <v>1398.76017768675</v>
      </c>
      <c r="AW8" s="112">
        <v>1597.6080952063501</v>
      </c>
      <c r="AX8" s="112">
        <v>1790.64541389954</v>
      </c>
      <c r="AY8" s="112">
        <v>2000</v>
      </c>
      <c r="AZ8" s="130">
        <v>-100.1</v>
      </c>
      <c r="BA8" s="112">
        <v>235.64784094800501</v>
      </c>
      <c r="BB8" s="112">
        <v>483.57111556900099</v>
      </c>
      <c r="BC8" s="112">
        <v>720.77692677609502</v>
      </c>
      <c r="BD8" s="112">
        <v>947.583796787918</v>
      </c>
      <c r="BE8" s="112">
        <v>1165.48637035463</v>
      </c>
      <c r="BF8" s="112">
        <v>1375.1656404922501</v>
      </c>
      <c r="BG8" s="112">
        <v>1575.9548867323299</v>
      </c>
      <c r="BH8" s="112">
        <v>1769.5764478318599</v>
      </c>
      <c r="BI8" s="112">
        <v>1965</v>
      </c>
      <c r="BJ8" s="132">
        <v>-100.1</v>
      </c>
      <c r="BK8" s="24">
        <f>EchelleFPAparam!$S$3/('crmcfgWLEN.txt'!$U8+B$53)*(SIN(EchelleFPAparam!$T$3-EchelleFPAparam!$M$3/2)+SIN('Standard Settings'!$F3+EchelleFPAparam!$M$3))</f>
        <v>1108.2143678199841</v>
      </c>
      <c r="BL8" s="24">
        <f>EchelleFPAparam!$S$3/('crmcfgWLEN.txt'!$U8+C$53)*(SIN(EchelleFPAparam!$T$3-EchelleFPAparam!$M$3/2)+SIN('Standard Settings'!$F3+EchelleFPAparam!$M$3))</f>
        <v>1086.9025530542153</v>
      </c>
      <c r="BM8" s="24">
        <f>EchelleFPAparam!$S$3/('crmcfgWLEN.txt'!$U8+D$53)*(SIN(EchelleFPAparam!$T$3-EchelleFPAparam!$M$3/2)+SIN('Standard Settings'!$F3+EchelleFPAparam!$M$3))</f>
        <v>1066.3949577135697</v>
      </c>
      <c r="BN8" s="24">
        <f>EchelleFPAparam!$S$3/('crmcfgWLEN.txt'!$U8+E$53)*(SIN(EchelleFPAparam!$T$3-EchelleFPAparam!$M$3/2)+SIN('Standard Settings'!$F3+EchelleFPAparam!$M$3))</f>
        <v>1046.6469029410962</v>
      </c>
      <c r="BO8" s="24">
        <f>EchelleFPAparam!$S$3/('crmcfgWLEN.txt'!$U8+F$53)*(SIN(EchelleFPAparam!$T$3-EchelleFPAparam!$M$3/2)+SIN('Standard Settings'!$F3+EchelleFPAparam!$M$3))</f>
        <v>1027.6169592512579</v>
      </c>
      <c r="BP8" s="24">
        <f>EchelleFPAparam!$S$3/('crmcfgWLEN.txt'!$U8+G$53)*(SIN(EchelleFPAparam!$T$3-EchelleFPAparam!$M$3/2)+SIN('Standard Settings'!$F3+EchelleFPAparam!$M$3))</f>
        <v>1009.2666564074856</v>
      </c>
      <c r="BQ8" s="24">
        <f>EchelleFPAparam!$S$3/('crmcfgWLEN.txt'!$U8+H$53)*(SIN(EchelleFPAparam!$T$3-EchelleFPAparam!$M$3/2)+SIN('Standard Settings'!$F3+EchelleFPAparam!$M$3))</f>
        <v>991.5602238389331</v>
      </c>
      <c r="BR8" s="24">
        <f>EchelleFPAparam!$S$3/('crmcfgWLEN.txt'!$U8+I$53)*(SIN(EchelleFPAparam!$T$3-EchelleFPAparam!$M$3/2)+SIN('Standard Settings'!$F3+EchelleFPAparam!$M$3))</f>
        <v>974.46435791067563</v>
      </c>
      <c r="BS8" s="24">
        <f>EchelleFPAparam!$S$3/('crmcfgWLEN.txt'!$U8+J$53)*(SIN(EchelleFPAparam!$T$3-EchelleFPAparam!$M$3/2)+SIN('Standard Settings'!$F3+EchelleFPAparam!$M$3))</f>
        <v>957.94801286134225</v>
      </c>
      <c r="BT8" s="24">
        <f>EchelleFPAparam!$S$3/('crmcfgWLEN.txt'!$U8+K$53)*(SIN(EchelleFPAparam!$T$3-EchelleFPAparam!$M$3/2)+SIN('Standard Settings'!$F3+EchelleFPAparam!$M$3))</f>
        <v>941.98221264698645</v>
      </c>
      <c r="BU8" s="25">
        <f>BK8*(($D8+B$53)/($D8+B$53+0.5))</f>
        <v>1098.2304545963807</v>
      </c>
      <c r="BV8" s="25">
        <f t="shared" si="2"/>
        <v>1077.2839463900186</v>
      </c>
      <c r="BW8" s="25">
        <f t="shared" si="3"/>
        <v>1057.1219580812779</v>
      </c>
      <c r="BX8" s="25">
        <f t="shared" si="4"/>
        <v>1037.7012029159587</v>
      </c>
      <c r="BY8" s="25">
        <f t="shared" si="5"/>
        <v>1018.9815226188944</v>
      </c>
      <c r="BZ8" s="25">
        <f t="shared" si="6"/>
        <v>1000.9256096603164</v>
      </c>
      <c r="CA8" s="25">
        <f t="shared" si="7"/>
        <v>983.49875860447014</v>
      </c>
      <c r="CB8" s="25">
        <f t="shared" si="8"/>
        <v>966.66864304739022</v>
      </c>
      <c r="CC8" s="25">
        <f t="shared" si="9"/>
        <v>950.40511512227658</v>
      </c>
      <c r="CD8" s="25">
        <f t="shared" si="10"/>
        <v>934.6800249520486</v>
      </c>
      <c r="CE8" s="25">
        <f>BK8*(($D8+B$53)/($D8+B$53-0.5))</f>
        <v>1118.3814721119104</v>
      </c>
      <c r="CF8" s="25">
        <f t="shared" si="11"/>
        <v>1096.6944679465955</v>
      </c>
      <c r="CG8" s="25">
        <f t="shared" si="12"/>
        <v>1075.8320812331588</v>
      </c>
      <c r="CH8" s="25">
        <f t="shared" si="13"/>
        <v>1055.7481803579753</v>
      </c>
      <c r="CI8" s="25">
        <f t="shared" si="14"/>
        <v>1036.4000101850293</v>
      </c>
      <c r="CJ8" s="25">
        <f t="shared" si="15"/>
        <v>1017.7478888142712</v>
      </c>
      <c r="CK8" s="25">
        <f t="shared" si="16"/>
        <v>999.75493643264326</v>
      </c>
      <c r="CL8" s="25">
        <f t="shared" si="17"/>
        <v>982.38683236523389</v>
      </c>
      <c r="CM8" s="25">
        <f t="shared" si="18"/>
        <v>965.61159696423294</v>
      </c>
      <c r="CN8" s="25">
        <f t="shared" si="19"/>
        <v>949.3993954237344</v>
      </c>
      <c r="CO8" s="26">
        <f>(EchelleFPAparam!$S$3/($U8+B$53)*COS((AG8-EchelleFPAparam!$AE4)*EchelleFPAparam!$C$3/EchelleFPAparam!$E$3))*(SIN('Standard Settings'!$F3)+SIN('Standard Settings'!$F3+EchelleFPAparam!$M$3+(EchelleFPAparam!$F$3*EchelleFPAparam!$B$6)*COS(EchelleFPAparam!$AC$3)-(AG8-1024)*SIN(EchelleFPAparam!$AC$3)*EchelleFPAparam!$C$3/EchelleFPAparam!$E$3))</f>
        <v>1096.4871432995335</v>
      </c>
      <c r="CP8" s="26">
        <f>(EchelleFPAparam!$S$3/($U8+C$53)*COS((AH8-EchelleFPAparam!$AE4)*EchelleFPAparam!$C$3/EchelleFPAparam!$E$3))*(SIN('Standard Settings'!$F3)+SIN('Standard Settings'!$F3+EchelleFPAparam!$M$3+(EchelleFPAparam!$F$3*EchelleFPAparam!$B$6)*COS(EchelleFPAparam!$AC$3)-(AH8-1024)*SIN(EchelleFPAparam!$AC$3)*EchelleFPAparam!$C$3/EchelleFPAparam!$E$3))</f>
        <v>1075.4629400251292</v>
      </c>
      <c r="CQ8" s="26">
        <f>(EchelleFPAparam!$S$3/($U8+D$53)*COS((AI8-EchelleFPAparam!$AE4)*EchelleFPAparam!$C$3/EchelleFPAparam!$E$3))*(SIN('Standard Settings'!$F3)+SIN('Standard Settings'!$F3+EchelleFPAparam!$M$3+(EchelleFPAparam!$F$3*EchelleFPAparam!$B$6)*COS(EchelleFPAparam!$AC$3)-(AI8-1024)*SIN(EchelleFPAparam!$AC$3)*EchelleFPAparam!$C$3/EchelleFPAparam!$E$3))</f>
        <v>1055.2212093187268</v>
      </c>
      <c r="CR8" s="26">
        <f>(EchelleFPAparam!$S$3/($U8+E$53)*COS((AJ8-EchelleFPAparam!$AE4)*EchelleFPAparam!$C$3/EchelleFPAparam!$E$3))*(SIN('Standard Settings'!$F3)+SIN('Standard Settings'!$F3+EchelleFPAparam!$M$3+(EchelleFPAparam!$F$3*EchelleFPAparam!$B$6)*COS(EchelleFPAparam!$AC$3)-(AJ8-1024)*SIN(EchelleFPAparam!$AC$3)*EchelleFPAparam!$C$3/EchelleFPAparam!$E$3))</f>
        <v>1035.7196815299114</v>
      </c>
      <c r="CS8" s="26">
        <f>(EchelleFPAparam!$S$3/($U8+F$53)*COS((AK8-EchelleFPAparam!$AE4)*EchelleFPAparam!$C$3/EchelleFPAparam!$E$3))*(SIN('Standard Settings'!$F3)+SIN('Standard Settings'!$F3+EchelleFPAparam!$M$3+(EchelleFPAparam!$F$3*EchelleFPAparam!$B$6)*COS(EchelleFPAparam!$AC$3)-(AK8-1024)*SIN(EchelleFPAparam!$AC$3)*EchelleFPAparam!$C$3/EchelleFPAparam!$E$3))</f>
        <v>1016.9190123753409</v>
      </c>
      <c r="CT8" s="26">
        <f>(EchelleFPAparam!$S$3/($U8+G$53)*COS((AL8-EchelleFPAparam!$AE4)*EchelleFPAparam!$C$3/EchelleFPAparam!$E$3))*(SIN('Standard Settings'!$F3)+SIN('Standard Settings'!$F3+EchelleFPAparam!$M$3+(EchelleFPAparam!$F$3*EchelleFPAparam!$B$6)*COS(EchelleFPAparam!$AC$3)-(AL8-1024)*SIN(EchelleFPAparam!$AC$3)*EchelleFPAparam!$C$3/EchelleFPAparam!$E$3))</f>
        <v>998.78238619271121</v>
      </c>
      <c r="CU8" s="26">
        <f>(EchelleFPAparam!$S$3/($U8+H$53)*COS((AM8-EchelleFPAparam!$AE4)*EchelleFPAparam!$C$3/EchelleFPAparam!$E$3))*(SIN('Standard Settings'!$F3)+SIN('Standard Settings'!$F3+EchelleFPAparam!$M$3+(EchelleFPAparam!$F$3*EchelleFPAparam!$B$6)*COS(EchelleFPAparam!$AC$3)-(AM8-1024)*SIN(EchelleFPAparam!$AC$3)*EchelleFPAparam!$C$3/EchelleFPAparam!$E$3))</f>
        <v>981.27581474054159</v>
      </c>
      <c r="CV8" s="26">
        <f>(EchelleFPAparam!$S$3/($U8+I$53)*COS((AN8-EchelleFPAparam!$AE4)*EchelleFPAparam!$C$3/EchelleFPAparam!$E$3))*(SIN('Standard Settings'!$F3)+SIN('Standard Settings'!$F3+EchelleFPAparam!$M$3+(EchelleFPAparam!$F$3*EchelleFPAparam!$B$6)*COS(EchelleFPAparam!$AC$3)-(AN8-1024)*SIN(EchelleFPAparam!$AC$3)*EchelleFPAparam!$C$3/EchelleFPAparam!$E$3))</f>
        <v>964.36730314957924</v>
      </c>
      <c r="CW8" s="26">
        <f>(EchelleFPAparam!$S$3/($U8+J$53)*COS((AO8-EchelleFPAparam!$AE4)*EchelleFPAparam!$C$3/EchelleFPAparam!$E$3))*(SIN('Standard Settings'!$F3)+SIN('Standard Settings'!$F3+EchelleFPAparam!$M$3+(EchelleFPAparam!$F$3*EchelleFPAparam!$B$6)*COS(EchelleFPAparam!$AC$3)-(AO8-1024)*SIN(EchelleFPAparam!$AC$3)*EchelleFPAparam!$C$3/EchelleFPAparam!$E$3))</f>
        <v>948.02708030074041</v>
      </c>
      <c r="CX8" s="26">
        <f>(EchelleFPAparam!$S$3/($U8+K$53)*COS((AP8-EchelleFPAparam!$AE4)*EchelleFPAparam!$C$3/EchelleFPAparam!$E$3))*(SIN('Standard Settings'!$F3)+SIN('Standard Settings'!$F3+EchelleFPAparam!$M$3+(EchelleFPAparam!$F$3*EchelleFPAparam!$B$6)*COS(EchelleFPAparam!$AC$3)-(AP8-1024)*SIN(EchelleFPAparam!$AC$3)*EchelleFPAparam!$C$3/EchelleFPAparam!$E$3))</f>
        <v>931.90666241647364</v>
      </c>
      <c r="CY8" s="26">
        <f>(EchelleFPAparam!$S$3/($U8+B$53)*COS((AG8-EchelleFPAparam!$AE4)*EchelleFPAparam!$C$3/EchelleFPAparam!$E$3))*(SIN('Standard Settings'!$F3)+SIN('Standard Settings'!$F3+EchelleFPAparam!$M$3+EchelleFPAparam!$G$3*EchelleFPAparam!$B$6*COS(EchelleFPAparam!$AC$3)-(AG8-1024)*SIN(EchelleFPAparam!$AC$3)*EchelleFPAparam!$C$3/EchelleFPAparam!$E$3))</f>
        <v>1103.9456972420292</v>
      </c>
      <c r="CZ8" s="26">
        <f>(EchelleFPAparam!$S$3/($U8+C$53)*COS((AH8-EchelleFPAparam!$AE4)*EchelleFPAparam!$C$3/EchelleFPAparam!$E$3))*(SIN('Standard Settings'!$F3)+SIN('Standard Settings'!$F3+EchelleFPAparam!$M$3+EchelleFPAparam!$G$3*EchelleFPAparam!$B$6*COS(EchelleFPAparam!$AC$3)-(AH8-1024)*SIN(EchelleFPAparam!$AC$3)*EchelleFPAparam!$C$3/EchelleFPAparam!$E$3))</f>
        <v>1082.7774394576602</v>
      </c>
      <c r="DA8" s="26">
        <f>(EchelleFPAparam!$S$3/($U8+D$53)*COS((AI8-EchelleFPAparam!$AE4)*EchelleFPAparam!$C$3/EchelleFPAparam!$E$3))*(SIN('Standard Settings'!$F3)+SIN('Standard Settings'!$F3+EchelleFPAparam!$M$3+EchelleFPAparam!$G$3*EchelleFPAparam!$B$6*COS(EchelleFPAparam!$AC$3)-(AI8-1024)*SIN(EchelleFPAparam!$AC$3)*EchelleFPAparam!$C$3/EchelleFPAparam!$E$3))</f>
        <v>1062.3970598848325</v>
      </c>
      <c r="DB8" s="26">
        <f>(EchelleFPAparam!$S$3/($U8+E$53)*COS((AJ8-EchelleFPAparam!$AE4)*EchelleFPAparam!$C$3/EchelleFPAparam!$E$3))*(SIN('Standard Settings'!$F3)+SIN('Standard Settings'!$F3+EchelleFPAparam!$M$3+EchelleFPAparam!$G$3*EchelleFPAparam!$B$6*COS(EchelleFPAparam!$AC$3)-(AJ8-1024)*SIN(EchelleFPAparam!$AC$3)*EchelleFPAparam!$C$3/EchelleFPAparam!$E$3))</f>
        <v>1042.7619933071589</v>
      </c>
      <c r="DC8" s="26">
        <f>(EchelleFPAparam!$S$3/($U8+F$53)*COS((AK8-EchelleFPAparam!$AE4)*EchelleFPAparam!$C$3/EchelleFPAparam!$E$3))*(SIN('Standard Settings'!$F3)+SIN('Standard Settings'!$F3+EchelleFPAparam!$M$3+EchelleFPAparam!$G$3*EchelleFPAparam!$B$6*COS(EchelleFPAparam!$AC$3)-(AK8-1024)*SIN(EchelleFPAparam!$AC$3)*EchelleFPAparam!$C$3/EchelleFPAparam!$E$3))</f>
        <v>1023.8326203337848</v>
      </c>
      <c r="DD8" s="26">
        <f>(EchelleFPAparam!$S$3/($U8+G$53)*COS((AL8-EchelleFPAparam!$AE4)*EchelleFPAparam!$C$3/EchelleFPAparam!$E$3))*(SIN('Standard Settings'!$F3)+SIN('Standard Settings'!$F3+EchelleFPAparam!$M$3+EchelleFPAparam!$G$3*EchelleFPAparam!$B$6*COS(EchelleFPAparam!$AC$3)-(AL8-1024)*SIN(EchelleFPAparam!$AC$3)*EchelleFPAparam!$C$3/EchelleFPAparam!$E$3))</f>
        <v>1005.5718739631473</v>
      </c>
      <c r="DE8" s="26">
        <f>(EchelleFPAparam!$S$3/($U8+H$53)*COS((AM8-EchelleFPAparam!$AE4)*EchelleFPAparam!$C$3/EchelleFPAparam!$E$3))*(SIN('Standard Settings'!$F3)+SIN('Standard Settings'!$F3+EchelleFPAparam!$M$3+EchelleFPAparam!$G$3*EchelleFPAparam!$B$6*COS(EchelleFPAparam!$AC$3)-(AM8-1024)*SIN(EchelleFPAparam!$AC$3)*EchelleFPAparam!$C$3/EchelleFPAparam!$E$3))</f>
        <v>987.94552209199037</v>
      </c>
      <c r="DF8" s="26">
        <f>(EchelleFPAparam!$S$3/($U8+I$53)*COS((AN8-EchelleFPAparam!$AE4)*EchelleFPAparam!$C$3/EchelleFPAparam!$E$3))*(SIN('Standard Settings'!$F3)+SIN('Standard Settings'!$F3+EchelleFPAparam!$M$3+EchelleFPAparam!$G$3*EchelleFPAparam!$B$6*COS(EchelleFPAparam!$AC$3)-(AN8-1024)*SIN(EchelleFPAparam!$AC$3)*EchelleFPAparam!$C$3/EchelleFPAparam!$E$3))</f>
        <v>970.92134740569566</v>
      </c>
      <c r="DG8" s="26">
        <f>(EchelleFPAparam!$S$3/($U8+J$53)*COS((AO8-EchelleFPAparam!$AE4)*EchelleFPAparam!$C$3/EchelleFPAparam!$E$3))*(SIN('Standard Settings'!$F3)+SIN('Standard Settings'!$F3+EchelleFPAparam!$M$3+EchelleFPAparam!$G$3*EchelleFPAparam!$B$6*COS(EchelleFPAparam!$AC$3)-(AO8-1024)*SIN(EchelleFPAparam!$AC$3)*EchelleFPAparam!$C$3/EchelleFPAparam!$E$3))</f>
        <v>954.46933508471727</v>
      </c>
      <c r="DH8" s="26">
        <f>(EchelleFPAparam!$S$3/($U8+K$53)*COS((AP8-EchelleFPAparam!$AE4)*EchelleFPAparam!$C$3/EchelleFPAparam!$E$3))*(SIN('Standard Settings'!$F3)+SIN('Standard Settings'!$F3+EchelleFPAparam!$M$3+EchelleFPAparam!$G$3*EchelleFPAparam!$B$6*COS(EchelleFPAparam!$AC$3)-(AP8-1024)*SIN(EchelleFPAparam!$AC$3)*EchelleFPAparam!$C$3/EchelleFPAparam!$E$3))</f>
        <v>938.24721379833272</v>
      </c>
      <c r="DI8" s="26">
        <f>(EchelleFPAparam!$S$3/($U8+B$53)*COS((AQ8-EchelleFPAparam!$AE4)*EchelleFPAparam!$C$3/EchelleFPAparam!$E$3))*(SIN('Standard Settings'!$F3)+SIN('Standard Settings'!$F3+EchelleFPAparam!$M$3+EchelleFPAparam!$H$3*EchelleFPAparam!$B$6*COS(EchelleFPAparam!$AC$3)-(AQ8-1024)*SIN(EchelleFPAparam!$AC$3)*EchelleFPAparam!$C$3/EchelleFPAparam!$E$3))</f>
        <v>1104.4483764707004</v>
      </c>
      <c r="DJ8" s="26">
        <f>(EchelleFPAparam!$S$3/($U8+C$53)*COS((AR8-EchelleFPAparam!$AE4)*EchelleFPAparam!$C$3/EchelleFPAparam!$E$3))*(SIN('Standard Settings'!$F3)+SIN('Standard Settings'!$F3+EchelleFPAparam!$M$3+EchelleFPAparam!$H$3*EchelleFPAparam!$B$6*COS(EchelleFPAparam!$AC$3)-(AR8-1024)*SIN(EchelleFPAparam!$AC$3)*EchelleFPAparam!$C$3/EchelleFPAparam!$E$3))</f>
        <v>1083.2721667946516</v>
      </c>
      <c r="DK8" s="26">
        <f>(EchelleFPAparam!$S$3/($U8+D$53)*COS((AS8-EchelleFPAparam!$AE4)*EchelleFPAparam!$C$3/EchelleFPAparam!$E$3))*(SIN('Standard Settings'!$F3)+SIN('Standard Settings'!$F3+EchelleFPAparam!$M$3+EchelleFPAparam!$H$3*EchelleFPAparam!$B$6*COS(EchelleFPAparam!$AC$3)-(AS8-1024)*SIN(EchelleFPAparam!$AC$3)*EchelleFPAparam!$C$3/EchelleFPAparam!$E$3))</f>
        <v>1062.884034409494</v>
      </c>
      <c r="DL8" s="26">
        <f>(EchelleFPAparam!$S$3/($U8+E$53)*COS((AT8-EchelleFPAparam!$AE4)*EchelleFPAparam!$C$3/EchelleFPAparam!$E$3))*(SIN('Standard Settings'!$F3)+SIN('Standard Settings'!$F3+EchelleFPAparam!$M$3+EchelleFPAparam!$H$3*EchelleFPAparam!$B$6*COS(EchelleFPAparam!$AC$3)-(AT8-1024)*SIN(EchelleFPAparam!$AC$3)*EchelleFPAparam!$C$3/EchelleFPAparam!$E$3))</f>
        <v>1043.2412848081769</v>
      </c>
      <c r="DM8" s="26">
        <f>(EchelleFPAparam!$S$3/($U8+F$53)*COS((AU8-EchelleFPAparam!$AE4)*EchelleFPAparam!$C$3/EchelleFPAparam!$E$3))*(SIN('Standard Settings'!$F3)+SIN('Standard Settings'!$F3+EchelleFPAparam!$M$3+EchelleFPAparam!$H$3*EchelleFPAparam!$B$6*COS(EchelleFPAparam!$AC$3)-(AU8-1024)*SIN(EchelleFPAparam!$AC$3)*EchelleFPAparam!$C$3/EchelleFPAparam!$E$3))</f>
        <v>1024.3042667963816</v>
      </c>
      <c r="DN8" s="26">
        <f>(EchelleFPAparam!$S$3/($U8+G$53)*COS((AV8-EchelleFPAparam!$AE4)*EchelleFPAparam!$C$3/EchelleFPAparam!$E$3))*(SIN('Standard Settings'!$F3)+SIN('Standard Settings'!$F3+EchelleFPAparam!$M$3+EchelleFPAparam!$H$3*EchelleFPAparam!$B$6*COS(EchelleFPAparam!$AC$3)-(AV8-1024)*SIN(EchelleFPAparam!$AC$3)*EchelleFPAparam!$C$3/EchelleFPAparam!$E$3))</f>
        <v>1006.0360807830076</v>
      </c>
      <c r="DO8" s="26">
        <f>(EchelleFPAparam!$S$3/($U8+H$53)*COS((AW8-EchelleFPAparam!$AE4)*EchelleFPAparam!$C$3/EchelleFPAparam!$E$3))*(SIN('Standard Settings'!$F3)+SIN('Standard Settings'!$F3+EchelleFPAparam!$M$3+EchelleFPAparam!$H$3*EchelleFPAparam!$B$6*COS(EchelleFPAparam!$AC$3)-(AW8-1024)*SIN(EchelleFPAparam!$AC$3)*EchelleFPAparam!$C$3/EchelleFPAparam!$E$3))</f>
        <v>988.40232916465288</v>
      </c>
      <c r="DP8" s="26">
        <f>(EchelleFPAparam!$S$3/($U8+I$53)*COS((AX8-EchelleFPAparam!$AE4)*EchelleFPAparam!$C$3/EchelleFPAparam!$E$3))*(SIN('Standard Settings'!$F3)+SIN('Standard Settings'!$F3+EchelleFPAparam!$M$3+EchelleFPAparam!$H$3*EchelleFPAparam!$B$6*COS(EchelleFPAparam!$AC$3)-(AX8-1024)*SIN(EchelleFPAparam!$AC$3)*EchelleFPAparam!$C$3/EchelleFPAparam!$E$3))</f>
        <v>971.37096978375587</v>
      </c>
      <c r="DQ8" s="26">
        <f>(EchelleFPAparam!$S$3/($U8+J$53)*COS((AY8-EchelleFPAparam!$AE4)*EchelleFPAparam!$C$3/EchelleFPAparam!$E$3))*(SIN('Standard Settings'!$F3)+SIN('Standard Settings'!$F3+EchelleFPAparam!$M$3+EchelleFPAparam!$H$3*EchelleFPAparam!$B$6*COS(EchelleFPAparam!$AC$3)-(AY8-1024)*SIN(EchelleFPAparam!$AC$3)*EchelleFPAparam!$C$3/EchelleFPAparam!$E$3))</f>
        <v>954.91207836477713</v>
      </c>
      <c r="DR8" s="26">
        <f>(EchelleFPAparam!$S$3/($U8+K$53)*COS((AZ8-EchelleFPAparam!$AE4)*EchelleFPAparam!$C$3/EchelleFPAparam!$E$3))*(SIN('Standard Settings'!$F3)+SIN('Standard Settings'!$F3+EchelleFPAparam!$M$3+EchelleFPAparam!$H$3*EchelleFPAparam!$B$6*COS(EchelleFPAparam!$AC$3)-(AZ8-1024)*SIN(EchelleFPAparam!$AC$3)*EchelleFPAparam!$C$3/EchelleFPAparam!$E$3))</f>
        <v>938.68307224237537</v>
      </c>
      <c r="DS8" s="26">
        <f>(EchelleFPAparam!$S$3/($U8+B$53)*COS((AQ8-EchelleFPAparam!$AE4)*EchelleFPAparam!$C$3/EchelleFPAparam!$E$3))*(SIN('Standard Settings'!$F3)+SIN('Standard Settings'!$F3+EchelleFPAparam!$M$3+EchelleFPAparam!$I$3*EchelleFPAparam!$B$6*COS(EchelleFPAparam!$AC$3)-(AQ8-1024)*SIN(EchelleFPAparam!$AC$3)*EchelleFPAparam!$C$3/EchelleFPAparam!$E$3))</f>
        <v>1111.5551243580555</v>
      </c>
      <c r="DT8" s="26">
        <f>(EchelleFPAparam!$S$3/($U8+C$53)*COS((AR8-EchelleFPAparam!$AE4)*EchelleFPAparam!$C$3/EchelleFPAparam!$E$3))*(SIN('Standard Settings'!$F3)+SIN('Standard Settings'!$F3+EchelleFPAparam!$M$3+EchelleFPAparam!$I$3*EchelleFPAparam!$B$6*COS(EchelleFPAparam!$AC$3)-(AR8-1024)*SIN(EchelleFPAparam!$AC$3)*EchelleFPAparam!$C$3/EchelleFPAparam!$E$3))</f>
        <v>1090.2416032940419</v>
      </c>
      <c r="DU8" s="26">
        <f>(EchelleFPAparam!$S$3/($U8+D$53)*COS((AS8-EchelleFPAparam!$AE4)*EchelleFPAparam!$C$3/EchelleFPAparam!$E$3))*(SIN('Standard Settings'!$F3)+SIN('Standard Settings'!$F3+EchelleFPAparam!$M$3+EchelleFPAparam!$I$3*EchelleFPAparam!$B$6*COS(EchelleFPAparam!$AC$3)-(AS8-1024)*SIN(EchelleFPAparam!$AC$3)*EchelleFPAparam!$C$3/EchelleFPAparam!$E$3))</f>
        <v>1069.7213121263624</v>
      </c>
      <c r="DV8" s="26">
        <f>(EchelleFPAparam!$S$3/($U8+E$53)*COS((AT8-EchelleFPAparam!$AE4)*EchelleFPAparam!$C$3/EchelleFPAparam!$E$3))*(SIN('Standard Settings'!$F3)+SIN('Standard Settings'!$F3+EchelleFPAparam!$M$3+EchelleFPAparam!$I$3*EchelleFPAparam!$B$6*COS(EchelleFPAparam!$AC$3)-(AT8-1024)*SIN(EchelleFPAparam!$AC$3)*EchelleFPAparam!$C$3/EchelleFPAparam!$E$3))</f>
        <v>1049.9512759614843</v>
      </c>
      <c r="DW8" s="26">
        <f>(EchelleFPAparam!$S$3/($U8+F$53)*COS((AU8-EchelleFPAparam!$AE4)*EchelleFPAparam!$C$3/EchelleFPAparam!$E$3))*(SIN('Standard Settings'!$F3)+SIN('Standard Settings'!$F3+EchelleFPAparam!$M$3+EchelleFPAparam!$I$3*EchelleFPAparam!$B$6*COS(EchelleFPAparam!$AC$3)-(AU8-1024)*SIN(EchelleFPAparam!$AC$3)*EchelleFPAparam!$C$3/EchelleFPAparam!$E$3))</f>
        <v>1030.8915826759496</v>
      </c>
      <c r="DX8" s="26">
        <f>(EchelleFPAparam!$S$3/($U8+G$53)*COS((AV8-EchelleFPAparam!$AE4)*EchelleFPAparam!$C$3/EchelleFPAparam!$E$3))*(SIN('Standard Settings'!$F3)+SIN('Standard Settings'!$F3+EchelleFPAparam!$M$3+EchelleFPAparam!$I$3*EchelleFPAparam!$B$6*COS(EchelleFPAparam!$AC$3)-(AV8-1024)*SIN(EchelleFPAparam!$AC$3)*EchelleFPAparam!$C$3/EchelleFPAparam!$E$3))</f>
        <v>1012.5050895256093</v>
      </c>
      <c r="DY8" s="26">
        <f>(EchelleFPAparam!$S$3/($U8+H$53)*COS((AW8-EchelleFPAparam!$AE4)*EchelleFPAparam!$C$3/EchelleFPAparam!$E$3))*(SIN('Standard Settings'!$F3)+SIN('Standard Settings'!$F3+EchelleFPAparam!$M$3+EchelleFPAparam!$I$3*EchelleFPAparam!$B$6*COS(EchelleFPAparam!$AC$3)-(AW8-1024)*SIN(EchelleFPAparam!$AC$3)*EchelleFPAparam!$C$3/EchelleFPAparam!$E$3))</f>
        <v>994.75717201510633</v>
      </c>
      <c r="DZ8" s="26">
        <f>(EchelleFPAparam!$S$3/($U8+I$53)*COS((AX8-EchelleFPAparam!$AE4)*EchelleFPAparam!$C$3/EchelleFPAparam!$E$3))*(SIN('Standard Settings'!$F3)+SIN('Standard Settings'!$F3+EchelleFPAparam!$M$3+EchelleFPAparam!$I$3*EchelleFPAparam!$B$6*COS(EchelleFPAparam!$AC$3)-(AX8-1024)*SIN(EchelleFPAparam!$AC$3)*EchelleFPAparam!$C$3/EchelleFPAparam!$E$3))</f>
        <v>977.61556937193222</v>
      </c>
      <c r="EA8" s="26">
        <f>(EchelleFPAparam!$S$3/($U8+J$53)*COS((AY8-EchelleFPAparam!$AE4)*EchelleFPAparam!$C$3/EchelleFPAparam!$E$3))*(SIN('Standard Settings'!$F3)+SIN('Standard Settings'!$F3+EchelleFPAparam!$M$3+EchelleFPAparam!$I$3*EchelleFPAparam!$B$6*COS(EchelleFPAparam!$AC$3)-(AY8-1024)*SIN(EchelleFPAparam!$AC$3)*EchelleFPAparam!$C$3/EchelleFPAparam!$E$3))</f>
        <v>961.0500788373472</v>
      </c>
      <c r="EB8" s="26">
        <f>(EchelleFPAparam!$S$3/($U8+K$53)*COS((AZ8-EchelleFPAparam!$AE4)*EchelleFPAparam!$C$3/EchelleFPAparam!$E$3))*(SIN('Standard Settings'!$F3)+SIN('Standard Settings'!$F3+EchelleFPAparam!$M$3+EchelleFPAparam!$I$3*EchelleFPAparam!$B$6*COS(EchelleFPAparam!$AC$3)-(AZ8-1024)*SIN(EchelleFPAparam!$AC$3)*EchelleFPAparam!$C$3/EchelleFPAparam!$E$3))</f>
        <v>944.72455357908996</v>
      </c>
      <c r="EC8" s="26">
        <f>(EchelleFPAparam!$S$3/($U8+B$53)*COS((BA8-EchelleFPAparam!$AE4)*EchelleFPAparam!$C$3/EchelleFPAparam!$E$3))*(SIN('Standard Settings'!$F3)+SIN('Standard Settings'!$F3+EchelleFPAparam!$M$3+EchelleFPAparam!$J$3*EchelleFPAparam!$B$6*COS(EchelleFPAparam!$AC$3)-(BA8-1024)*SIN(EchelleFPAparam!$AC$3)*EchelleFPAparam!$C$3/EchelleFPAparam!$E$3))</f>
        <v>1112.0471032304731</v>
      </c>
      <c r="ED8" s="26">
        <f>(EchelleFPAparam!$S$3/($U8+C$53)*COS((BB8-EchelleFPAparam!$AE4)*EchelleFPAparam!$C$3/EchelleFPAparam!$E$3))*(SIN('Standard Settings'!$F3)+SIN('Standard Settings'!$F3+EchelleFPAparam!$M$3+EchelleFPAparam!$J$3*EchelleFPAparam!$B$6*COS(EchelleFPAparam!$AC$3)-(BB8-1024)*SIN(EchelleFPAparam!$AC$3)*EchelleFPAparam!$C$3/EchelleFPAparam!$E$3))</f>
        <v>1090.7261125269727</v>
      </c>
      <c r="EE8" s="26">
        <f>(EchelleFPAparam!$S$3/($U8+D$53)*COS((BC8-EchelleFPAparam!$AE4)*EchelleFPAparam!$C$3/EchelleFPAparam!$E$3))*(SIN('Standard Settings'!$F3)+SIN('Standard Settings'!$F3+EchelleFPAparam!$M$3+EchelleFPAparam!$J$3*EchelleFPAparam!$B$6*COS(EchelleFPAparam!$AC$3)-(BC8-1024)*SIN(EchelleFPAparam!$AC$3)*EchelleFPAparam!$C$3/EchelleFPAparam!$E$3))</f>
        <v>1070.1982229841658</v>
      </c>
      <c r="EF8" s="26">
        <f>(EchelleFPAparam!$S$3/($U8+E$53)*COS((BD8-EchelleFPAparam!$AE4)*EchelleFPAparam!$C$3/EchelleFPAparam!$E$3))*(SIN('Standard Settings'!$F3)+SIN('Standard Settings'!$F3+EchelleFPAparam!$M$3+EchelleFPAparam!$J$3*EchelleFPAparam!$B$6*COS(EchelleFPAparam!$AC$3)-(BD8-1024)*SIN(EchelleFPAparam!$AC$3)*EchelleFPAparam!$C$3/EchelleFPAparam!$E$3))</f>
        <v>1050.4205601723988</v>
      </c>
      <c r="EG8" s="26">
        <f>(EchelleFPAparam!$S$3/($U8+F$53)*COS((BE8-EchelleFPAparam!$AE4)*EchelleFPAparam!$C$3/EchelleFPAparam!$E$3))*(SIN('Standard Settings'!$F3)+SIN('Standard Settings'!$F3+EchelleFPAparam!$M$3+EchelleFPAparam!$J$3*EchelleFPAparam!$B$6*COS(EchelleFPAparam!$AC$3)-(BE8-1024)*SIN(EchelleFPAparam!$AC$3)*EchelleFPAparam!$C$3/EchelleFPAparam!$E$3))</f>
        <v>1031.3534283545764</v>
      </c>
      <c r="EH8" s="26">
        <f>(EchelleFPAparam!$S$3/($U8+G$53)*COS((BF8-EchelleFPAparam!$AE4)*EchelleFPAparam!$C$3/EchelleFPAparam!$E$3))*(SIN('Standard Settings'!$F3)+SIN('Standard Settings'!$F3+EchelleFPAparam!$M$3+EchelleFPAparam!$J$3*EchelleFPAparam!$B$6*COS(EchelleFPAparam!$AC$3)-(BF8-1024)*SIN(EchelleFPAparam!$AC$3)*EchelleFPAparam!$C$3/EchelleFPAparam!$E$3))</f>
        <v>1012.9596640574669</v>
      </c>
      <c r="EI8" s="26">
        <f>(EchelleFPAparam!$S$3/($U8+H$53)*COS((BG8-EchelleFPAparam!$AE4)*EchelleFPAparam!$C$3/EchelleFPAparam!$E$3))*(SIN('Standard Settings'!$F3)+SIN('Standard Settings'!$F3+EchelleFPAparam!$M$3+EchelleFPAparam!$J$3*EchelleFPAparam!$B$6*COS(EchelleFPAparam!$AC$3)-(BG8-1024)*SIN(EchelleFPAparam!$AC$3)*EchelleFPAparam!$C$3/EchelleFPAparam!$E$3))</f>
        <v>995.20451241148226</v>
      </c>
      <c r="EJ8" s="26">
        <f>(EchelleFPAparam!$S$3/($U8+I$53)*COS((BH8-EchelleFPAparam!$AE4)*EchelleFPAparam!$C$3/EchelleFPAparam!$E$3))*(SIN('Standard Settings'!$F3)+SIN('Standard Settings'!$F3+EchelleFPAparam!$M$3+EchelleFPAparam!$J$3*EchelleFPAparam!$B$6*COS(EchelleFPAparam!$AC$3)-(BH8-1024)*SIN(EchelleFPAparam!$AC$3)*EchelleFPAparam!$C$3/EchelleFPAparam!$E$3))</f>
        <v>978.05574941386499</v>
      </c>
      <c r="EK8" s="26">
        <f>(EchelleFPAparam!$S$3/($U8+J$53)*COS((BI8-EchelleFPAparam!$AE4)*EchelleFPAparam!$C$3/EchelleFPAparam!$E$3))*(SIN('Standard Settings'!$F3)+SIN('Standard Settings'!$F3+EchelleFPAparam!$M$3+EchelleFPAparam!$J$3*EchelleFPAparam!$B$6*COS(EchelleFPAparam!$AC$3)-(BI8-1024)*SIN(EchelleFPAparam!$AC$3)*EchelleFPAparam!$C$3/EchelleFPAparam!$E$3))</f>
        <v>961.48320970084865</v>
      </c>
      <c r="EL8" s="26">
        <f>(EchelleFPAparam!$S$3/($U8+K$53)*COS((BJ8-EchelleFPAparam!$AE4)*EchelleFPAparam!$C$3/EchelleFPAparam!$E$3))*(SIN('Standard Settings'!$F3)+SIN('Standard Settings'!$F3+EchelleFPAparam!$M$3+EchelleFPAparam!$J$3*EchelleFPAparam!$B$6*COS(EchelleFPAparam!$AC$3)-(BJ8-1024)*SIN(EchelleFPAparam!$AC$3)*EchelleFPAparam!$C$3/EchelleFPAparam!$E$3))</f>
        <v>945.15117269926475</v>
      </c>
      <c r="EM8" s="26">
        <f>(EchelleFPAparam!$S$3/($U8+B$53)*COS((BA8-EchelleFPAparam!$AE4)*EchelleFPAparam!$C$3/EchelleFPAparam!$E$3))*(SIN('Standard Settings'!$F3)+SIN('Standard Settings'!$F3+EchelleFPAparam!$M$3+EchelleFPAparam!$K$3*EchelleFPAparam!$B$6*COS(EchelleFPAparam!$AC$3)-(BA8-1024)*SIN(EchelleFPAparam!$AC$3)*EchelleFPAparam!$C$3/EchelleFPAparam!$E$3))</f>
        <v>1118.7964325386617</v>
      </c>
      <c r="EN8" s="26">
        <f>(EchelleFPAparam!$S$3/($U8+C$53)*COS((BB8-EchelleFPAparam!$AE4)*EchelleFPAparam!$C$3/EchelleFPAparam!$E$3))*(SIN('Standard Settings'!$F3)+SIN('Standard Settings'!$F3+EchelleFPAparam!$M$3+EchelleFPAparam!$K$3*EchelleFPAparam!$B$6*COS(EchelleFPAparam!$AC$3)-(BB8-1024)*SIN(EchelleFPAparam!$AC$3)*EchelleFPAparam!$C$3/EchelleFPAparam!$E$3))</f>
        <v>1097.3449771522307</v>
      </c>
      <c r="EO8" s="26">
        <f>(EchelleFPAparam!$S$3/($U8+D$53)*COS((BC8-EchelleFPAparam!$AE4)*EchelleFPAparam!$C$3/EchelleFPAparam!$E$3))*(SIN('Standard Settings'!$F3)+SIN('Standard Settings'!$F3+EchelleFPAparam!$M$3+EchelleFPAparam!$K$3*EchelleFPAparam!$B$6*COS(EchelleFPAparam!$AC$3)-(BC8-1024)*SIN(EchelleFPAparam!$AC$3)*EchelleFPAparam!$C$3/EchelleFPAparam!$E$3))</f>
        <v>1076.6915214848782</v>
      </c>
      <c r="EP8" s="26">
        <f>(EchelleFPAparam!$S$3/($U8+E$53)*COS((BD8-EchelleFPAparam!$AE4)*EchelleFPAparam!$C$3/EchelleFPAparam!$E$3))*(SIN('Standard Settings'!$F3)+SIN('Standard Settings'!$F3+EchelleFPAparam!$M$3+EchelleFPAparam!$K$3*EchelleFPAparam!$B$6*COS(EchelleFPAparam!$AC$3)-(BD8-1024)*SIN(EchelleFPAparam!$AC$3)*EchelleFPAparam!$C$3/EchelleFPAparam!$E$3))</f>
        <v>1056.7929248861533</v>
      </c>
      <c r="EQ8" s="26">
        <f>(EchelleFPAparam!$S$3/($U8+F$53)*COS((BE8-EchelleFPAparam!$AE4)*EchelleFPAparam!$C$3/EchelleFPAparam!$E$3))*(SIN('Standard Settings'!$F3)+SIN('Standard Settings'!$F3+EchelleFPAparam!$M$3+EchelleFPAparam!$K$3*EchelleFPAparam!$B$6*COS(EchelleFPAparam!$AC$3)-(BE8-1024)*SIN(EchelleFPAparam!$AC$3)*EchelleFPAparam!$C$3/EchelleFPAparam!$E$3))</f>
        <v>1037.609240358855</v>
      </c>
      <c r="ER8" s="26">
        <f>(EchelleFPAparam!$S$3/($U8+G$53)*COS((BF8-EchelleFPAparam!$AE4)*EchelleFPAparam!$C$3/EchelleFPAparam!$E$3))*(SIN('Standard Settings'!$F3)+SIN('Standard Settings'!$F3+EchelleFPAparam!$M$3+EchelleFPAparam!$K$3*EchelleFPAparam!$B$6*COS(EchelleFPAparam!$AC$3)-(BF8-1024)*SIN(EchelleFPAparam!$AC$3)*EchelleFPAparam!$C$3/EchelleFPAparam!$E$3))</f>
        <v>1019.1030725071407</v>
      </c>
      <c r="ES8" s="26">
        <f>(EchelleFPAparam!$S$3/($U8+H$53)*COS((BG8-EchelleFPAparam!$AE4)*EchelleFPAparam!$C$3/EchelleFPAparam!$E$3))*(SIN('Standard Settings'!$F3)+SIN('Standard Settings'!$F3+EchelleFPAparam!$M$3+EchelleFPAparam!$K$3*EchelleFPAparam!$B$6*COS(EchelleFPAparam!$AC$3)-(BG8-1024)*SIN(EchelleFPAparam!$AC$3)*EchelleFPAparam!$C$3/EchelleFPAparam!$E$3))</f>
        <v>1001.239454865381</v>
      </c>
      <c r="ET8" s="26">
        <f>(EchelleFPAparam!$S$3/($U8+I$53)*COS((BH8-EchelleFPAparam!$AE4)*EchelleFPAparam!$C$3/EchelleFPAparam!$E$3))*(SIN('Standard Settings'!$F3)+SIN('Standard Settings'!$F3+EchelleFPAparam!$M$3+EchelleFPAparam!$K$3*EchelleFPAparam!$B$6*COS(EchelleFPAparam!$AC$3)-(BH8-1024)*SIN(EchelleFPAparam!$AC$3)*EchelleFPAparam!$C$3/EchelleFPAparam!$E$3))</f>
        <v>983.98595806489129</v>
      </c>
      <c r="EU8" s="26">
        <f>(EchelleFPAparam!$S$3/($U8+J$53)*COS((BI8-EchelleFPAparam!$AE4)*EchelleFPAparam!$C$3/EchelleFPAparam!$E$3))*(SIN('Standard Settings'!$F3)+SIN('Standard Settings'!$F3+EchelleFPAparam!$M$3+EchelleFPAparam!$K$3*EchelleFPAparam!$B$6*COS(EchelleFPAparam!$AC$3)-(BI8-1024)*SIN(EchelleFPAparam!$AC$3)*EchelleFPAparam!$C$3/EchelleFPAparam!$E$3))</f>
        <v>967.31219718094462</v>
      </c>
      <c r="EV8" s="26">
        <f>(EchelleFPAparam!$S$3/($U8+K$53)*COS((BJ8-EchelleFPAparam!$AE4)*EchelleFPAparam!$C$3/EchelleFPAparam!$E$3))*(SIN('Standard Settings'!$F3)+SIN('Standard Settings'!$F3+EchelleFPAparam!$M$3+EchelleFPAparam!$K$3*EchelleFPAparam!$B$6*COS(EchelleFPAparam!$AC$3)-(BJ8-1024)*SIN(EchelleFPAparam!$AC$3)*EchelleFPAparam!$C$3/EchelleFPAparam!$E$3))</f>
        <v>950.88880900891104</v>
      </c>
      <c r="EW8" s="60">
        <f>CW8</f>
        <v>948.02708030074041</v>
      </c>
      <c r="EX8" s="60">
        <f t="shared" si="20"/>
        <v>1118.7964325386617</v>
      </c>
      <c r="EY8" s="90">
        <v>0.39</v>
      </c>
      <c r="EZ8" s="90">
        <v>0.36</v>
      </c>
      <c r="FA8" s="50">
        <v>30000</v>
      </c>
      <c r="FB8" s="50">
        <v>5000</v>
      </c>
      <c r="FC8" s="50">
        <v>5000</v>
      </c>
      <c r="FD8" s="50">
        <v>3750</v>
      </c>
      <c r="FE8" s="95">
        <v>100</v>
      </c>
      <c r="FF8" s="50">
        <v>5000</v>
      </c>
      <c r="FG8" s="50">
        <v>175</v>
      </c>
      <c r="FH8" s="50">
        <f t="shared" ref="FH8:FH35" si="27">FB8/4</f>
        <v>1250</v>
      </c>
      <c r="FI8" s="50">
        <f t="shared" ref="FI8:FI35" si="28">FC8/4</f>
        <v>1250</v>
      </c>
      <c r="FJ8" s="50">
        <f t="shared" ref="FJ8:FJ35" si="29">FD8/4</f>
        <v>937.5</v>
      </c>
      <c r="FK8" s="95">
        <f t="shared" ref="FK8:FK35" si="30">FE8/4</f>
        <v>25</v>
      </c>
      <c r="FL8" s="50">
        <f t="shared" ref="FL8:FL35" si="31">FF8/4</f>
        <v>1250</v>
      </c>
      <c r="FM8" s="50">
        <f t="shared" ref="FM8:FM35" si="32">FG8/4</f>
        <v>43.75</v>
      </c>
      <c r="FN8" s="50">
        <v>500</v>
      </c>
      <c r="FO8" s="91">
        <f>1/(F8*EchelleFPAparam!$Q$3)</f>
        <v>-11876.975269799492</v>
      </c>
      <c r="FP8" s="91">
        <f t="shared" si="22"/>
        <v>-38.201849509759064</v>
      </c>
      <c r="FQ8" s="50">
        <v>-999999</v>
      </c>
      <c r="FR8" s="50">
        <v>-999999</v>
      </c>
      <c r="FS8" s="90">
        <v>1</v>
      </c>
      <c r="FT8" s="90">
        <v>1357.9559999999999</v>
      </c>
      <c r="FU8" s="90">
        <v>1623.3009999999999</v>
      </c>
      <c r="FV8" s="50">
        <v>-999999</v>
      </c>
      <c r="FW8" s="50">
        <v>-999999</v>
      </c>
      <c r="FX8" s="50">
        <v>-999999</v>
      </c>
      <c r="FY8" s="90">
        <v>1</v>
      </c>
      <c r="FZ8" s="90">
        <v>1320.1469999999999</v>
      </c>
      <c r="GA8" s="90">
        <v>552.90599999999995</v>
      </c>
      <c r="GB8" s="50">
        <v>-999999</v>
      </c>
      <c r="GC8" s="50">
        <v>-999999</v>
      </c>
      <c r="GD8" s="50">
        <v>-999999</v>
      </c>
      <c r="GE8" s="90">
        <v>2</v>
      </c>
      <c r="GF8" s="90">
        <v>587.697</v>
      </c>
      <c r="GG8" s="90">
        <v>1208.7149999999999</v>
      </c>
      <c r="GH8" s="50">
        <v>-999999</v>
      </c>
      <c r="GI8" s="50">
        <v>-999999</v>
      </c>
      <c r="GJ8" s="50">
        <v>-999999</v>
      </c>
      <c r="GK8" s="50">
        <v>-999999</v>
      </c>
      <c r="GL8" s="50">
        <v>-999999</v>
      </c>
      <c r="GM8" s="50">
        <v>-999999</v>
      </c>
      <c r="GN8" s="50">
        <v>-999999</v>
      </c>
      <c r="GO8" s="50">
        <v>-999999</v>
      </c>
      <c r="GP8" s="50">
        <v>-999999</v>
      </c>
      <c r="GQ8" s="50">
        <v>-999999</v>
      </c>
      <c r="GR8" s="50">
        <v>-999999</v>
      </c>
      <c r="GS8" s="50">
        <v>-999999</v>
      </c>
      <c r="GT8" s="50">
        <v>-999999</v>
      </c>
      <c r="GU8" s="50">
        <v>-999999</v>
      </c>
      <c r="GV8" s="50">
        <v>-999999</v>
      </c>
      <c r="GW8" s="50">
        <v>-999999</v>
      </c>
      <c r="GX8" s="50">
        <v>-999999</v>
      </c>
      <c r="GY8" s="50">
        <v>-999999</v>
      </c>
      <c r="GZ8" s="50">
        <v>-999999</v>
      </c>
      <c r="HA8" s="50">
        <v>-999999</v>
      </c>
      <c r="HB8" s="50">
        <v>-999999</v>
      </c>
      <c r="HC8" s="50">
        <v>-999999</v>
      </c>
      <c r="HD8" s="50">
        <v>-999999</v>
      </c>
      <c r="HE8" s="50">
        <v>-999999</v>
      </c>
      <c r="HF8" s="50">
        <v>-999999</v>
      </c>
      <c r="HG8" s="50">
        <v>-999999</v>
      </c>
      <c r="HH8" s="50">
        <v>-999999</v>
      </c>
      <c r="HI8" s="50">
        <v>-999999</v>
      </c>
      <c r="HJ8" s="50">
        <v>-999999</v>
      </c>
      <c r="HK8" s="50">
        <v>-999999</v>
      </c>
      <c r="HL8" s="50">
        <v>-999999</v>
      </c>
      <c r="HM8" s="50">
        <v>-999999</v>
      </c>
      <c r="HN8" s="50">
        <v>-999999</v>
      </c>
      <c r="HO8" s="50">
        <v>-999999</v>
      </c>
      <c r="HP8" s="50">
        <v>-999999</v>
      </c>
      <c r="HQ8" s="50">
        <v>-999999</v>
      </c>
      <c r="HR8" s="50">
        <v>-999999</v>
      </c>
      <c r="HS8" s="50">
        <v>-999999</v>
      </c>
      <c r="HT8" s="50">
        <v>-999999</v>
      </c>
      <c r="HU8" s="50">
        <v>-999999</v>
      </c>
      <c r="HV8" s="50">
        <v>-999999</v>
      </c>
      <c r="HW8" s="50">
        <v>-999999</v>
      </c>
      <c r="HX8" s="50">
        <v>-999999</v>
      </c>
      <c r="HY8" s="50"/>
      <c r="HZ8" s="50"/>
      <c r="IA8" s="50"/>
      <c r="IB8" s="50"/>
      <c r="IC8" s="50"/>
      <c r="ID8" s="50"/>
      <c r="IE8" s="50"/>
      <c r="IF8" s="50"/>
      <c r="IG8" s="50"/>
      <c r="IH8" s="50"/>
      <c r="II8" s="50"/>
      <c r="IJ8" s="50"/>
      <c r="IK8" s="50"/>
      <c r="IL8" s="50"/>
      <c r="IM8" s="50"/>
      <c r="IN8" s="50"/>
      <c r="IO8" s="50"/>
      <c r="IP8" s="50"/>
      <c r="IQ8" s="50"/>
      <c r="IR8" s="50"/>
      <c r="IS8" s="50"/>
      <c r="IT8" s="50"/>
      <c r="IU8" s="50"/>
      <c r="IV8" s="50"/>
      <c r="IW8" s="50"/>
      <c r="IX8" s="50"/>
      <c r="IY8" s="50"/>
      <c r="IZ8" s="50"/>
      <c r="JA8" s="50"/>
      <c r="JB8" s="50"/>
      <c r="JC8" s="50"/>
      <c r="JD8" s="50"/>
      <c r="JE8" s="50"/>
      <c r="JF8" s="50"/>
      <c r="JG8" s="50"/>
      <c r="JH8" s="50"/>
      <c r="JI8" s="50"/>
      <c r="JJ8" s="50"/>
      <c r="JK8" s="50"/>
      <c r="JL8" s="50"/>
      <c r="JM8" s="50"/>
      <c r="JN8" s="50"/>
      <c r="JO8" s="50"/>
      <c r="JP8" s="50"/>
      <c r="JQ8" s="50"/>
      <c r="JR8" s="50"/>
      <c r="JS8" s="50"/>
      <c r="JT8" s="50"/>
      <c r="JU8" s="50"/>
      <c r="JV8" s="50"/>
      <c r="JW8" s="52">
        <f t="shared" si="23"/>
        <v>2748.214497143651</v>
      </c>
      <c r="JX8" s="27">
        <f t="shared" si="24"/>
        <v>319491.38848565507</v>
      </c>
      <c r="JY8" s="107">
        <f>JW8*EchelleFPAparam!$Q$3</f>
        <v>-2.6176743085293275E-2</v>
      </c>
      <c r="KA8" s="19"/>
      <c r="KB8" s="19"/>
      <c r="KC8" s="19"/>
      <c r="KD8" s="19"/>
      <c r="KE8" s="19"/>
      <c r="KF8" s="19"/>
      <c r="KG8" s="19"/>
      <c r="KH8" s="19"/>
      <c r="KI8" s="19"/>
      <c r="KJ8" s="19"/>
      <c r="KK8" s="19"/>
      <c r="KL8" s="19"/>
      <c r="KM8" s="19"/>
      <c r="KW8" s="19"/>
      <c r="KX8" s="19"/>
      <c r="KY8" s="19"/>
      <c r="KZ8" s="19"/>
      <c r="LA8" s="19"/>
      <c r="LB8" s="19"/>
      <c r="LC8" s="19"/>
      <c r="LD8" s="19"/>
      <c r="LE8" s="19"/>
      <c r="LF8" s="19"/>
    </row>
    <row r="9" spans="1:318" x14ac:dyDescent="0.2">
      <c r="A9" s="53">
        <f>A8+1</f>
        <v>3</v>
      </c>
      <c r="B9" s="96">
        <f t="shared" si="0"/>
        <v>1232.4899889904257</v>
      </c>
      <c r="C9" s="27" t="str">
        <f>'Standard Settings'!B4</f>
        <v>J/1/3</v>
      </c>
      <c r="D9" s="27">
        <f>'Standard Settings'!H4</f>
        <v>46</v>
      </c>
      <c r="E9" s="19">
        <f t="shared" si="1"/>
        <v>3.7999733106008904E-3</v>
      </c>
      <c r="F9" s="18">
        <f>((EchelleFPAparam!$S$3/('crmcfgWLEN.txt'!$U9+F$53))*(SIN('Standard Settings'!$F4+0.0005)+SIN('Standard Settings'!$F4+0.0005+EchelleFPAparam!$M$3))-(EchelleFPAparam!$S$3/('crmcfgWLEN.txt'!$U9+F$53))*(SIN('Standard Settings'!$F4-0.0005)+SIN('Standard Settings'!$F4-0.0005+EchelleFPAparam!$M$3)))*1000*EchelleFPAparam!$O$3/180</f>
        <v>10.433378477859137</v>
      </c>
      <c r="G9" s="20" t="str">
        <f>'Standard Settings'!C4</f>
        <v>J</v>
      </c>
      <c r="H9" s="46"/>
      <c r="I9" s="59" t="s">
        <v>353</v>
      </c>
      <c r="J9" s="57"/>
      <c r="K9" s="27" t="str">
        <f>'Standard Settings'!$D4</f>
        <v>YJ</v>
      </c>
      <c r="L9" s="46"/>
      <c r="M9" s="12">
        <v>2.5</v>
      </c>
      <c r="N9" s="12">
        <v>2.5</v>
      </c>
      <c r="O9" s="27" t="str">
        <f>'Standard Settings'!$D4</f>
        <v>YJ</v>
      </c>
      <c r="P9" s="46"/>
      <c r="Q9" s="27">
        <f>'Standard Settings'!$E4</f>
        <v>65.728950000000012</v>
      </c>
      <c r="R9" s="106">
        <f>'Standard Settings'!$J4</f>
        <v>490000</v>
      </c>
      <c r="S9" s="21">
        <v>43</v>
      </c>
      <c r="T9" s="21">
        <f>'Standard Settings'!$I4</f>
        <v>50</v>
      </c>
      <c r="U9" s="22">
        <f t="shared" si="25"/>
        <v>42</v>
      </c>
      <c r="V9" s="22">
        <f t="shared" si="26"/>
        <v>51</v>
      </c>
      <c r="W9" s="23">
        <f>IF(AND($U9-$S9+B$53&gt;=0,$U9-$T9+B$53&lt;=0),(EchelleFPAparam!$S$3/('crmcfgWLEN.txt'!$U9+B$53))*(SIN('Standard Settings'!$F4)+SIN('Standard Settings'!$F4+EchelleFPAparam!$M$3)),-1)</f>
        <v>-1</v>
      </c>
      <c r="X9" s="23">
        <f>IF(AND($U9-$S9+C$53&gt;=0,$U9-$T9+C$53&lt;=0),(EchelleFPAparam!$S$3/('crmcfgWLEN.txt'!$U9+C$53))*(SIN('Standard Settings'!$F4)+SIN('Standard Settings'!$F4+EchelleFPAparam!$M$3)),-1)</f>
        <v>1318.4776626409205</v>
      </c>
      <c r="Y9" s="23">
        <f>IF(AND($U9-$S9+D$53&gt;=0,$U9-$T9+D$53&lt;=0),(EchelleFPAparam!$S$3/('crmcfgWLEN.txt'!$U9+D$53))*(SIN('Standard Settings'!$F4)+SIN('Standard Settings'!$F4+EchelleFPAparam!$M$3)),-1)</f>
        <v>1288.5122612172631</v>
      </c>
      <c r="Z9" s="23">
        <f>IF(AND($U9-$S9+E$53&gt;=0,$U9-$T9+E$53&lt;=0),(EchelleFPAparam!$S$3/('crmcfgWLEN.txt'!$U9+E$53))*(SIN('Standard Settings'!$F4)+SIN('Standard Settings'!$F4+EchelleFPAparam!$M$3)),-1)</f>
        <v>1259.8786554124351</v>
      </c>
      <c r="AA9" s="23">
        <f>IF(AND($U9-$S9+F$53&gt;=0,$U9-$T9+F$53&lt;=0),(EchelleFPAparam!$S$3/('crmcfgWLEN.txt'!$U9+F$53))*(SIN('Standard Settings'!$F4)+SIN('Standard Settings'!$F4+EchelleFPAparam!$M$3)),-1)</f>
        <v>1232.4899889904257</v>
      </c>
      <c r="AB9" s="23">
        <f>IF(AND($U9-$S9+G$53&gt;=0,$U9-$T9+G$53&lt;=0),(EchelleFPAparam!$S$3/('crmcfgWLEN.txt'!$U9+G$53))*(SIN('Standard Settings'!$F4)+SIN('Standard Settings'!$F4+EchelleFPAparam!$M$3)),-1)</f>
        <v>1206.2667977353103</v>
      </c>
      <c r="AC9" s="23">
        <f>IF(AND($U9-$S9+H$53&gt;=0,$U9-$T9+H$53&lt;=0),(EchelleFPAparam!$S$3/('crmcfgWLEN.txt'!$U9+H$53))*(SIN('Standard Settings'!$F4)+SIN('Standard Settings'!$F4+EchelleFPAparam!$M$3)),-1)</f>
        <v>1181.136239449158</v>
      </c>
      <c r="AD9" s="23">
        <f>IF(AND($U9-$S9+I$53&gt;=0,$U9-$T9+I$53&lt;=0),(EchelleFPAparam!$S$3/('crmcfgWLEN.txt'!$U9+I$53))*(SIN('Standard Settings'!$F4)+SIN('Standard Settings'!$F4+EchelleFPAparam!$M$3)),-1)</f>
        <v>1157.0314182359098</v>
      </c>
      <c r="AE9" s="23">
        <f>IF(AND($U9-$S9+J$53&gt;=0,$U9-$T9+J$53&lt;=0),(EchelleFPAparam!$S$3/('crmcfgWLEN.txt'!$U9+J$53))*(SIN('Standard Settings'!$F4)+SIN('Standard Settings'!$F4+EchelleFPAparam!$M$3)),-1)</f>
        <v>1133.8907898711916</v>
      </c>
      <c r="AF9" s="23">
        <f>IF(AND($U9-$S9+K$53&gt;=0,$U9-$T9+K$53&lt;=0),(EchelleFPAparam!$S$3/('crmcfgWLEN.txt'!$U9+K$53))*(SIN('Standard Settings'!$F4)+SIN('Standard Settings'!$F4+EchelleFPAparam!$M$3)),-1)</f>
        <v>-1</v>
      </c>
      <c r="AG9" s="112">
        <v>73.481302320832199</v>
      </c>
      <c r="AH9" s="112">
        <v>340.62300570941198</v>
      </c>
      <c r="AI9" s="112">
        <v>596.03259834220103</v>
      </c>
      <c r="AJ9" s="112">
        <v>838.81464149463795</v>
      </c>
      <c r="AK9" s="112">
        <v>1069.6467911500399</v>
      </c>
      <c r="AL9" s="112">
        <v>1293.74851772838</v>
      </c>
      <c r="AM9" s="112">
        <v>1494.8053566548101</v>
      </c>
      <c r="AN9" s="112">
        <v>1697.09721918171</v>
      </c>
      <c r="AO9" s="112">
        <v>1889.2019027158599</v>
      </c>
      <c r="AP9" s="131">
        <v>-100.1</v>
      </c>
      <c r="AQ9" s="112">
        <v>45.945912741173302</v>
      </c>
      <c r="AR9" s="112">
        <v>316.408126561362</v>
      </c>
      <c r="AS9" s="112">
        <v>572.54626787442305</v>
      </c>
      <c r="AT9" s="112">
        <v>816.24853871099594</v>
      </c>
      <c r="AU9" s="112">
        <v>1048.12362050405</v>
      </c>
      <c r="AV9" s="112">
        <v>1269.2187051814101</v>
      </c>
      <c r="AW9" s="112">
        <v>1479.3040295318799</v>
      </c>
      <c r="AX9" s="112">
        <v>1682.37253569263</v>
      </c>
      <c r="AY9" s="112">
        <v>1876.6157060610401</v>
      </c>
      <c r="AZ9" s="130">
        <v>-100.1</v>
      </c>
      <c r="BA9" s="112">
        <v>19.9242271217108</v>
      </c>
      <c r="BB9" s="112">
        <v>293.185829657672</v>
      </c>
      <c r="BC9" s="112">
        <v>551.46148387787503</v>
      </c>
      <c r="BD9" s="112">
        <v>797.42137698371596</v>
      </c>
      <c r="BE9" s="112">
        <v>1031.1343854542899</v>
      </c>
      <c r="BF9" s="112">
        <v>1254.3327545101599</v>
      </c>
      <c r="BG9" s="112">
        <v>1466.79995752952</v>
      </c>
      <c r="BH9" s="112">
        <v>1670.5956156350001</v>
      </c>
      <c r="BI9" s="112">
        <v>1866.3142357975901</v>
      </c>
      <c r="BJ9" s="132">
        <v>-100.1</v>
      </c>
      <c r="BK9" s="24">
        <f>EchelleFPAparam!$S$3/('crmcfgWLEN.txt'!$U9+B$53)*(SIN(EchelleFPAparam!$T$3-EchelleFPAparam!$M$3/2)+SIN('Standard Settings'!$F4+EchelleFPAparam!$M$3))</f>
        <v>1347.8885921009996</v>
      </c>
      <c r="BL9" s="24">
        <f>EchelleFPAparam!$S$3/('crmcfgWLEN.txt'!$U9+C$53)*(SIN(EchelleFPAparam!$T$3-EchelleFPAparam!$M$3/2)+SIN('Standard Settings'!$F4+EchelleFPAparam!$M$3))</f>
        <v>1316.5423457730694</v>
      </c>
      <c r="BM9" s="24">
        <f>EchelleFPAparam!$S$3/('crmcfgWLEN.txt'!$U9+D$53)*(SIN(EchelleFPAparam!$T$3-EchelleFPAparam!$M$3/2)+SIN('Standard Settings'!$F4+EchelleFPAparam!$M$3))</f>
        <v>1286.6209288236817</v>
      </c>
      <c r="BN9" s="24">
        <f>EchelleFPAparam!$S$3/('crmcfgWLEN.txt'!$U9+E$53)*(SIN(EchelleFPAparam!$T$3-EchelleFPAparam!$M$3/2)+SIN('Standard Settings'!$F4+EchelleFPAparam!$M$3))</f>
        <v>1258.0293526275996</v>
      </c>
      <c r="BO9" s="24">
        <f>EchelleFPAparam!$S$3/('crmcfgWLEN.txt'!$U9+F$53)*(SIN(EchelleFPAparam!$T$3-EchelleFPAparam!$M$3/2)+SIN('Standard Settings'!$F4+EchelleFPAparam!$M$3))</f>
        <v>1230.6808884400432</v>
      </c>
      <c r="BP9" s="24">
        <f>EchelleFPAparam!$S$3/('crmcfgWLEN.txt'!$U9+G$53)*(SIN(EchelleFPAparam!$T$3-EchelleFPAparam!$M$3/2)+SIN('Standard Settings'!$F4+EchelleFPAparam!$M$3))</f>
        <v>1204.4961886859999</v>
      </c>
      <c r="BQ9" s="24">
        <f>EchelleFPAparam!$S$3/('crmcfgWLEN.txt'!$U9+H$53)*(SIN(EchelleFPAparam!$T$3-EchelleFPAparam!$M$3/2)+SIN('Standard Settings'!$F4+EchelleFPAparam!$M$3))</f>
        <v>1179.4025180883748</v>
      </c>
      <c r="BR9" s="24">
        <f>EchelleFPAparam!$S$3/('crmcfgWLEN.txt'!$U9+I$53)*(SIN(EchelleFPAparam!$T$3-EchelleFPAparam!$M$3/2)+SIN('Standard Settings'!$F4+EchelleFPAparam!$M$3))</f>
        <v>1155.3330789437139</v>
      </c>
      <c r="BS9" s="24">
        <f>EchelleFPAparam!$S$3/('crmcfgWLEN.txt'!$U9+J$53)*(SIN(EchelleFPAparam!$T$3-EchelleFPAparam!$M$3/2)+SIN('Standard Settings'!$F4+EchelleFPAparam!$M$3))</f>
        <v>1132.2264173648398</v>
      </c>
      <c r="BT9" s="24">
        <f>EchelleFPAparam!$S$3/('crmcfgWLEN.txt'!$U9+K$53)*(SIN(EchelleFPAparam!$T$3-EchelleFPAparam!$M$3/2)+SIN('Standard Settings'!$F4+EchelleFPAparam!$M$3))</f>
        <v>1110.0258993772939</v>
      </c>
      <c r="BU9" s="25">
        <f t="shared" ref="BU9:BU35" si="33">BK9*(($D9+B$53)/($D9+B$53+0.5))</f>
        <v>1333.3951663794835</v>
      </c>
      <c r="BV9" s="25">
        <f t="shared" si="2"/>
        <v>1302.6840052912476</v>
      </c>
      <c r="BW9" s="25">
        <f t="shared" si="3"/>
        <v>1273.3567955368396</v>
      </c>
      <c r="BX9" s="25">
        <f t="shared" si="4"/>
        <v>1245.3219854293411</v>
      </c>
      <c r="BY9" s="25">
        <f t="shared" si="5"/>
        <v>1218.4959291485577</v>
      </c>
      <c r="BZ9" s="25">
        <f t="shared" si="6"/>
        <v>1192.8020509317669</v>
      </c>
      <c r="CA9" s="25">
        <f t="shared" si="7"/>
        <v>1168.1701131541997</v>
      </c>
      <c r="CB9" s="25">
        <f t="shared" si="8"/>
        <v>1144.5355735330249</v>
      </c>
      <c r="CC9" s="25">
        <f t="shared" si="9"/>
        <v>1121.8390190403918</v>
      </c>
      <c r="CD9" s="25">
        <f t="shared" si="10"/>
        <v>1100.0256660495704</v>
      </c>
      <c r="CE9" s="25">
        <f>BK9*(($D9+B$53)/($D9+B$53-0.5))</f>
        <v>1362.70055465156</v>
      </c>
      <c r="CF9" s="25">
        <f t="shared" si="11"/>
        <v>1330.6987150824573</v>
      </c>
      <c r="CG9" s="25">
        <f t="shared" si="12"/>
        <v>1300.1643070218256</v>
      </c>
      <c r="CH9" s="25">
        <f t="shared" si="13"/>
        <v>1270.9987273969562</v>
      </c>
      <c r="CI9" s="25">
        <f t="shared" si="14"/>
        <v>1243.1120085252962</v>
      </c>
      <c r="CJ9" s="25">
        <f t="shared" si="15"/>
        <v>1216.4218935244751</v>
      </c>
      <c r="CK9" s="25">
        <f t="shared" si="16"/>
        <v>1190.8530279727279</v>
      </c>
      <c r="CL9" s="25">
        <f t="shared" si="17"/>
        <v>1166.3362511241301</v>
      </c>
      <c r="CM9" s="25">
        <f t="shared" si="18"/>
        <v>1142.8079726673147</v>
      </c>
      <c r="CN9" s="25">
        <f t="shared" si="19"/>
        <v>1120.2096232247918</v>
      </c>
      <c r="CO9" s="26">
        <f>(EchelleFPAparam!$S$3/($U9+B$53)*COS((AG9-EchelleFPAparam!$AE5)*EchelleFPAparam!$C$3/EchelleFPAparam!$E$3))*(SIN('Standard Settings'!$F4)+SIN('Standard Settings'!$F4+EchelleFPAparam!$M$3+(EchelleFPAparam!$F$3*EchelleFPAparam!$B$6)*COS(EchelleFPAparam!$AC$3)-(AG9-1024)*SIN(EchelleFPAparam!$AC$3)*EchelleFPAparam!$C$3/EchelleFPAparam!$E$3))</f>
        <v>1335.686772672663</v>
      </c>
      <c r="CP9" s="26">
        <f>(EchelleFPAparam!$S$3/($U9+C$53)*COS((AH9-EchelleFPAparam!$AE5)*EchelleFPAparam!$C$3/EchelleFPAparam!$E$3))*(SIN('Standard Settings'!$F4)+SIN('Standard Settings'!$F4+EchelleFPAparam!$M$3+(EchelleFPAparam!$F$3*EchelleFPAparam!$B$6)*COS(EchelleFPAparam!$AC$3)-(AH9-1024)*SIN(EchelleFPAparam!$AC$3)*EchelleFPAparam!$C$3/EchelleFPAparam!$E$3))</f>
        <v>1304.7175537727742</v>
      </c>
      <c r="CQ9" s="26">
        <f>(EchelleFPAparam!$S$3/($U9+D$53)*COS((AI9-EchelleFPAparam!$AE5)*EchelleFPAparam!$C$3/EchelleFPAparam!$E$3))*(SIN('Standard Settings'!$F4)+SIN('Standard Settings'!$F4+EchelleFPAparam!$M$3+(EchelleFPAparam!$F$3*EchelleFPAparam!$B$6)*COS(EchelleFPAparam!$AC$3)-(AI9-1024)*SIN(EchelleFPAparam!$AC$3)*EchelleFPAparam!$C$3/EchelleFPAparam!$E$3))</f>
        <v>1275.1399638195066</v>
      </c>
      <c r="CR9" s="26">
        <f>(EchelleFPAparam!$S$3/($U9+E$53)*COS((AJ9-EchelleFPAparam!$AE5)*EchelleFPAparam!$C$3/EchelleFPAparam!$E$3))*(SIN('Standard Settings'!$F4)+SIN('Standard Settings'!$F4+EchelleFPAparam!$M$3+(EchelleFPAparam!$F$3*EchelleFPAparam!$B$6)*COS(EchelleFPAparam!$AC$3)-(AJ9-1024)*SIN(EchelleFPAparam!$AC$3)*EchelleFPAparam!$C$3/EchelleFPAparam!$E$3))</f>
        <v>1246.862616297017</v>
      </c>
      <c r="CS9" s="26">
        <f>(EchelleFPAparam!$S$3/($U9+F$53)*COS((AK9-EchelleFPAparam!$AE5)*EchelleFPAparam!$C$3/EchelleFPAparam!$E$3))*(SIN('Standard Settings'!$F4)+SIN('Standard Settings'!$F4+EchelleFPAparam!$M$3+(EchelleFPAparam!$F$3*EchelleFPAparam!$B$6)*COS(EchelleFPAparam!$AC$3)-(AK9-1024)*SIN(EchelleFPAparam!$AC$3)*EchelleFPAparam!$C$3/EchelleFPAparam!$E$3))</f>
        <v>1219.8024221448413</v>
      </c>
      <c r="CT9" s="26">
        <f>(EchelleFPAparam!$S$3/($U9+G$53)*COS((AL9-EchelleFPAparam!$AE5)*EchelleFPAparam!$C$3/EchelleFPAparam!$E$3))*(SIN('Standard Settings'!$F4)+SIN('Standard Settings'!$F4+EchelleFPAparam!$M$3+(EchelleFPAparam!$F$3*EchelleFPAparam!$B$6)*COS(EchelleFPAparam!$AC$3)-(AL9-1024)*SIN(EchelleFPAparam!$AC$3)*EchelleFPAparam!$C$3/EchelleFPAparam!$E$3))</f>
        <v>1193.8838001007268</v>
      </c>
      <c r="CU9" s="26">
        <f>(EchelleFPAparam!$S$3/($U9+H$53)*COS((AM9-EchelleFPAparam!$AE5)*EchelleFPAparam!$C$3/EchelleFPAparam!$E$3))*(SIN('Standard Settings'!$F4)+SIN('Standard Settings'!$F4+EchelleFPAparam!$M$3+(EchelleFPAparam!$F$3*EchelleFPAparam!$B$6)*COS(EchelleFPAparam!$AC$3)-(AM9-1024)*SIN(EchelleFPAparam!$AC$3)*EchelleFPAparam!$C$3/EchelleFPAparam!$E$3))</f>
        <v>1169.0345518866325</v>
      </c>
      <c r="CV9" s="26">
        <f>(EchelleFPAparam!$S$3/($U9+I$53)*COS((AN9-EchelleFPAparam!$AE5)*EchelleFPAparam!$C$3/EchelleFPAparam!$E$3))*(SIN('Standard Settings'!$F4)+SIN('Standard Settings'!$F4+EchelleFPAparam!$M$3+(EchelleFPAparam!$F$3*EchelleFPAparam!$B$6)*COS(EchelleFPAparam!$AC$3)-(AN9-1024)*SIN(EchelleFPAparam!$AC$3)*EchelleFPAparam!$C$3/EchelleFPAparam!$E$3))</f>
        <v>1145.1930759936624</v>
      </c>
      <c r="CW9" s="26">
        <f>(EchelleFPAparam!$S$3/($U9+J$53)*COS((AO9-EchelleFPAparam!$AE5)*EchelleFPAparam!$C$3/EchelleFPAparam!$E$3))*(SIN('Standard Settings'!$F4)+SIN('Standard Settings'!$F4+EchelleFPAparam!$M$3+(EchelleFPAparam!$F$3*EchelleFPAparam!$B$6)*COS(EchelleFPAparam!$AC$3)-(AO9-1024)*SIN(EchelleFPAparam!$AC$3)*EchelleFPAparam!$C$3/EchelleFPAparam!$E$3))</f>
        <v>1122.2984238995878</v>
      </c>
      <c r="CX9" s="26">
        <f>(EchelleFPAparam!$S$3/($U9+K$53)*COS((AP9-EchelleFPAparam!$AE5)*EchelleFPAparam!$C$3/EchelleFPAparam!$E$3))*(SIN('Standard Settings'!$F4)+SIN('Standard Settings'!$F4+EchelleFPAparam!$M$3+(EchelleFPAparam!$F$3*EchelleFPAparam!$B$6)*COS(EchelleFPAparam!$AC$3)-(AP9-1024)*SIN(EchelleFPAparam!$AC$3)*EchelleFPAparam!$C$3/EchelleFPAparam!$E$3))</f>
        <v>1099.9202843217522</v>
      </c>
      <c r="CY9" s="26">
        <f>(EchelleFPAparam!$S$3/($U9+B$53)*COS((AG9-EchelleFPAparam!$AE5)*EchelleFPAparam!$C$3/EchelleFPAparam!$E$3))*(SIN('Standard Settings'!$F4)+SIN('Standard Settings'!$F4+EchelleFPAparam!$M$3+EchelleFPAparam!$G$3*EchelleFPAparam!$B$6*COS(EchelleFPAparam!$AC$3)-(AG9-1024)*SIN(EchelleFPAparam!$AC$3)*EchelleFPAparam!$C$3/EchelleFPAparam!$E$3))</f>
        <v>1344.6424250380257</v>
      </c>
      <c r="CZ9" s="26">
        <f>(EchelleFPAparam!$S$3/($U9+C$53)*COS((AH9-EchelleFPAparam!$AE5)*EchelleFPAparam!$C$3/EchelleFPAparam!$E$3))*(SIN('Standard Settings'!$F4)+SIN('Standard Settings'!$F4+EchelleFPAparam!$M$3+EchelleFPAparam!$G$3*EchelleFPAparam!$B$6*COS(EchelleFPAparam!$AC$3)-(AH9-1024)*SIN(EchelleFPAparam!$AC$3)*EchelleFPAparam!$C$3/EchelleFPAparam!$E$3))</f>
        <v>1313.4641754979289</v>
      </c>
      <c r="DA9" s="26">
        <f>(EchelleFPAparam!$S$3/($U9+D$53)*COS((AI9-EchelleFPAparam!$AE5)*EchelleFPAparam!$C$3/EchelleFPAparam!$E$3))*(SIN('Standard Settings'!$F4)+SIN('Standard Settings'!$F4+EchelleFPAparam!$M$3+EchelleFPAparam!$G$3*EchelleFPAparam!$B$6*COS(EchelleFPAparam!$AC$3)-(AI9-1024)*SIN(EchelleFPAparam!$AC$3)*EchelleFPAparam!$C$3/EchelleFPAparam!$E$3))</f>
        <v>1283.6870079136643</v>
      </c>
      <c r="DB9" s="26">
        <f>(EchelleFPAparam!$S$3/($U9+E$53)*COS((AJ9-EchelleFPAparam!$AE5)*EchelleFPAparam!$C$3/EchelleFPAparam!$E$3))*(SIN('Standard Settings'!$F4)+SIN('Standard Settings'!$F4+EchelleFPAparam!$M$3+EchelleFPAparam!$G$3*EchelleFPAparam!$B$6*COS(EchelleFPAparam!$AC$3)-(AJ9-1024)*SIN(EchelleFPAparam!$AC$3)*EchelleFPAparam!$C$3/EchelleFPAparam!$E$3))</f>
        <v>1255.2189193663633</v>
      </c>
      <c r="DC9" s="26">
        <f>(EchelleFPAparam!$S$3/($U9+F$53)*COS((AK9-EchelleFPAparam!$AE5)*EchelleFPAparam!$C$3/EchelleFPAparam!$E$3))*(SIN('Standard Settings'!$F4)+SIN('Standard Settings'!$F4+EchelleFPAparam!$M$3+EchelleFPAparam!$G$3*EchelleFPAparam!$B$6*COS(EchelleFPAparam!$AC$3)-(AK9-1024)*SIN(EchelleFPAparam!$AC$3)*EchelleFPAparam!$C$3/EchelleFPAparam!$E$3))</f>
        <v>1227.9762527104108</v>
      </c>
      <c r="DD9" s="26">
        <f>(EchelleFPAparam!$S$3/($U9+G$53)*COS((AL9-EchelleFPAparam!$AE5)*EchelleFPAparam!$C$3/EchelleFPAparam!$E$3))*(SIN('Standard Settings'!$F4)+SIN('Standard Settings'!$F4+EchelleFPAparam!$M$3+EchelleFPAparam!$G$3*EchelleFPAparam!$B$6*COS(EchelleFPAparam!$AC$3)-(AL9-1024)*SIN(EchelleFPAparam!$AC$3)*EchelleFPAparam!$C$3/EchelleFPAparam!$E$3))</f>
        <v>1201.8828883156102</v>
      </c>
      <c r="DE9" s="26">
        <f>(EchelleFPAparam!$S$3/($U9+H$53)*COS((AM9-EchelleFPAparam!$AE5)*EchelleFPAparam!$C$3/EchelleFPAparam!$E$3))*(SIN('Standard Settings'!$F4)+SIN('Standard Settings'!$F4+EchelleFPAparam!$M$3+EchelleFPAparam!$G$3*EchelleFPAparam!$B$6*COS(EchelleFPAparam!$AC$3)-(AM9-1024)*SIN(EchelleFPAparam!$AC$3)*EchelleFPAparam!$C$3/EchelleFPAparam!$E$3))</f>
        <v>1176.8662148785538</v>
      </c>
      <c r="DF9" s="26">
        <f>(EchelleFPAparam!$S$3/($U9+I$53)*COS((AN9-EchelleFPAparam!$AE5)*EchelleFPAparam!$C$3/EchelleFPAparam!$E$3))*(SIN('Standard Settings'!$F4)+SIN('Standard Settings'!$F4+EchelleFPAparam!$M$3+EchelleFPAparam!$G$3*EchelleFPAparam!$B$6*COS(EchelleFPAparam!$AC$3)-(AN9-1024)*SIN(EchelleFPAparam!$AC$3)*EchelleFPAparam!$C$3/EchelleFPAparam!$E$3))</f>
        <v>1152.8640983814803</v>
      </c>
      <c r="DG9" s="26">
        <f>(EchelleFPAparam!$S$3/($U9+J$53)*COS((AO9-EchelleFPAparam!$AE5)*EchelleFPAparam!$C$3/EchelleFPAparam!$E$3))*(SIN('Standard Settings'!$F4)+SIN('Standard Settings'!$F4+EchelleFPAparam!$M$3+EchelleFPAparam!$G$3*EchelleFPAparam!$B$6*COS(EchelleFPAparam!$AC$3)-(AO9-1024)*SIN(EchelleFPAparam!$AC$3)*EchelleFPAparam!$C$3/EchelleFPAparam!$E$3))</f>
        <v>1129.8152309415934</v>
      </c>
      <c r="DH9" s="26">
        <f>(EchelleFPAparam!$S$3/($U9+K$53)*COS((AP9-EchelleFPAparam!$AE5)*EchelleFPAparam!$C$3/EchelleFPAparam!$E$3))*(SIN('Standard Settings'!$F4)+SIN('Standard Settings'!$F4+EchelleFPAparam!$M$3+EchelleFPAparam!$G$3*EchelleFPAparam!$B$6*COS(EchelleFPAparam!$AC$3)-(AP9-1024)*SIN(EchelleFPAparam!$AC$3)*EchelleFPAparam!$C$3/EchelleFPAparam!$E$3))</f>
        <v>1107.2959035586257</v>
      </c>
      <c r="DI9" s="26">
        <f>(EchelleFPAparam!$S$3/($U9+B$53)*COS((AQ9-EchelleFPAparam!$AE5)*EchelleFPAparam!$C$3/EchelleFPAparam!$E$3))*(SIN('Standard Settings'!$F4)+SIN('Standard Settings'!$F4+EchelleFPAparam!$M$3+EchelleFPAparam!$H$3*EchelleFPAparam!$B$6*COS(EchelleFPAparam!$AC$3)-(AQ9-1024)*SIN(EchelleFPAparam!$AC$3)*EchelleFPAparam!$C$3/EchelleFPAparam!$E$3))</f>
        <v>1345.2472972942717</v>
      </c>
      <c r="DJ9" s="26">
        <f>(EchelleFPAparam!$S$3/($U9+C$53)*COS((AR9-EchelleFPAparam!$AE5)*EchelleFPAparam!$C$3/EchelleFPAparam!$E$3))*(SIN('Standard Settings'!$F4)+SIN('Standard Settings'!$F4+EchelleFPAparam!$M$3+EchelleFPAparam!$H$3*EchelleFPAparam!$B$6*COS(EchelleFPAparam!$AC$3)-(AR9-1024)*SIN(EchelleFPAparam!$AC$3)*EchelleFPAparam!$C$3/EchelleFPAparam!$E$3))</f>
        <v>1314.0573786238103</v>
      </c>
      <c r="DK9" s="26">
        <f>(EchelleFPAparam!$S$3/($U9+D$53)*COS((AS9-EchelleFPAparam!$AE5)*EchelleFPAparam!$C$3/EchelleFPAparam!$E$3))*(SIN('Standard Settings'!$F4)+SIN('Standard Settings'!$F4+EchelleFPAparam!$M$3+EchelleFPAparam!$H$3*EchelleFPAparam!$B$6*COS(EchelleFPAparam!$AC$3)-(AS9-1024)*SIN(EchelleFPAparam!$AC$3)*EchelleFPAparam!$C$3/EchelleFPAparam!$E$3))</f>
        <v>1284.267996125978</v>
      </c>
      <c r="DL9" s="26">
        <f>(EchelleFPAparam!$S$3/($U9+E$53)*COS((AT9-EchelleFPAparam!$AE5)*EchelleFPAparam!$C$3/EchelleFPAparam!$E$3))*(SIN('Standard Settings'!$F4)+SIN('Standard Settings'!$F4+EchelleFPAparam!$M$3+EchelleFPAparam!$H$3*EchelleFPAparam!$B$6*COS(EchelleFPAparam!$AC$3)-(AT9-1024)*SIN(EchelleFPAparam!$AC$3)*EchelleFPAparam!$C$3/EchelleFPAparam!$E$3))</f>
        <v>1255.7881585807572</v>
      </c>
      <c r="DM9" s="26">
        <f>(EchelleFPAparam!$S$3/($U9+F$53)*COS((AU9-EchelleFPAparam!$AE5)*EchelleFPAparam!$C$3/EchelleFPAparam!$E$3))*(SIN('Standard Settings'!$F4)+SIN('Standard Settings'!$F4+EchelleFPAparam!$M$3+EchelleFPAparam!$H$3*EchelleFPAparam!$B$6*COS(EchelleFPAparam!$AC$3)-(AU9-1024)*SIN(EchelleFPAparam!$AC$3)*EchelleFPAparam!$C$3/EchelleFPAparam!$E$3))</f>
        <v>1228.5341509732011</v>
      </c>
      <c r="DN9" s="26">
        <f>(EchelleFPAparam!$S$3/($U9+G$53)*COS((AV9-EchelleFPAparam!$AE5)*EchelleFPAparam!$C$3/EchelleFPAparam!$E$3))*(SIN('Standard Settings'!$F4)+SIN('Standard Settings'!$F4+EchelleFPAparam!$M$3+EchelleFPAparam!$H$3*EchelleFPAparam!$B$6*COS(EchelleFPAparam!$AC$3)-(AV9-1024)*SIN(EchelleFPAparam!$AC$3)*EchelleFPAparam!$C$3/EchelleFPAparam!$E$3))</f>
        <v>1202.4292724970344</v>
      </c>
      <c r="DO9" s="26">
        <f>(EchelleFPAparam!$S$3/($U9+H$53)*COS((AW9-EchelleFPAparam!$AE5)*EchelleFPAparam!$C$3/EchelleFPAparam!$E$3))*(SIN('Standard Settings'!$F4)+SIN('Standard Settings'!$F4+EchelleFPAparam!$M$3+EchelleFPAparam!$H$3*EchelleFPAparam!$B$6*COS(EchelleFPAparam!$AC$3)-(AW9-1024)*SIN(EchelleFPAparam!$AC$3)*EchelleFPAparam!$C$3/EchelleFPAparam!$E$3))</f>
        <v>1177.4028729803028</v>
      </c>
      <c r="DP9" s="26">
        <f>(EchelleFPAparam!$S$3/($U9+I$53)*COS((AX9-EchelleFPAparam!$AE5)*EchelleFPAparam!$C$3/EchelleFPAparam!$E$3))*(SIN('Standard Settings'!$F4)+SIN('Standard Settings'!$F4+EchelleFPAparam!$M$3+EchelleFPAparam!$H$3*EchelleFPAparam!$B$6*COS(EchelleFPAparam!$AC$3)-(AX9-1024)*SIN(EchelleFPAparam!$AC$3)*EchelleFPAparam!$C$3/EchelleFPAparam!$E$3))</f>
        <v>1153.390308148061</v>
      </c>
      <c r="DQ9" s="26">
        <f>(EchelleFPAparam!$S$3/($U9+J$53)*COS((AY9-EchelleFPAparam!$AE5)*EchelleFPAparam!$C$3/EchelleFPAparam!$E$3))*(SIN('Standard Settings'!$F4)+SIN('Standard Settings'!$F4+EchelleFPAparam!$M$3+EchelleFPAparam!$H$3*EchelleFPAparam!$B$6*COS(EchelleFPAparam!$AC$3)-(AY9-1024)*SIN(EchelleFPAparam!$AC$3)*EchelleFPAparam!$C$3/EchelleFPAparam!$E$3))</f>
        <v>1130.3313783561537</v>
      </c>
      <c r="DR9" s="26">
        <f>(EchelleFPAparam!$S$3/($U9+K$53)*COS((AZ9-EchelleFPAparam!$AE5)*EchelleFPAparam!$C$3/EchelleFPAparam!$E$3))*(SIN('Standard Settings'!$F4)+SIN('Standard Settings'!$F4+EchelleFPAparam!$M$3+EchelleFPAparam!$H$3*EchelleFPAparam!$B$6*COS(EchelleFPAparam!$AC$3)-(AZ9-1024)*SIN(EchelleFPAparam!$AC$3)*EchelleFPAparam!$C$3/EchelleFPAparam!$E$3))</f>
        <v>1107.8027323850126</v>
      </c>
      <c r="DS9" s="26">
        <f>(EchelleFPAparam!$S$3/($U9+B$53)*COS((AQ9-EchelleFPAparam!$AE5)*EchelleFPAparam!$C$3/EchelleFPAparam!$E$3))*(SIN('Standard Settings'!$F4)+SIN('Standard Settings'!$F4+EchelleFPAparam!$M$3+EchelleFPAparam!$I$3*EchelleFPAparam!$B$6*COS(EchelleFPAparam!$AC$3)-(AQ9-1024)*SIN(EchelleFPAparam!$AC$3)*EchelleFPAparam!$C$3/EchelleFPAparam!$E$3))</f>
        <v>1353.774295099498</v>
      </c>
      <c r="DT9" s="26">
        <f>(EchelleFPAparam!$S$3/($U9+C$53)*COS((AR9-EchelleFPAparam!$AE5)*EchelleFPAparam!$C$3/EchelleFPAparam!$E$3))*(SIN('Standard Settings'!$F4)+SIN('Standard Settings'!$F4+EchelleFPAparam!$M$3+EchelleFPAparam!$I$3*EchelleFPAparam!$B$6*COS(EchelleFPAparam!$AC$3)-(AR9-1024)*SIN(EchelleFPAparam!$AC$3)*EchelleFPAparam!$C$3/EchelleFPAparam!$E$3))</f>
        <v>1322.3852746801863</v>
      </c>
      <c r="DU9" s="26">
        <f>(EchelleFPAparam!$S$3/($U9+D$53)*COS((AS9-EchelleFPAparam!$AE5)*EchelleFPAparam!$C$3/EchelleFPAparam!$E$3))*(SIN('Standard Settings'!$F4)+SIN('Standard Settings'!$F4+EchelleFPAparam!$M$3+EchelleFPAparam!$I$3*EchelleFPAparam!$B$6*COS(EchelleFPAparam!$AC$3)-(AS9-1024)*SIN(EchelleFPAparam!$AC$3)*EchelleFPAparam!$C$3/EchelleFPAparam!$E$3))</f>
        <v>1292.4058039543224</v>
      </c>
      <c r="DV9" s="26">
        <f>(EchelleFPAparam!$S$3/($U9+E$53)*COS((AT9-EchelleFPAparam!$AE5)*EchelleFPAparam!$C$3/EchelleFPAparam!$E$3))*(SIN('Standard Settings'!$F4)+SIN('Standard Settings'!$F4+EchelleFPAparam!$M$3+EchelleFPAparam!$I$3*EchelleFPAparam!$B$6*COS(EchelleFPAparam!$AC$3)-(AT9-1024)*SIN(EchelleFPAparam!$AC$3)*EchelleFPAparam!$C$3/EchelleFPAparam!$E$3))</f>
        <v>1263.7442965776058</v>
      </c>
      <c r="DW9" s="26">
        <f>(EchelleFPAparam!$S$3/($U9+F$53)*COS((AU9-EchelleFPAparam!$AE5)*EchelleFPAparam!$C$3/EchelleFPAparam!$E$3))*(SIN('Standard Settings'!$F4)+SIN('Standard Settings'!$F4+EchelleFPAparam!$M$3+EchelleFPAparam!$I$3*EchelleFPAparam!$B$6*COS(EchelleFPAparam!$AC$3)-(AU9-1024)*SIN(EchelleFPAparam!$AC$3)*EchelleFPAparam!$C$3/EchelleFPAparam!$E$3))</f>
        <v>1236.3164963133117</v>
      </c>
      <c r="DX9" s="26">
        <f>(EchelleFPAparam!$S$3/($U9+G$53)*COS((AV9-EchelleFPAparam!$AE5)*EchelleFPAparam!$C$3/EchelleFPAparam!$E$3))*(SIN('Standard Settings'!$F4)+SIN('Standard Settings'!$F4+EchelleFPAparam!$M$3+EchelleFPAparam!$I$3*EchelleFPAparam!$B$6*COS(EchelleFPAparam!$AC$3)-(AV9-1024)*SIN(EchelleFPAparam!$AC$3)*EchelleFPAparam!$C$3/EchelleFPAparam!$E$3))</f>
        <v>1210.0452044070207</v>
      </c>
      <c r="DY9" s="26">
        <f>(EchelleFPAparam!$S$3/($U9+H$53)*COS((AW9-EchelleFPAparam!$AE5)*EchelleFPAparam!$C$3/EchelleFPAparam!$E$3))*(SIN('Standard Settings'!$F4)+SIN('Standard Settings'!$F4+EchelleFPAparam!$M$3+EchelleFPAparam!$I$3*EchelleFPAparam!$B$6*COS(EchelleFPAparam!$AC$3)-(AW9-1024)*SIN(EchelleFPAparam!$AC$3)*EchelleFPAparam!$C$3/EchelleFPAparam!$E$3))</f>
        <v>1184.8593179921688</v>
      </c>
      <c r="DZ9" s="26">
        <f>(EchelleFPAparam!$S$3/($U9+I$53)*COS((AX9-EchelleFPAparam!$AE5)*EchelleFPAparam!$C$3/EchelleFPAparam!$E$3))*(SIN('Standard Settings'!$F4)+SIN('Standard Settings'!$F4+EchelleFPAparam!$M$3+EchelleFPAparam!$I$3*EchelleFPAparam!$B$6*COS(EchelleFPAparam!$AC$3)-(AX9-1024)*SIN(EchelleFPAparam!$AC$3)*EchelleFPAparam!$C$3/EchelleFPAparam!$E$3))</f>
        <v>1160.6937593610862</v>
      </c>
      <c r="EA9" s="26">
        <f>(EchelleFPAparam!$S$3/($U9+J$53)*COS((AY9-EchelleFPAparam!$AE5)*EchelleFPAparam!$C$3/EchelleFPAparam!$E$3))*(SIN('Standard Settings'!$F4)+SIN('Standard Settings'!$F4+EchelleFPAparam!$M$3+EchelleFPAparam!$I$3*EchelleFPAparam!$B$6*COS(EchelleFPAparam!$AC$3)-(AY9-1024)*SIN(EchelleFPAparam!$AC$3)*EchelleFPAparam!$C$3/EchelleFPAparam!$E$3))</f>
        <v>1137.4879513502417</v>
      </c>
      <c r="EB9" s="26">
        <f>(EchelleFPAparam!$S$3/($U9+K$53)*COS((AZ9-EchelleFPAparam!$AE5)*EchelleFPAparam!$C$3/EchelleFPAparam!$E$3))*(SIN('Standard Settings'!$F4)+SIN('Standard Settings'!$F4+EchelleFPAparam!$M$3+EchelleFPAparam!$I$3*EchelleFPAparam!$B$6*COS(EchelleFPAparam!$AC$3)-(AZ9-1024)*SIN(EchelleFPAparam!$AC$3)*EchelleFPAparam!$C$3/EchelleFPAparam!$E$3))</f>
        <v>1114.8252995245091</v>
      </c>
      <c r="EC9" s="26">
        <f>(EchelleFPAparam!$S$3/($U9+B$53)*COS((BA9-EchelleFPAparam!$AE5)*EchelleFPAparam!$C$3/EchelleFPAparam!$E$3))*(SIN('Standard Settings'!$F4)+SIN('Standard Settings'!$F4+EchelleFPAparam!$M$3+EchelleFPAparam!$J$3*EchelleFPAparam!$B$6*COS(EchelleFPAparam!$AC$3)-(BA9-1024)*SIN(EchelleFPAparam!$AC$3)*EchelleFPAparam!$C$3/EchelleFPAparam!$E$3))</f>
        <v>1354.3661846842936</v>
      </c>
      <c r="ED9" s="26">
        <f>(EchelleFPAparam!$S$3/($U9+C$53)*COS((BB9-EchelleFPAparam!$AE5)*EchelleFPAparam!$C$3/EchelleFPAparam!$E$3))*(SIN('Standard Settings'!$F4)+SIN('Standard Settings'!$F4+EchelleFPAparam!$M$3+EchelleFPAparam!$J$3*EchelleFPAparam!$B$6*COS(EchelleFPAparam!$AC$3)-(BB9-1024)*SIN(EchelleFPAparam!$AC$3)*EchelleFPAparam!$C$3/EchelleFPAparam!$E$3))</f>
        <v>1322.9655750517552</v>
      </c>
      <c r="EE9" s="26">
        <f>(EchelleFPAparam!$S$3/($U9+D$53)*COS((BC9-EchelleFPAparam!$AE5)*EchelleFPAparam!$C$3/EchelleFPAparam!$E$3))*(SIN('Standard Settings'!$F4)+SIN('Standard Settings'!$F4+EchelleFPAparam!$M$3+EchelleFPAparam!$J$3*EchelleFPAparam!$B$6*COS(EchelleFPAparam!$AC$3)-(BC9-1024)*SIN(EchelleFPAparam!$AC$3)*EchelleFPAparam!$C$3/EchelleFPAparam!$E$3))</f>
        <v>1292.9745270814644</v>
      </c>
      <c r="EF9" s="26">
        <f>(EchelleFPAparam!$S$3/($U9+E$53)*COS((BD9-EchelleFPAparam!$AE5)*EchelleFPAparam!$C$3/EchelleFPAparam!$E$3))*(SIN('Standard Settings'!$F4)+SIN('Standard Settings'!$F4+EchelleFPAparam!$M$3+EchelleFPAparam!$J$3*EchelleFPAparam!$B$6*COS(EchelleFPAparam!$AC$3)-(BD9-1024)*SIN(EchelleFPAparam!$AC$3)*EchelleFPAparam!$C$3/EchelleFPAparam!$E$3))</f>
        <v>1264.3017424802172</v>
      </c>
      <c r="EG9" s="26">
        <f>(EchelleFPAparam!$S$3/($U9+F$53)*COS((BE9-EchelleFPAparam!$AE5)*EchelleFPAparam!$C$3/EchelleFPAparam!$E$3))*(SIN('Standard Settings'!$F4)+SIN('Standard Settings'!$F4+EchelleFPAparam!$M$3+EchelleFPAparam!$J$3*EchelleFPAparam!$B$6*COS(EchelleFPAparam!$AC$3)-(BE9-1024)*SIN(EchelleFPAparam!$AC$3)*EchelleFPAparam!$C$3/EchelleFPAparam!$E$3))</f>
        <v>1236.8628519331705</v>
      </c>
      <c r="EH9" s="26">
        <f>(EchelleFPAparam!$S$3/($U9+G$53)*COS((BF9-EchelleFPAparam!$AE5)*EchelleFPAparam!$C$3/EchelleFPAparam!$E$3))*(SIN('Standard Settings'!$F4)+SIN('Standard Settings'!$F4+EchelleFPAparam!$M$3+EchelleFPAparam!$J$3*EchelleFPAparam!$B$6*COS(EchelleFPAparam!$AC$3)-(BF9-1024)*SIN(EchelleFPAparam!$AC$3)*EchelleFPAparam!$C$3/EchelleFPAparam!$E$3))</f>
        <v>1210.5808013678961</v>
      </c>
      <c r="EI9" s="26">
        <f>(EchelleFPAparam!$S$3/($U9+H$53)*COS((BG9-EchelleFPAparam!$AE5)*EchelleFPAparam!$C$3/EchelleFPAparam!$E$3))*(SIN('Standard Settings'!$F4)+SIN('Standard Settings'!$F4+EchelleFPAparam!$M$3+EchelleFPAparam!$J$3*EchelleFPAparam!$B$6*COS(EchelleFPAparam!$AC$3)-(BG9-1024)*SIN(EchelleFPAparam!$AC$3)*EchelleFPAparam!$C$3/EchelleFPAparam!$E$3))</f>
        <v>1185.3844501251667</v>
      </c>
      <c r="EJ9" s="26">
        <f>(EchelleFPAparam!$S$3/($U9+I$53)*COS((BH9-EchelleFPAparam!$AE5)*EchelleFPAparam!$C$3/EchelleFPAparam!$E$3))*(SIN('Standard Settings'!$F4)+SIN('Standard Settings'!$F4+EchelleFPAparam!$M$3+EchelleFPAparam!$J$3*EchelleFPAparam!$B$6*COS(EchelleFPAparam!$AC$3)-(BH9-1024)*SIN(EchelleFPAparam!$AC$3)*EchelleFPAparam!$C$3/EchelleFPAparam!$E$3))</f>
        <v>1161.2085762953702</v>
      </c>
      <c r="EK9" s="26">
        <f>(EchelleFPAparam!$S$3/($U9+J$53)*COS((BI9-EchelleFPAparam!$AE5)*EchelleFPAparam!$C$3/EchelleFPAparam!$E$3))*(SIN('Standard Settings'!$F4)+SIN('Standard Settings'!$F4+EchelleFPAparam!$M$3+EchelleFPAparam!$J$3*EchelleFPAparam!$B$6*COS(EchelleFPAparam!$AC$3)-(BI9-1024)*SIN(EchelleFPAparam!$AC$3)*EchelleFPAparam!$C$3/EchelleFPAparam!$E$3))</f>
        <v>1137.9928224479634</v>
      </c>
      <c r="EL9" s="26">
        <f>(EchelleFPAparam!$S$3/($U9+K$53)*COS((BJ9-EchelleFPAparam!$AE5)*EchelleFPAparam!$C$3/EchelleFPAparam!$E$3))*(SIN('Standard Settings'!$F4)+SIN('Standard Settings'!$F4+EchelleFPAparam!$M$3+EchelleFPAparam!$J$3*EchelleFPAparam!$B$6*COS(EchelleFPAparam!$AC$3)-(BJ9-1024)*SIN(EchelleFPAparam!$AC$3)*EchelleFPAparam!$C$3/EchelleFPAparam!$E$3))</f>
        <v>1115.3210014889805</v>
      </c>
      <c r="EM9" s="26">
        <f>(EchelleFPAparam!$S$3/($U9+B$53)*COS((BA9-EchelleFPAparam!$AE5)*EchelleFPAparam!$C$3/EchelleFPAparam!$E$3))*(SIN('Standard Settings'!$F4)+SIN('Standard Settings'!$F4+EchelleFPAparam!$M$3+EchelleFPAparam!$K$3*EchelleFPAparam!$B$6*COS(EchelleFPAparam!$AC$3)-(BA9-1024)*SIN(EchelleFPAparam!$AC$3)*EchelleFPAparam!$C$3/EchelleFPAparam!$E$3))</f>
        <v>1362.4577790129256</v>
      </c>
      <c r="EN9" s="26">
        <f>(EchelleFPAparam!$S$3/($U9+C$53)*COS((BB9-EchelleFPAparam!$AE5)*EchelleFPAparam!$C$3/EchelleFPAparam!$E$3))*(SIN('Standard Settings'!$F4)+SIN('Standard Settings'!$F4+EchelleFPAparam!$M$3+EchelleFPAparam!$K$3*EchelleFPAparam!$B$6*COS(EchelleFPAparam!$AC$3)-(BB9-1024)*SIN(EchelleFPAparam!$AC$3)*EchelleFPAparam!$C$3/EchelleFPAparam!$E$3))</f>
        <v>1330.8681535847945</v>
      </c>
      <c r="EO9" s="26">
        <f>(EchelleFPAparam!$S$3/($U9+D$53)*COS((BC9-EchelleFPAparam!$AE5)*EchelleFPAparam!$C$3/EchelleFPAparam!$E$3))*(SIN('Standard Settings'!$F4)+SIN('Standard Settings'!$F4+EchelleFPAparam!$M$3+EchelleFPAparam!$K$3*EchelleFPAparam!$B$6*COS(EchelleFPAparam!$AC$3)-(BC9-1024)*SIN(EchelleFPAparam!$AC$3)*EchelleFPAparam!$C$3/EchelleFPAparam!$E$3))</f>
        <v>1300.6966511391729</v>
      </c>
      <c r="EP9" s="26">
        <f>(EchelleFPAparam!$S$3/($U9+E$53)*COS((BD9-EchelleFPAparam!$AE5)*EchelleFPAparam!$C$3/EchelleFPAparam!$E$3))*(SIN('Standard Settings'!$F4)+SIN('Standard Settings'!$F4+EchelleFPAparam!$M$3+EchelleFPAparam!$K$3*EchelleFPAparam!$B$6*COS(EchelleFPAparam!$AC$3)-(BD9-1024)*SIN(EchelleFPAparam!$AC$3)*EchelleFPAparam!$C$3/EchelleFPAparam!$E$3))</f>
        <v>1271.8514054405734</v>
      </c>
      <c r="EQ9" s="26">
        <f>(EchelleFPAparam!$S$3/($U9+F$53)*COS((BE9-EchelleFPAparam!$AE5)*EchelleFPAparam!$C$3/EchelleFPAparam!$E$3))*(SIN('Standard Settings'!$F4)+SIN('Standard Settings'!$F4+EchelleFPAparam!$M$3+EchelleFPAparam!$K$3*EchelleFPAparam!$B$6*COS(EchelleFPAparam!$AC$3)-(BE9-1024)*SIN(EchelleFPAparam!$AC$3)*EchelleFPAparam!$C$3/EchelleFPAparam!$E$3))</f>
        <v>1244.2475351590142</v>
      </c>
      <c r="ER9" s="26">
        <f>(EchelleFPAparam!$S$3/($U9+G$53)*COS((BF9-EchelleFPAparam!$AE5)*EchelleFPAparam!$C$3/EchelleFPAparam!$E$3))*(SIN('Standard Settings'!$F4)+SIN('Standard Settings'!$F4+EchelleFPAparam!$M$3+EchelleFPAparam!$K$3*EchelleFPAparam!$B$6*COS(EchelleFPAparam!$AC$3)-(BF9-1024)*SIN(EchelleFPAparam!$AC$3)*EchelleFPAparam!$C$3/EchelleFPAparam!$E$3))</f>
        <v>1217.8075107010061</v>
      </c>
      <c r="ES9" s="26">
        <f>(EchelleFPAparam!$S$3/($U9+H$53)*COS((BG9-EchelleFPAparam!$AE5)*EchelleFPAparam!$C$3/EchelleFPAparam!$E$3))*(SIN('Standard Settings'!$F4)+SIN('Standard Settings'!$F4+EchelleFPAparam!$M$3+EchelleFPAparam!$K$3*EchelleFPAparam!$B$6*COS(EchelleFPAparam!$AC$3)-(BG9-1024)*SIN(EchelleFPAparam!$AC$3)*EchelleFPAparam!$C$3/EchelleFPAparam!$E$3))</f>
        <v>1192.4597615102443</v>
      </c>
      <c r="ET9" s="26">
        <f>(EchelleFPAparam!$S$3/($U9+I$53)*COS((BH9-EchelleFPAparam!$AE5)*EchelleFPAparam!$C$3/EchelleFPAparam!$E$3))*(SIN('Standard Settings'!$F4)+SIN('Standard Settings'!$F4+EchelleFPAparam!$M$3+EchelleFPAparam!$K$3*EchelleFPAparam!$B$6*COS(EchelleFPAparam!$AC$3)-(BH9-1024)*SIN(EchelleFPAparam!$AC$3)*EchelleFPAparam!$C$3/EchelleFPAparam!$E$3))</f>
        <v>1168.1386611926114</v>
      </c>
      <c r="EU9" s="26">
        <f>(EchelleFPAparam!$S$3/($U9+J$53)*COS((BI9-EchelleFPAparam!$AE5)*EchelleFPAparam!$C$3/EchelleFPAparam!$E$3))*(SIN('Standard Settings'!$F4)+SIN('Standard Settings'!$F4+EchelleFPAparam!$M$3+EchelleFPAparam!$K$3*EchelleFPAparam!$B$6*COS(EchelleFPAparam!$AC$3)-(BI9-1024)*SIN(EchelleFPAparam!$AC$3)*EchelleFPAparam!$C$3/EchelleFPAparam!$E$3))</f>
        <v>1144.7834846004473</v>
      </c>
      <c r="EV9" s="26">
        <f>(EchelleFPAparam!$S$3/($U9+K$53)*COS((BJ9-EchelleFPAparam!$AE5)*EchelleFPAparam!$C$3/EchelleFPAparam!$E$3))*(SIN('Standard Settings'!$F4)+SIN('Standard Settings'!$F4+EchelleFPAparam!$M$3+EchelleFPAparam!$K$3*EchelleFPAparam!$B$6*COS(EchelleFPAparam!$AC$3)-(BJ9-1024)*SIN(EchelleFPAparam!$AC$3)*EchelleFPAparam!$C$3/EchelleFPAparam!$E$3))</f>
        <v>1121.9849558411754</v>
      </c>
      <c r="EW9" s="60">
        <f>CW9</f>
        <v>1122.2984238995878</v>
      </c>
      <c r="EX9" s="60">
        <f t="shared" si="20"/>
        <v>1362.4577790129256</v>
      </c>
      <c r="EY9" s="90">
        <v>0.39</v>
      </c>
      <c r="EZ9" s="90">
        <v>0.36</v>
      </c>
      <c r="FA9" s="50">
        <v>30000</v>
      </c>
      <c r="FB9" s="50">
        <v>5000</v>
      </c>
      <c r="FC9" s="50">
        <v>5000</v>
      </c>
      <c r="FD9" s="50">
        <v>5750</v>
      </c>
      <c r="FE9" s="95">
        <v>100</v>
      </c>
      <c r="FF9" s="50">
        <v>5000</v>
      </c>
      <c r="FG9" s="50">
        <v>225</v>
      </c>
      <c r="FH9" s="50">
        <f t="shared" si="27"/>
        <v>1250</v>
      </c>
      <c r="FI9" s="50">
        <f t="shared" si="28"/>
        <v>1250</v>
      </c>
      <c r="FJ9" s="50">
        <f t="shared" si="29"/>
        <v>1437.5</v>
      </c>
      <c r="FK9" s="95">
        <f t="shared" si="30"/>
        <v>25</v>
      </c>
      <c r="FL9" s="50">
        <f t="shared" si="31"/>
        <v>1250</v>
      </c>
      <c r="FM9" s="50">
        <f t="shared" si="32"/>
        <v>56.25</v>
      </c>
      <c r="FN9" s="50">
        <v>500</v>
      </c>
      <c r="FO9" s="91">
        <f>1/(F9*EchelleFPAparam!$Q$3)</f>
        <v>-10062.59639322148</v>
      </c>
      <c r="FP9" s="91">
        <f t="shared" si="22"/>
        <v>-38.237597729590405</v>
      </c>
      <c r="FQ9" s="50">
        <v>-999999</v>
      </c>
      <c r="FR9" s="50">
        <v>-999999</v>
      </c>
      <c r="FS9" s="90">
        <v>1</v>
      </c>
      <c r="FT9" s="90">
        <v>512.91600000000005</v>
      </c>
      <c r="FU9" s="90">
        <v>1700.1690000000001</v>
      </c>
      <c r="FV9" s="50">
        <v>-999999</v>
      </c>
      <c r="FW9" s="50">
        <v>-999999</v>
      </c>
      <c r="FX9" s="50">
        <v>-999999</v>
      </c>
      <c r="FY9" s="90">
        <v>1</v>
      </c>
      <c r="FZ9" s="90">
        <v>981.26199999999994</v>
      </c>
      <c r="GA9" s="90">
        <v>1062.3879999999999</v>
      </c>
      <c r="GB9" s="50">
        <v>-999999</v>
      </c>
      <c r="GC9" s="50">
        <v>-999999</v>
      </c>
      <c r="GD9" s="50">
        <v>-999999</v>
      </c>
      <c r="GE9" s="90">
        <v>2</v>
      </c>
      <c r="GF9" s="90">
        <v>1393.057</v>
      </c>
      <c r="GG9" s="90">
        <v>1676.491</v>
      </c>
      <c r="GH9" s="50">
        <v>-999999</v>
      </c>
      <c r="GI9" s="50">
        <v>-999999</v>
      </c>
      <c r="GJ9" s="50">
        <v>-999999</v>
      </c>
      <c r="GK9" s="90">
        <v>2</v>
      </c>
      <c r="GL9" s="90">
        <v>1838.5940000000001</v>
      </c>
      <c r="GM9" s="90">
        <v>1260.511</v>
      </c>
      <c r="GN9" s="50">
        <v>-999999</v>
      </c>
      <c r="GO9" s="50">
        <v>-999999</v>
      </c>
      <c r="GP9" s="50">
        <v>-999999</v>
      </c>
      <c r="GQ9" s="90">
        <v>3</v>
      </c>
      <c r="GR9" s="90">
        <v>1683.712</v>
      </c>
      <c r="GS9" s="90">
        <v>1461.4349999999999</v>
      </c>
      <c r="GT9" s="50">
        <v>-999999</v>
      </c>
      <c r="GU9" s="50">
        <v>-999999</v>
      </c>
      <c r="GV9" s="50">
        <v>-999999</v>
      </c>
      <c r="GW9" s="90">
        <v>3</v>
      </c>
      <c r="GX9" s="90">
        <v>1326.336</v>
      </c>
      <c r="GY9" s="90">
        <v>1465.086</v>
      </c>
      <c r="GZ9" s="50">
        <v>-999999</v>
      </c>
      <c r="HA9" s="50">
        <v>-999999</v>
      </c>
      <c r="HB9" s="50">
        <v>-999999</v>
      </c>
      <c r="HC9" s="90">
        <v>3</v>
      </c>
      <c r="HD9" s="90">
        <v>844.22199999999998</v>
      </c>
      <c r="HE9" s="90">
        <v>1463.5429999999999</v>
      </c>
      <c r="HF9" s="50">
        <v>-999999</v>
      </c>
      <c r="HG9" s="50">
        <v>-999999</v>
      </c>
      <c r="HH9" s="50">
        <v>-999999</v>
      </c>
      <c r="HI9" s="50">
        <v>-999999</v>
      </c>
      <c r="HJ9" s="50">
        <v>-999999</v>
      </c>
      <c r="HK9" s="50">
        <v>-999999</v>
      </c>
      <c r="HL9" s="50">
        <v>-999999</v>
      </c>
      <c r="HM9" s="50">
        <v>-999999</v>
      </c>
      <c r="HN9" s="50">
        <v>-999999</v>
      </c>
      <c r="HO9" s="50">
        <v>-999999</v>
      </c>
      <c r="HP9" s="50">
        <v>-999999</v>
      </c>
      <c r="HQ9" s="50">
        <v>-999999</v>
      </c>
      <c r="HR9" s="50">
        <v>-999999</v>
      </c>
      <c r="HS9" s="50">
        <v>-999999</v>
      </c>
      <c r="HT9" s="50">
        <v>-999999</v>
      </c>
      <c r="HU9" s="50">
        <v>-999999</v>
      </c>
      <c r="HV9" s="50">
        <v>-999999</v>
      </c>
      <c r="HW9" s="50">
        <v>-999999</v>
      </c>
      <c r="HX9" s="50">
        <v>-999999</v>
      </c>
      <c r="HY9" s="50"/>
      <c r="HZ9" s="50"/>
      <c r="IA9" s="50"/>
      <c r="IB9" s="50"/>
      <c r="IC9" s="50"/>
      <c r="ID9" s="50"/>
      <c r="IE9" s="50"/>
      <c r="IF9" s="50"/>
      <c r="IG9" s="50"/>
      <c r="IH9" s="50"/>
      <c r="II9" s="50"/>
      <c r="IJ9" s="50"/>
      <c r="IK9" s="50"/>
      <c r="IL9" s="50"/>
      <c r="IM9" s="50"/>
      <c r="IN9" s="50"/>
      <c r="IO9" s="50"/>
      <c r="IP9" s="50"/>
      <c r="IQ9" s="50"/>
      <c r="IR9" s="50"/>
      <c r="IS9" s="50"/>
      <c r="IT9" s="50"/>
      <c r="IU9" s="50"/>
      <c r="IV9" s="50"/>
      <c r="IW9" s="50"/>
      <c r="IX9" s="50"/>
      <c r="IY9" s="50"/>
      <c r="IZ9" s="50"/>
      <c r="JA9" s="50"/>
      <c r="JB9" s="50"/>
      <c r="JC9" s="50"/>
      <c r="JD9" s="50"/>
      <c r="JE9" s="50"/>
      <c r="JF9" s="50"/>
      <c r="JG9" s="50"/>
      <c r="JH9" s="50"/>
      <c r="JI9" s="50"/>
      <c r="JJ9" s="50"/>
      <c r="JK9" s="50"/>
      <c r="JL9" s="50"/>
      <c r="JM9" s="50"/>
      <c r="JN9" s="50"/>
      <c r="JO9" s="50"/>
      <c r="JP9" s="50"/>
      <c r="JQ9" s="50"/>
      <c r="JR9" s="50"/>
      <c r="JS9" s="50"/>
      <c r="JT9" s="50"/>
      <c r="JU9" s="50"/>
      <c r="JV9" s="50"/>
      <c r="JW9" s="52">
        <f t="shared" si="23"/>
        <v>2745.6451993367564</v>
      </c>
      <c r="JX9" s="27">
        <f t="shared" si="24"/>
        <v>324341.74880968622</v>
      </c>
      <c r="JY9" s="107">
        <f>JW9*EchelleFPAparam!$Q$3</f>
        <v>-2.6152270523682603E-2</v>
      </c>
      <c r="KA9" s="19"/>
      <c r="KB9" s="19"/>
      <c r="KC9" s="19"/>
      <c r="KD9" s="19"/>
      <c r="KE9" s="19"/>
      <c r="KF9" s="19"/>
      <c r="KG9" s="19"/>
      <c r="KH9" s="19"/>
      <c r="KI9" s="19"/>
      <c r="KJ9" s="19"/>
      <c r="KK9" s="19"/>
      <c r="KL9" s="19"/>
      <c r="KM9" s="19"/>
      <c r="KW9" s="19"/>
      <c r="KX9" s="19"/>
      <c r="KY9" s="19"/>
      <c r="KZ9" s="19"/>
      <c r="LA9" s="19"/>
      <c r="LB9" s="19"/>
      <c r="LC9" s="19"/>
      <c r="LD9" s="19"/>
      <c r="LE9" s="19"/>
      <c r="LF9" s="19"/>
    </row>
    <row r="10" spans="1:318" x14ac:dyDescent="0.2">
      <c r="A10" s="53">
        <f>A9+1</f>
        <v>4</v>
      </c>
      <c r="B10" s="96">
        <f t="shared" si="0"/>
        <v>1228.4876515479609</v>
      </c>
      <c r="C10" s="27" t="str">
        <f>'Standard Settings'!B5</f>
        <v>J/2/3</v>
      </c>
      <c r="D10" s="27">
        <f>'Standard Settings'!H5</f>
        <v>46</v>
      </c>
      <c r="E10" s="19">
        <f t="shared" si="1"/>
        <v>3.8484130437375086E-3</v>
      </c>
      <c r="F10" s="18">
        <f>((EchelleFPAparam!$S$3/('crmcfgWLEN.txt'!$U10+F$53))*(SIN('Standard Settings'!$F5+0.0005)+SIN('Standard Settings'!$F5+0.0005+EchelleFPAparam!$M$3))-(EchelleFPAparam!$S$3/('crmcfgWLEN.txt'!$U10+F$53))*(SIN('Standard Settings'!$F5-0.0005)+SIN('Standard Settings'!$F5-0.0005+EchelleFPAparam!$M$3)))*1000*EchelleFPAparam!$O$3/180</f>
        <v>10.57618859590483</v>
      </c>
      <c r="G10" s="20" t="str">
        <f>'Standard Settings'!C5</f>
        <v>J</v>
      </c>
      <c r="H10" s="46"/>
      <c r="I10" s="59" t="s">
        <v>353</v>
      </c>
      <c r="J10" s="57"/>
      <c r="K10" s="27" t="str">
        <f>'Standard Settings'!$D5</f>
        <v>YJ</v>
      </c>
      <c r="L10" s="46"/>
      <c r="M10" s="12">
        <v>2.5</v>
      </c>
      <c r="N10" s="12">
        <v>2.5</v>
      </c>
      <c r="O10" s="27" t="str">
        <f>'Standard Settings'!$D5</f>
        <v>YJ</v>
      </c>
      <c r="P10" s="46"/>
      <c r="Q10" s="27">
        <f>'Standard Settings'!$E5</f>
        <v>65.347950000000012</v>
      </c>
      <c r="R10" s="106">
        <f>'Standard Settings'!$J5</f>
        <v>530000</v>
      </c>
      <c r="S10" s="21">
        <v>43</v>
      </c>
      <c r="T10" s="21">
        <f>'Standard Settings'!$I5</f>
        <v>50</v>
      </c>
      <c r="U10" s="22">
        <f t="shared" si="25"/>
        <v>42</v>
      </c>
      <c r="V10" s="22">
        <f t="shared" si="26"/>
        <v>51</v>
      </c>
      <c r="W10" s="23">
        <f>IF(AND($U10-$S10+B$53&gt;=0,$U10-$T10+B$53&lt;=0),(EchelleFPAparam!$S$3/('crmcfgWLEN.txt'!$U10+B$53))*(SIN('Standard Settings'!$F5)+SIN('Standard Settings'!$F5+EchelleFPAparam!$M$3)),-1)</f>
        <v>-1</v>
      </c>
      <c r="X10" s="23">
        <f>IF(AND($U10-$S10+C$53&gt;=0,$U10-$T10+C$53&lt;=0),(EchelleFPAparam!$S$3/('crmcfgWLEN.txt'!$U10+C$53))*(SIN('Standard Settings'!$F5)+SIN('Standard Settings'!$F5+EchelleFPAparam!$M$3)),-1)</f>
        <v>1314.1960923536326</v>
      </c>
      <c r="Y10" s="23">
        <f>IF(AND($U10-$S10+D$53&gt;=0,$U10-$T10+D$53&lt;=0),(EchelleFPAparam!$S$3/('crmcfgWLEN.txt'!$U10+D$53))*(SIN('Standard Settings'!$F5)+SIN('Standard Settings'!$F5+EchelleFPAparam!$M$3)),-1)</f>
        <v>1284.3279993455956</v>
      </c>
      <c r="Z10" s="23">
        <f>IF(AND($U10-$S10+E$53&gt;=0,$U10-$T10+E$53&lt;=0),(EchelleFPAparam!$S$3/('crmcfgWLEN.txt'!$U10+E$53))*(SIN('Standard Settings'!$F5)+SIN('Standard Settings'!$F5+EchelleFPAparam!$M$3)),-1)</f>
        <v>1255.7873771379157</v>
      </c>
      <c r="AA10" s="23">
        <f>IF(AND($U10-$S10+F$53&gt;=0,$U10-$T10+F$53&lt;=0),(EchelleFPAparam!$S$3/('crmcfgWLEN.txt'!$U10+F$53))*(SIN('Standard Settings'!$F5)+SIN('Standard Settings'!$F5+EchelleFPAparam!$M$3)),-1)</f>
        <v>1228.4876515479609</v>
      </c>
      <c r="AB10" s="23">
        <f>IF(AND($U10-$S10+G$53&gt;=0,$U10-$T10+G$53&lt;=0),(EchelleFPAparam!$S$3/('crmcfgWLEN.txt'!$U10+G$53))*(SIN('Standard Settings'!$F5)+SIN('Standard Settings'!$F5+EchelleFPAparam!$M$3)),-1)</f>
        <v>1202.3496164086428</v>
      </c>
      <c r="AC10" s="23">
        <f>IF(AND($U10-$S10+H$53&gt;=0,$U10-$T10+H$53&lt;=0),(EchelleFPAparam!$S$3/('crmcfgWLEN.txt'!$U10+H$53))*(SIN('Standard Settings'!$F5)+SIN('Standard Settings'!$F5+EchelleFPAparam!$M$3)),-1)</f>
        <v>1177.3006660667959</v>
      </c>
      <c r="AD10" s="23">
        <f>IF(AND($U10-$S10+I$53&gt;=0,$U10-$T10+I$53&lt;=0),(EchelleFPAparam!$S$3/('crmcfgWLEN.txt'!$U10+I$53))*(SIN('Standard Settings'!$F5)+SIN('Standard Settings'!$F5+EchelleFPAparam!$M$3)),-1)</f>
        <v>1153.274121861351</v>
      </c>
      <c r="AE10" s="23">
        <f>IF(AND($U10-$S10+J$53&gt;=0,$U10-$T10+J$53&lt;=0),(EchelleFPAparam!$S$3/('crmcfgWLEN.txt'!$U10+J$53))*(SIN('Standard Settings'!$F5)+SIN('Standard Settings'!$F5+EchelleFPAparam!$M$3)),-1)</f>
        <v>1130.2086394241242</v>
      </c>
      <c r="AF10" s="23">
        <f>IF(AND($U10-$S10+K$53&gt;=0,$U10-$T10+K$53&lt;=0),(EchelleFPAparam!$S$3/('crmcfgWLEN.txt'!$U10+K$53))*(SIN('Standard Settings'!$F5)+SIN('Standard Settings'!$F5+EchelleFPAparam!$M$3)),-1)</f>
        <v>-1</v>
      </c>
      <c r="AG10" s="112">
        <v>112.918285507945</v>
      </c>
      <c r="AH10" s="112">
        <v>378.64976395488702</v>
      </c>
      <c r="AI10" s="112">
        <v>632.76145268368703</v>
      </c>
      <c r="AJ10" s="112">
        <v>872.73861786817304</v>
      </c>
      <c r="AK10" s="112">
        <v>1100.52266689677</v>
      </c>
      <c r="AL10" s="112">
        <v>1317.7749917421399</v>
      </c>
      <c r="AM10" s="112">
        <v>1531.6781723633401</v>
      </c>
      <c r="AN10" s="112">
        <v>1732.54003014367</v>
      </c>
      <c r="AO10" s="112">
        <v>1921.516309245</v>
      </c>
      <c r="AP10" s="131">
        <v>-100.1</v>
      </c>
      <c r="AQ10" s="112">
        <v>85.145144851152395</v>
      </c>
      <c r="AR10" s="112">
        <v>353.93872700588503</v>
      </c>
      <c r="AS10" s="112">
        <v>609.16365067056097</v>
      </c>
      <c r="AT10" s="112">
        <v>851.99584378528004</v>
      </c>
      <c r="AU10" s="112">
        <v>1082.7468230909501</v>
      </c>
      <c r="AV10" s="112">
        <v>1303.0472639596701</v>
      </c>
      <c r="AW10" s="112">
        <v>1512.3128362354901</v>
      </c>
      <c r="AX10" s="112">
        <v>1714.9421195678799</v>
      </c>
      <c r="AY10" s="112">
        <v>1907.9125448397399</v>
      </c>
      <c r="AZ10" s="130">
        <v>-100.1</v>
      </c>
      <c r="BA10" s="112">
        <v>58.208345227724202</v>
      </c>
      <c r="BB10" s="112">
        <v>330.16949177354002</v>
      </c>
      <c r="BC10" s="112">
        <v>587.38400191119399</v>
      </c>
      <c r="BD10" s="112">
        <v>832.19788852616705</v>
      </c>
      <c r="BE10" s="112">
        <v>1065.15392583268</v>
      </c>
      <c r="BF10" s="112">
        <v>1287.49590239031</v>
      </c>
      <c r="BG10" s="112">
        <v>1499.17567460124</v>
      </c>
      <c r="BH10" s="112">
        <v>1702.40720291193</v>
      </c>
      <c r="BI10" s="112">
        <v>1897.0037657345799</v>
      </c>
      <c r="BJ10" s="133">
        <v>-100.1</v>
      </c>
      <c r="BK10" s="24">
        <f>EchelleFPAparam!$S$3/('crmcfgWLEN.txt'!$U10+B$53)*(SIN(EchelleFPAparam!$T$3-EchelleFPAparam!$M$3/2)+SIN('Standard Settings'!$F5+EchelleFPAparam!$M$3))</f>
        <v>1345.5714005423461</v>
      </c>
      <c r="BL10" s="24">
        <f>EchelleFPAparam!$S$3/('crmcfgWLEN.txt'!$U10+C$53)*(SIN(EchelleFPAparam!$T$3-EchelleFPAparam!$M$3/2)+SIN('Standard Settings'!$F5+EchelleFPAparam!$M$3))</f>
        <v>1314.2790423901984</v>
      </c>
      <c r="BM10" s="24">
        <f>EchelleFPAparam!$S$3/('crmcfgWLEN.txt'!$U10+D$53)*(SIN(EchelleFPAparam!$T$3-EchelleFPAparam!$M$3/2)+SIN('Standard Settings'!$F5+EchelleFPAparam!$M$3))</f>
        <v>1284.4090641540577</v>
      </c>
      <c r="BN10" s="24">
        <f>EchelleFPAparam!$S$3/('crmcfgWLEN.txt'!$U10+E$53)*(SIN(EchelleFPAparam!$T$3-EchelleFPAparam!$M$3/2)+SIN('Standard Settings'!$F5+EchelleFPAparam!$M$3))</f>
        <v>1255.8666405061897</v>
      </c>
      <c r="BO10" s="24">
        <f>EchelleFPAparam!$S$3/('crmcfgWLEN.txt'!$U10+F$53)*(SIN(EchelleFPAparam!$T$3-EchelleFPAparam!$M$3/2)+SIN('Standard Settings'!$F5+EchelleFPAparam!$M$3))</f>
        <v>1228.5651917995333</v>
      </c>
      <c r="BP10" s="24">
        <f>EchelleFPAparam!$S$3/('crmcfgWLEN.txt'!$U10+G$53)*(SIN(EchelleFPAparam!$T$3-EchelleFPAparam!$M$3/2)+SIN('Standard Settings'!$F5+EchelleFPAparam!$M$3))</f>
        <v>1202.4255068676284</v>
      </c>
      <c r="BQ10" s="24">
        <f>EchelleFPAparam!$S$3/('crmcfgWLEN.txt'!$U10+H$53)*(SIN(EchelleFPAparam!$T$3-EchelleFPAparam!$M$3/2)+SIN('Standard Settings'!$F5+EchelleFPAparam!$M$3))</f>
        <v>1177.3749754745527</v>
      </c>
      <c r="BR10" s="24">
        <f>EchelleFPAparam!$S$3/('crmcfgWLEN.txt'!$U10+I$53)*(SIN(EchelleFPAparam!$T$3-EchelleFPAparam!$M$3/2)+SIN('Standard Settings'!$F5+EchelleFPAparam!$M$3))</f>
        <v>1153.3469147505823</v>
      </c>
      <c r="BS10" s="24">
        <f>EchelleFPAparam!$S$3/('crmcfgWLEN.txt'!$U10+J$53)*(SIN(EchelleFPAparam!$T$3-EchelleFPAparam!$M$3/2)+SIN('Standard Settings'!$F5+EchelleFPAparam!$M$3))</f>
        <v>1130.2799764555707</v>
      </c>
      <c r="BT10" s="24">
        <f>EchelleFPAparam!$S$3/('crmcfgWLEN.txt'!$U10+K$53)*(SIN(EchelleFPAparam!$T$3-EchelleFPAparam!$M$3/2)+SIN('Standard Settings'!$F5+EchelleFPAparam!$M$3))</f>
        <v>1108.1176239760496</v>
      </c>
      <c r="BU10" s="25">
        <f t="shared" si="33"/>
        <v>1331.1028908590949</v>
      </c>
      <c r="BV10" s="25">
        <f t="shared" si="2"/>
        <v>1300.444526154512</v>
      </c>
      <c r="BW10" s="25">
        <f t="shared" si="3"/>
        <v>1271.1677335957684</v>
      </c>
      <c r="BX10" s="25">
        <f t="shared" si="4"/>
        <v>1243.1811188849151</v>
      </c>
      <c r="BY10" s="25">
        <f t="shared" si="5"/>
        <v>1216.4011799995378</v>
      </c>
      <c r="BZ10" s="25">
        <f t="shared" si="6"/>
        <v>1190.7514728203698</v>
      </c>
      <c r="CA10" s="25">
        <f t="shared" si="7"/>
        <v>1166.1618804700331</v>
      </c>
      <c r="CB10" s="25">
        <f t="shared" si="8"/>
        <v>1142.5679716220723</v>
      </c>
      <c r="CC10" s="25">
        <f t="shared" si="9"/>
        <v>1119.910435387171</v>
      </c>
      <c r="CD10" s="25">
        <f t="shared" si="10"/>
        <v>1098.1345823186077</v>
      </c>
      <c r="CE10" s="25">
        <f t="shared" ref="CE10:CE35" si="34">BK10*(($D10+B$53)/($D10+B$53-0.5))</f>
        <v>1360.3578994494048</v>
      </c>
      <c r="CF10" s="25">
        <f t="shared" si="11"/>
        <v>1328.4110751040714</v>
      </c>
      <c r="CG10" s="25">
        <f t="shared" si="12"/>
        <v>1297.9291595662057</v>
      </c>
      <c r="CH10" s="25">
        <f t="shared" si="13"/>
        <v>1268.8137192742947</v>
      </c>
      <c r="CI10" s="25">
        <f t="shared" si="14"/>
        <v>1240.9749412116498</v>
      </c>
      <c r="CJ10" s="25">
        <f t="shared" si="15"/>
        <v>1214.3307099059218</v>
      </c>
      <c r="CK10" s="25">
        <f t="shared" si="16"/>
        <v>1188.8058004791601</v>
      </c>
      <c r="CL10" s="25">
        <f t="shared" si="17"/>
        <v>1164.3311710815401</v>
      </c>
      <c r="CM10" s="25">
        <f t="shared" si="18"/>
        <v>1140.8433407215105</v>
      </c>
      <c r="CN10" s="25">
        <f t="shared" si="19"/>
        <v>1118.2838407097747</v>
      </c>
      <c r="CO10" s="26">
        <f>(EchelleFPAparam!$S$3/($U10+B$53)*COS((AG10-EchelleFPAparam!$AE6)*EchelleFPAparam!$C$3/EchelleFPAparam!$E$3))*(SIN('Standard Settings'!$F5)+SIN('Standard Settings'!$F5+EchelleFPAparam!$M$3+(EchelleFPAparam!$F$3*EchelleFPAparam!$B$6)*COS(EchelleFPAparam!$AC$3)-(AG10-1024)*SIN(EchelleFPAparam!$AC$3)*EchelleFPAparam!$C$3/EchelleFPAparam!$E$3))</f>
        <v>1331.1486563173269</v>
      </c>
      <c r="CP10" s="26">
        <f>(EchelleFPAparam!$S$3/($U10+C$53)*COS((AH10-EchelleFPAparam!$AE6)*EchelleFPAparam!$C$3/EchelleFPAparam!$E$3))*(SIN('Standard Settings'!$F5)+SIN('Standard Settings'!$F5+EchelleFPAparam!$M$3+(EchelleFPAparam!$F$3*EchelleFPAparam!$B$6)*COS(EchelleFPAparam!$AC$3)-(AH10-1024)*SIN(EchelleFPAparam!$AC$3)*EchelleFPAparam!$C$3/EchelleFPAparam!$E$3))</f>
        <v>1300.282682909102</v>
      </c>
      <c r="CQ10" s="26">
        <f>(EchelleFPAparam!$S$3/($U10+D$53)*COS((AI10-EchelleFPAparam!$AE6)*EchelleFPAparam!$C$3/EchelleFPAparam!$E$3))*(SIN('Standard Settings'!$F5)+SIN('Standard Settings'!$F5+EchelleFPAparam!$M$3+(EchelleFPAparam!$F$3*EchelleFPAparam!$B$6)*COS(EchelleFPAparam!$AC$3)-(AI10-1024)*SIN(EchelleFPAparam!$AC$3)*EchelleFPAparam!$C$3/EchelleFPAparam!$E$3))</f>
        <v>1270.8039247074621</v>
      </c>
      <c r="CR10" s="26">
        <f>(EchelleFPAparam!$S$3/($U10+E$53)*COS((AJ10-EchelleFPAparam!$AE6)*EchelleFPAparam!$C$3/EchelleFPAparam!$E$3))*(SIN('Standard Settings'!$F5)+SIN('Standard Settings'!$F5+EchelleFPAparam!$M$3+(EchelleFPAparam!$F$3*EchelleFPAparam!$B$6)*COS(EchelleFPAparam!$AC$3)-(AJ10-1024)*SIN(EchelleFPAparam!$AC$3)*EchelleFPAparam!$C$3/EchelleFPAparam!$E$3))</f>
        <v>1242.6209152135741</v>
      </c>
      <c r="CS10" s="26">
        <f>(EchelleFPAparam!$S$3/($U10+F$53)*COS((AK10-EchelleFPAparam!$AE6)*EchelleFPAparam!$C$3/EchelleFPAparam!$E$3))*(SIN('Standard Settings'!$F5)+SIN('Standard Settings'!$F5+EchelleFPAparam!$M$3+(EchelleFPAparam!$F$3*EchelleFPAparam!$B$6)*COS(EchelleFPAparam!$AC$3)-(AK10-1024)*SIN(EchelleFPAparam!$AC$3)*EchelleFPAparam!$C$3/EchelleFPAparam!$E$3))</f>
        <v>1215.6512372632037</v>
      </c>
      <c r="CT10" s="26">
        <f>(EchelleFPAparam!$S$3/($U10+G$53)*COS((AL10-EchelleFPAparam!$AE6)*EchelleFPAparam!$C$3/EchelleFPAparam!$E$3))*(SIN('Standard Settings'!$F5)+SIN('Standard Settings'!$F5+EchelleFPAparam!$M$3+(EchelleFPAparam!$F$3*EchelleFPAparam!$B$6)*COS(EchelleFPAparam!$AC$3)-(AL10-1024)*SIN(EchelleFPAparam!$AC$3)*EchelleFPAparam!$C$3/EchelleFPAparam!$E$3))</f>
        <v>1189.8190689972337</v>
      </c>
      <c r="CU10" s="26">
        <f>(EchelleFPAparam!$S$3/($U10+H$53)*COS((AM10-EchelleFPAparam!$AE6)*EchelleFPAparam!$C$3/EchelleFPAparam!$E$3))*(SIN('Standard Settings'!$F5)+SIN('Standard Settings'!$F5+EchelleFPAparam!$M$3+(EchelleFPAparam!$F$3*EchelleFPAparam!$B$6)*COS(EchelleFPAparam!$AC$3)-(AM10-1024)*SIN(EchelleFPAparam!$AC$3)*EchelleFPAparam!$C$3/EchelleFPAparam!$E$3))</f>
        <v>1165.0551310708802</v>
      </c>
      <c r="CV10" s="26">
        <f>(EchelleFPAparam!$S$3/($U10+I$53)*COS((AN10-EchelleFPAparam!$AE6)*EchelleFPAparam!$C$3/EchelleFPAparam!$E$3))*(SIN('Standard Settings'!$F5)+SIN('Standard Settings'!$F5+EchelleFPAparam!$M$3+(EchelleFPAparam!$F$3*EchelleFPAparam!$B$6)*COS(EchelleFPAparam!$AC$3)-(AN10-1024)*SIN(EchelleFPAparam!$AC$3)*EchelleFPAparam!$C$3/EchelleFPAparam!$E$3))</f>
        <v>1141.2937957470463</v>
      </c>
      <c r="CW10" s="26">
        <f>(EchelleFPAparam!$S$3/($U10+J$53)*COS((AO10-EchelleFPAparam!$AE6)*EchelleFPAparam!$C$3/EchelleFPAparam!$E$3))*(SIN('Standard Settings'!$F5)+SIN('Standard Settings'!$F5+EchelleFPAparam!$M$3+(EchelleFPAparam!$F$3*EchelleFPAparam!$B$6)*COS(EchelleFPAparam!$AC$3)-(AO10-1024)*SIN(EchelleFPAparam!$AC$3)*EchelleFPAparam!$C$3/EchelleFPAparam!$E$3))</f>
        <v>1118.4761859524867</v>
      </c>
      <c r="CX10" s="26">
        <f>(EchelleFPAparam!$S$3/($U10+K$53)*COS((AP10-EchelleFPAparam!$AE6)*EchelleFPAparam!$C$3/EchelleFPAparam!$E$3))*(SIN('Standard Settings'!$F5)+SIN('Standard Settings'!$F5+EchelleFPAparam!$M$3+(EchelleFPAparam!$F$3*EchelleFPAparam!$B$6)*COS(EchelleFPAparam!$AC$3)-(AP10-1024)*SIN(EchelleFPAparam!$AC$3)*EchelleFPAparam!$C$3/EchelleFPAparam!$E$3))</f>
        <v>1096.1706607388128</v>
      </c>
      <c r="CY10" s="26">
        <f>(EchelleFPAparam!$S$3/($U10+B$53)*COS((AG10-EchelleFPAparam!$AE6)*EchelleFPAparam!$C$3/EchelleFPAparam!$E$3))*(SIN('Standard Settings'!$F5)+SIN('Standard Settings'!$F5+EchelleFPAparam!$M$3+EchelleFPAparam!$G$3*EchelleFPAparam!$B$6*COS(EchelleFPAparam!$AC$3)-(AG10-1024)*SIN(EchelleFPAparam!$AC$3)*EchelleFPAparam!$C$3/EchelleFPAparam!$E$3))</f>
        <v>1340.2114230390316</v>
      </c>
      <c r="CZ10" s="26">
        <f>(EchelleFPAparam!$S$3/($U10+C$53)*COS((AH10-EchelleFPAparam!$AE6)*EchelleFPAparam!$C$3/EchelleFPAparam!$E$3))*(SIN('Standard Settings'!$F5)+SIN('Standard Settings'!$F5+EchelleFPAparam!$M$3+EchelleFPAparam!$G$3*EchelleFPAparam!$B$6*COS(EchelleFPAparam!$AC$3)-(AH10-1024)*SIN(EchelleFPAparam!$AC$3)*EchelleFPAparam!$C$3/EchelleFPAparam!$E$3))</f>
        <v>1309.1339287010057</v>
      </c>
      <c r="DA10" s="26">
        <f>(EchelleFPAparam!$S$3/($U10+D$53)*COS((AI10-EchelleFPAparam!$AE6)*EchelleFPAparam!$C$3/EchelleFPAparam!$E$3))*(SIN('Standard Settings'!$F5)+SIN('Standard Settings'!$F5+EchelleFPAparam!$M$3+EchelleFPAparam!$G$3*EchelleFPAparam!$B$6*COS(EchelleFPAparam!$AC$3)-(AI10-1024)*SIN(EchelleFPAparam!$AC$3)*EchelleFPAparam!$C$3/EchelleFPAparam!$E$3))</f>
        <v>1279.453215476251</v>
      </c>
      <c r="DB10" s="26">
        <f>(EchelleFPAparam!$S$3/($U10+E$53)*COS((AJ10-EchelleFPAparam!$AE6)*EchelleFPAparam!$C$3/EchelleFPAparam!$E$3))*(SIN('Standard Settings'!$F5)+SIN('Standard Settings'!$F5+EchelleFPAparam!$M$3+EchelleFPAparam!$G$3*EchelleFPAparam!$B$6*COS(EchelleFPAparam!$AC$3)-(AJ10-1024)*SIN(EchelleFPAparam!$AC$3)*EchelleFPAparam!$C$3/EchelleFPAparam!$E$3))</f>
        <v>1251.0771985597871</v>
      </c>
      <c r="DC10" s="26">
        <f>(EchelleFPAparam!$S$3/($U10+F$53)*COS((AK10-EchelleFPAparam!$AE6)*EchelleFPAparam!$C$3/EchelleFPAparam!$E$3))*(SIN('Standard Settings'!$F5)+SIN('Standard Settings'!$F5+EchelleFPAparam!$M$3+EchelleFPAparam!$G$3*EchelleFPAparam!$B$6*COS(EchelleFPAparam!$AC$3)-(AK10-1024)*SIN(EchelleFPAparam!$AC$3)*EchelleFPAparam!$C$3/EchelleFPAparam!$E$3))</f>
        <v>1223.9228820889662</v>
      </c>
      <c r="DD10" s="26">
        <f>(EchelleFPAparam!$S$3/($U10+G$53)*COS((AL10-EchelleFPAparam!$AE6)*EchelleFPAparam!$C$3/EchelleFPAparam!$E$3))*(SIN('Standard Settings'!$F5)+SIN('Standard Settings'!$F5+EchelleFPAparam!$M$3+EchelleFPAparam!$G$3*EchelleFPAparam!$B$6*COS(EchelleFPAparam!$AC$3)-(AL10-1024)*SIN(EchelleFPAparam!$AC$3)*EchelleFPAparam!$C$3/EchelleFPAparam!$E$3))</f>
        <v>1197.9139132242985</v>
      </c>
      <c r="DE10" s="26">
        <f>(EchelleFPAparam!$S$3/($U10+H$53)*COS((AM10-EchelleFPAparam!$AE6)*EchelleFPAparam!$C$3/EchelleFPAparam!$E$3))*(SIN('Standard Settings'!$F5)+SIN('Standard Settings'!$F5+EchelleFPAparam!$M$3+EchelleFPAparam!$G$3*EchelleFPAparam!$B$6*COS(EchelleFPAparam!$AC$3)-(AM10-1024)*SIN(EchelleFPAparam!$AC$3)*EchelleFPAparam!$C$3/EchelleFPAparam!$E$3))</f>
        <v>1172.9805017489077</v>
      </c>
      <c r="DF10" s="26">
        <f>(EchelleFPAparam!$S$3/($U10+I$53)*COS((AN10-EchelleFPAparam!$AE6)*EchelleFPAparam!$C$3/EchelleFPAparam!$E$3))*(SIN('Standard Settings'!$F5)+SIN('Standard Settings'!$F5+EchelleFPAparam!$M$3+EchelleFPAparam!$G$3*EchelleFPAparam!$B$6*COS(EchelleFPAparam!$AC$3)-(AN10-1024)*SIN(EchelleFPAparam!$AC$3)*EchelleFPAparam!$C$3/EchelleFPAparam!$E$3))</f>
        <v>1149.0566139327273</v>
      </c>
      <c r="DG10" s="26">
        <f>(EchelleFPAparam!$S$3/($U10+J$53)*COS((AO10-EchelleFPAparam!$AE6)*EchelleFPAparam!$C$3/EchelleFPAparam!$E$3))*(SIN('Standard Settings'!$F5)+SIN('Standard Settings'!$F5+EchelleFPAparam!$M$3+EchelleFPAparam!$G$3*EchelleFPAparam!$B$6*COS(EchelleFPAparam!$AC$3)-(AO10-1024)*SIN(EchelleFPAparam!$AC$3)*EchelleFPAparam!$C$3/EchelleFPAparam!$E$3))</f>
        <v>1126.0829610010337</v>
      </c>
      <c r="DH10" s="26">
        <f>(EchelleFPAparam!$S$3/($U10+K$53)*COS((AP10-EchelleFPAparam!$AE6)*EchelleFPAparam!$C$3/EchelleFPAparam!$E$3))*(SIN('Standard Settings'!$F5)+SIN('Standard Settings'!$F5+EchelleFPAparam!$M$3+EchelleFPAparam!$G$3*EchelleFPAparam!$B$6*COS(EchelleFPAparam!$AC$3)-(AP10-1024)*SIN(EchelleFPAparam!$AC$3)*EchelleFPAparam!$C$3/EchelleFPAparam!$E$3))</f>
        <v>1103.6345745803492</v>
      </c>
      <c r="DI10" s="26">
        <f>(EchelleFPAparam!$S$3/($U10+B$53)*COS((AQ10-EchelleFPAparam!$AE6)*EchelleFPAparam!$C$3/EchelleFPAparam!$E$3))*(SIN('Standard Settings'!$F5)+SIN('Standard Settings'!$F5+EchelleFPAparam!$M$3+EchelleFPAparam!$H$3*EchelleFPAparam!$B$6*COS(EchelleFPAparam!$AC$3)-(AQ10-1024)*SIN(EchelleFPAparam!$AC$3)*EchelleFPAparam!$C$3/EchelleFPAparam!$E$3))</f>
        <v>1340.8239980702397</v>
      </c>
      <c r="DJ10" s="26">
        <f>(EchelleFPAparam!$S$3/($U10+C$53)*COS((AR10-EchelleFPAparam!$AE6)*EchelleFPAparam!$C$3/EchelleFPAparam!$E$3))*(SIN('Standard Settings'!$F5)+SIN('Standard Settings'!$F5+EchelleFPAparam!$M$3+EchelleFPAparam!$H$3*EchelleFPAparam!$B$6*COS(EchelleFPAparam!$AC$3)-(AR10-1024)*SIN(EchelleFPAparam!$AC$3)*EchelleFPAparam!$C$3/EchelleFPAparam!$E$3))</f>
        <v>1309.7345513491882</v>
      </c>
      <c r="DK10" s="26">
        <f>(EchelleFPAparam!$S$3/($U10+D$53)*COS((AS10-EchelleFPAparam!$AE6)*EchelleFPAparam!$C$3/EchelleFPAparam!$E$3))*(SIN('Standard Settings'!$F5)+SIN('Standard Settings'!$F5+EchelleFPAparam!$M$3+EchelleFPAparam!$H$3*EchelleFPAparam!$B$6*COS(EchelleFPAparam!$AC$3)-(AS10-1024)*SIN(EchelleFPAparam!$AC$3)*EchelleFPAparam!$C$3/EchelleFPAparam!$E$3))</f>
        <v>1280.041565969351</v>
      </c>
      <c r="DL10" s="26">
        <f>(EchelleFPAparam!$S$3/($U10+E$53)*COS((AT10-EchelleFPAparam!$AE6)*EchelleFPAparam!$C$3/EchelleFPAparam!$E$3))*(SIN('Standard Settings'!$F5)+SIN('Standard Settings'!$F5+EchelleFPAparam!$M$3+EchelleFPAparam!$H$3*EchelleFPAparam!$B$6*COS(EchelleFPAparam!$AC$3)-(AT10-1024)*SIN(EchelleFPAparam!$AC$3)*EchelleFPAparam!$C$3/EchelleFPAparam!$E$3))</f>
        <v>1251.6540412913366</v>
      </c>
      <c r="DM10" s="26">
        <f>(EchelleFPAparam!$S$3/($U10+F$53)*COS((AU10-EchelleFPAparam!$AE6)*EchelleFPAparam!$C$3/EchelleFPAparam!$E$3))*(SIN('Standard Settings'!$F5)+SIN('Standard Settings'!$F5+EchelleFPAparam!$M$3+EchelleFPAparam!$H$3*EchelleFPAparam!$B$6*COS(EchelleFPAparam!$AC$3)-(AU10-1024)*SIN(EchelleFPAparam!$AC$3)*EchelleFPAparam!$C$3/EchelleFPAparam!$E$3))</f>
        <v>1224.4884581461699</v>
      </c>
      <c r="DN10" s="26">
        <f>(EchelleFPAparam!$S$3/($U10+G$53)*COS((AV10-EchelleFPAparam!$AE6)*EchelleFPAparam!$C$3/EchelleFPAparam!$E$3))*(SIN('Standard Settings'!$F5)+SIN('Standard Settings'!$F5+EchelleFPAparam!$M$3+EchelleFPAparam!$H$3*EchelleFPAparam!$B$6*COS(EchelleFPAparam!$AC$3)-(AV10-1024)*SIN(EchelleFPAparam!$AC$3)*EchelleFPAparam!$C$3/EchelleFPAparam!$E$3))</f>
        <v>1198.4684538800091</v>
      </c>
      <c r="DO10" s="26">
        <f>(EchelleFPAparam!$S$3/($U10+H$53)*COS((AW10-EchelleFPAparam!$AE6)*EchelleFPAparam!$C$3/EchelleFPAparam!$E$3))*(SIN('Standard Settings'!$F5)+SIN('Standard Settings'!$F5+EchelleFPAparam!$M$3+EchelleFPAparam!$H$3*EchelleFPAparam!$B$6*COS(EchelleFPAparam!$AC$3)-(AW10-1024)*SIN(EchelleFPAparam!$AC$3)*EchelleFPAparam!$C$3/EchelleFPAparam!$E$3))</f>
        <v>1173.5235237683962</v>
      </c>
      <c r="DP10" s="26">
        <f>(EchelleFPAparam!$S$3/($U10+I$53)*COS((AX10-EchelleFPAparam!$AE6)*EchelleFPAparam!$C$3/EchelleFPAparam!$E$3))*(SIN('Standard Settings'!$F5)+SIN('Standard Settings'!$F5+EchelleFPAparam!$M$3+EchelleFPAparam!$H$3*EchelleFPAparam!$B$6*COS(EchelleFPAparam!$AC$3)-(AX10-1024)*SIN(EchelleFPAparam!$AC$3)*EchelleFPAparam!$C$3/EchelleFPAparam!$E$3))</f>
        <v>1149.5892337665775</v>
      </c>
      <c r="DQ10" s="26">
        <f>(EchelleFPAparam!$S$3/($U10+J$53)*COS((AY10-EchelleFPAparam!$AE6)*EchelleFPAparam!$C$3/EchelleFPAparam!$E$3))*(SIN('Standard Settings'!$F5)+SIN('Standard Settings'!$F5+EchelleFPAparam!$M$3+EchelleFPAparam!$H$3*EchelleFPAparam!$B$6*COS(EchelleFPAparam!$AC$3)-(AY10-1024)*SIN(EchelleFPAparam!$AC$3)*EchelleFPAparam!$C$3/EchelleFPAparam!$E$3))</f>
        <v>1126.6055105101534</v>
      </c>
      <c r="DR10" s="26">
        <f>(EchelleFPAparam!$S$3/($U10+K$53)*COS((AZ10-EchelleFPAparam!$AE6)*EchelleFPAparam!$C$3/EchelleFPAparam!$E$3))*(SIN('Standard Settings'!$F5)+SIN('Standard Settings'!$F5+EchelleFPAparam!$M$3+EchelleFPAparam!$H$3*EchelleFPAparam!$B$6*COS(EchelleFPAparam!$AC$3)-(AZ10-1024)*SIN(EchelleFPAparam!$AC$3)*EchelleFPAparam!$C$3/EchelleFPAparam!$E$3))</f>
        <v>1104.1476641835711</v>
      </c>
      <c r="DS10" s="26">
        <f>(EchelleFPAparam!$S$3/($U10+B$53)*COS((AQ10-EchelleFPAparam!$AE6)*EchelleFPAparam!$C$3/EchelleFPAparam!$E$3))*(SIN('Standard Settings'!$F5)+SIN('Standard Settings'!$F5+EchelleFPAparam!$M$3+EchelleFPAparam!$I$3*EchelleFPAparam!$B$6*COS(EchelleFPAparam!$AC$3)-(AQ10-1024)*SIN(EchelleFPAparam!$AC$3)*EchelleFPAparam!$C$3/EchelleFPAparam!$E$3))</f>
        <v>1349.4596463498747</v>
      </c>
      <c r="DT10" s="26">
        <f>(EchelleFPAparam!$S$3/($U10+C$53)*COS((AR10-EchelleFPAparam!$AE6)*EchelleFPAparam!$C$3/EchelleFPAparam!$E$3))*(SIN('Standard Settings'!$F5)+SIN('Standard Settings'!$F5+EchelleFPAparam!$M$3+EchelleFPAparam!$I$3*EchelleFPAparam!$B$6*COS(EchelleFPAparam!$AC$3)-(AR10-1024)*SIN(EchelleFPAparam!$AC$3)*EchelleFPAparam!$C$3/EchelleFPAparam!$E$3))</f>
        <v>1318.168573453011</v>
      </c>
      <c r="DU10" s="26">
        <f>(EchelleFPAparam!$S$3/($U10+D$53)*COS((AS10-EchelleFPAparam!$AE6)*EchelleFPAparam!$C$3/EchelleFPAparam!$E$3))*(SIN('Standard Settings'!$F5)+SIN('Standard Settings'!$F5+EchelleFPAparam!$M$3+EchelleFPAparam!$I$3*EchelleFPAparam!$B$6*COS(EchelleFPAparam!$AC$3)-(AS10-1024)*SIN(EchelleFPAparam!$AC$3)*EchelleFPAparam!$C$3/EchelleFPAparam!$E$3))</f>
        <v>1288.2830877897979</v>
      </c>
      <c r="DV10" s="26">
        <f>(EchelleFPAparam!$S$3/($U10+E$53)*COS((AT10-EchelleFPAparam!$AE6)*EchelleFPAparam!$C$3/EchelleFPAparam!$E$3))*(SIN('Standard Settings'!$F5)+SIN('Standard Settings'!$F5+EchelleFPAparam!$M$3+EchelleFPAparam!$I$3*EchelleFPAparam!$B$6*COS(EchelleFPAparam!$AC$3)-(AT10-1024)*SIN(EchelleFPAparam!$AC$3)*EchelleFPAparam!$C$3/EchelleFPAparam!$E$3))</f>
        <v>1259.711588059442</v>
      </c>
      <c r="DW10" s="26">
        <f>(EchelleFPAparam!$S$3/($U10+F$53)*COS((AU10-EchelleFPAparam!$AE6)*EchelleFPAparam!$C$3/EchelleFPAparam!$E$3))*(SIN('Standard Settings'!$F5)+SIN('Standard Settings'!$F5+EchelleFPAparam!$M$3+EchelleFPAparam!$I$3*EchelleFPAparam!$B$6*COS(EchelleFPAparam!$AC$3)-(AU10-1024)*SIN(EchelleFPAparam!$AC$3)*EchelleFPAparam!$C$3/EchelleFPAparam!$E$3))</f>
        <v>1232.3700080597444</v>
      </c>
      <c r="DX10" s="26">
        <f>(EchelleFPAparam!$S$3/($U10+G$53)*COS((AV10-EchelleFPAparam!$AE6)*EchelleFPAparam!$C$3/EchelleFPAparam!$E$3))*(SIN('Standard Settings'!$F5)+SIN('Standard Settings'!$F5+EchelleFPAparam!$M$3+EchelleFPAparam!$I$3*EchelleFPAparam!$B$6*COS(EchelleFPAparam!$AC$3)-(AV10-1024)*SIN(EchelleFPAparam!$AC$3)*EchelleFPAparam!$C$3/EchelleFPAparam!$E$3))</f>
        <v>1206.1814787076444</v>
      </c>
      <c r="DY10" s="26">
        <f>(EchelleFPAparam!$S$3/($U10+H$53)*COS((AW10-EchelleFPAparam!$AE6)*EchelleFPAparam!$C$3/EchelleFPAparam!$E$3))*(SIN('Standard Settings'!$F5)+SIN('Standard Settings'!$F5+EchelleFPAparam!$M$3+EchelleFPAparam!$I$3*EchelleFPAparam!$B$6*COS(EchelleFPAparam!$AC$3)-(AW10-1024)*SIN(EchelleFPAparam!$AC$3)*EchelleFPAparam!$C$3/EchelleFPAparam!$E$3))</f>
        <v>1181.0750380734405</v>
      </c>
      <c r="DZ10" s="26">
        <f>(EchelleFPAparam!$S$3/($U10+I$53)*COS((AX10-EchelleFPAparam!$AE6)*EchelleFPAparam!$C$3/EchelleFPAparam!$E$3))*(SIN('Standard Settings'!$F5)+SIN('Standard Settings'!$F5+EchelleFPAparam!$M$3+EchelleFPAparam!$I$3*EchelleFPAparam!$B$6*COS(EchelleFPAparam!$AC$3)-(AX10-1024)*SIN(EchelleFPAparam!$AC$3)*EchelleFPAparam!$C$3/EchelleFPAparam!$E$3))</f>
        <v>1156.9858115900881</v>
      </c>
      <c r="EA10" s="26">
        <f>(EchelleFPAparam!$S$3/($U10+J$53)*COS((AY10-EchelleFPAparam!$AE6)*EchelleFPAparam!$C$3/EchelleFPAparam!$E$3))*(SIN('Standard Settings'!$F5)+SIN('Standard Settings'!$F5+EchelleFPAparam!$M$3+EchelleFPAparam!$I$3*EchelleFPAparam!$B$6*COS(EchelleFPAparam!$AC$3)-(AY10-1024)*SIN(EchelleFPAparam!$AC$3)*EchelleFPAparam!$C$3/EchelleFPAparam!$E$3))</f>
        <v>1133.8533485746866</v>
      </c>
      <c r="EB10" s="26">
        <f>(EchelleFPAparam!$S$3/($U10+K$53)*COS((AZ10-EchelleFPAparam!$AE6)*EchelleFPAparam!$C$3/EchelleFPAparam!$E$3))*(SIN('Standard Settings'!$F5)+SIN('Standard Settings'!$F5+EchelleFPAparam!$M$3+EchelleFPAparam!$I$3*EchelleFPAparam!$B$6*COS(EchelleFPAparam!$AC$3)-(AZ10-1024)*SIN(EchelleFPAparam!$AC$3)*EchelleFPAparam!$C$3/EchelleFPAparam!$E$3))</f>
        <v>1111.2597952517742</v>
      </c>
      <c r="EC10" s="26">
        <f>(EchelleFPAparam!$S$3/($U10+B$53)*COS((BA10-EchelleFPAparam!$AE6)*EchelleFPAparam!$C$3/EchelleFPAparam!$E$3))*(SIN('Standard Settings'!$F5)+SIN('Standard Settings'!$F5+EchelleFPAparam!$M$3+EchelleFPAparam!$J$3*EchelleFPAparam!$B$6*COS(EchelleFPAparam!$AC$3)-(BA10-1024)*SIN(EchelleFPAparam!$AC$3)*EchelleFPAparam!$C$3/EchelleFPAparam!$E$3))</f>
        <v>1350.0592977128147</v>
      </c>
      <c r="ED10" s="26">
        <f>(EchelleFPAparam!$S$3/($U10+C$53)*COS((BB10-EchelleFPAparam!$AE6)*EchelleFPAparam!$C$3/EchelleFPAparam!$E$3))*(SIN('Standard Settings'!$F5)+SIN('Standard Settings'!$F5+EchelleFPAparam!$M$3+EchelleFPAparam!$J$3*EchelleFPAparam!$B$6*COS(EchelleFPAparam!$AC$3)-(BB10-1024)*SIN(EchelleFPAparam!$AC$3)*EchelleFPAparam!$C$3/EchelleFPAparam!$E$3))</f>
        <v>1318.7565891132824</v>
      </c>
      <c r="EE10" s="26">
        <f>(EchelleFPAparam!$S$3/($U10+D$53)*COS((BC10-EchelleFPAparam!$AE6)*EchelleFPAparam!$C$3/EchelleFPAparam!$E$3))*(SIN('Standard Settings'!$F5)+SIN('Standard Settings'!$F5+EchelleFPAparam!$M$3+EchelleFPAparam!$J$3*EchelleFPAparam!$B$6*COS(EchelleFPAparam!$AC$3)-(BC10-1024)*SIN(EchelleFPAparam!$AC$3)*EchelleFPAparam!$C$3/EchelleFPAparam!$E$3))</f>
        <v>1288.8593169486517</v>
      </c>
      <c r="EF10" s="26">
        <f>(EchelleFPAparam!$S$3/($U10+E$53)*COS((BD10-EchelleFPAparam!$AE6)*EchelleFPAparam!$C$3/EchelleFPAparam!$E$3))*(SIN('Standard Settings'!$F5)+SIN('Standard Settings'!$F5+EchelleFPAparam!$M$3+EchelleFPAparam!$J$3*EchelleFPAparam!$B$6*COS(EchelleFPAparam!$AC$3)-(BD10-1024)*SIN(EchelleFPAparam!$AC$3)*EchelleFPAparam!$C$3/EchelleFPAparam!$E$3))</f>
        <v>1260.2763249918873</v>
      </c>
      <c r="EG10" s="26">
        <f>(EchelleFPAparam!$S$3/($U10+F$53)*COS((BE10-EchelleFPAparam!$AE6)*EchelleFPAparam!$C$3/EchelleFPAparam!$E$3))*(SIN('Standard Settings'!$F5)+SIN('Standard Settings'!$F5+EchelleFPAparam!$M$3+EchelleFPAparam!$J$3*EchelleFPAparam!$B$6*COS(EchelleFPAparam!$AC$3)-(BE10-1024)*SIN(EchelleFPAparam!$AC$3)*EchelleFPAparam!$C$3/EchelleFPAparam!$E$3))</f>
        <v>1232.923582839506</v>
      </c>
      <c r="EH10" s="26">
        <f>(EchelleFPAparam!$S$3/($U10+G$53)*COS((BF10-EchelleFPAparam!$AE6)*EchelleFPAparam!$C$3/EchelleFPAparam!$E$3))*(SIN('Standard Settings'!$F5)+SIN('Standard Settings'!$F5+EchelleFPAparam!$M$3+EchelleFPAparam!$J$3*EchelleFPAparam!$B$6*COS(EchelleFPAparam!$AC$3)-(BF10-1024)*SIN(EchelleFPAparam!$AC$3)*EchelleFPAparam!$C$3/EchelleFPAparam!$E$3))</f>
        <v>1206.7241416818279</v>
      </c>
      <c r="EI10" s="26">
        <f>(EchelleFPAparam!$S$3/($U10+H$53)*COS((BG10-EchelleFPAparam!$AE6)*EchelleFPAparam!$C$3/EchelleFPAparam!$E$3))*(SIN('Standard Settings'!$F5)+SIN('Standard Settings'!$F5+EchelleFPAparam!$M$3+EchelleFPAparam!$J$3*EchelleFPAparam!$B$6*COS(EchelleFPAparam!$AC$3)-(BG10-1024)*SIN(EchelleFPAparam!$AC$3)*EchelleFPAparam!$C$3/EchelleFPAparam!$E$3))</f>
        <v>1181.6071011604645</v>
      </c>
      <c r="EJ10" s="26">
        <f>(EchelleFPAparam!$S$3/($U10+I$53)*COS((BH10-EchelleFPAparam!$AE6)*EchelleFPAparam!$C$3/EchelleFPAparam!$E$3))*(SIN('Standard Settings'!$F5)+SIN('Standard Settings'!$F5+EchelleFPAparam!$M$3+EchelleFPAparam!$J$3*EchelleFPAparam!$B$6*COS(EchelleFPAparam!$AC$3)-(BH10-1024)*SIN(EchelleFPAparam!$AC$3)*EchelleFPAparam!$C$3/EchelleFPAparam!$E$3))</f>
        <v>1157.5074267220496</v>
      </c>
      <c r="EK10" s="26">
        <f>(EchelleFPAparam!$S$3/($U10+J$53)*COS((BI10-EchelleFPAparam!$AE6)*EchelleFPAparam!$C$3/EchelleFPAparam!$E$3))*(SIN('Standard Settings'!$F5)+SIN('Standard Settings'!$F5+EchelleFPAparam!$M$3+EchelleFPAparam!$J$3*EchelleFPAparam!$B$6*COS(EchelleFPAparam!$AC$3)-(BI10-1024)*SIN(EchelleFPAparam!$AC$3)*EchelleFPAparam!$C$3/EchelleFPAparam!$E$3))</f>
        <v>1134.364900044453</v>
      </c>
      <c r="EL10" s="26">
        <f>(EchelleFPAparam!$S$3/($U10+K$53)*COS((BJ10-EchelleFPAparam!$AE6)*EchelleFPAparam!$C$3/EchelleFPAparam!$E$3))*(SIN('Standard Settings'!$F5)+SIN('Standard Settings'!$F5+EchelleFPAparam!$M$3+EchelleFPAparam!$J$3*EchelleFPAparam!$B$6*COS(EchelleFPAparam!$AC$3)-(BJ10-1024)*SIN(EchelleFPAparam!$AC$3)*EchelleFPAparam!$C$3/EchelleFPAparam!$E$3))</f>
        <v>1111.7620287165546</v>
      </c>
      <c r="EM10" s="26">
        <f>(EchelleFPAparam!$S$3/($U10+B$53)*COS((BA10-EchelleFPAparam!$AE6)*EchelleFPAparam!$C$3/EchelleFPAparam!$E$3))*(SIN('Standard Settings'!$F5)+SIN('Standard Settings'!$F5+EchelleFPAparam!$M$3+EchelleFPAparam!$K$3*EchelleFPAparam!$B$6*COS(EchelleFPAparam!$AC$3)-(BA10-1024)*SIN(EchelleFPAparam!$AC$3)*EchelleFPAparam!$C$3/EchelleFPAparam!$E$3))</f>
        <v>1358.2610078567702</v>
      </c>
      <c r="EN10" s="26">
        <f>(EchelleFPAparam!$S$3/($U10+C$53)*COS((BB10-EchelleFPAparam!$AE6)*EchelleFPAparam!$C$3/EchelleFPAparam!$E$3))*(SIN('Standard Settings'!$F5)+SIN('Standard Settings'!$F5+EchelleFPAparam!$M$3+EchelleFPAparam!$K$3*EchelleFPAparam!$B$6*COS(EchelleFPAparam!$AC$3)-(BB10-1024)*SIN(EchelleFPAparam!$AC$3)*EchelleFPAparam!$C$3/EchelleFPAparam!$E$3))</f>
        <v>1326.766724798839</v>
      </c>
      <c r="EO10" s="26">
        <f>(EchelleFPAparam!$S$3/($U10+D$53)*COS((BC10-EchelleFPAparam!$AE6)*EchelleFPAparam!$C$3/EchelleFPAparam!$E$3))*(SIN('Standard Settings'!$F5)+SIN('Standard Settings'!$F5+EchelleFPAparam!$M$3+EchelleFPAparam!$K$3*EchelleFPAparam!$B$6*COS(EchelleFPAparam!$AC$3)-(BC10-1024)*SIN(EchelleFPAparam!$AC$3)*EchelleFPAparam!$C$3/EchelleFPAparam!$E$3))</f>
        <v>1296.6865548089145</v>
      </c>
      <c r="EP10" s="26">
        <f>(EchelleFPAparam!$S$3/($U10+E$53)*COS((BD10-EchelleFPAparam!$AE6)*EchelleFPAparam!$C$3/EchelleFPAparam!$E$3))*(SIN('Standard Settings'!$F5)+SIN('Standard Settings'!$F5+EchelleFPAparam!$M$3+EchelleFPAparam!$K$3*EchelleFPAparam!$B$6*COS(EchelleFPAparam!$AC$3)-(BD10-1024)*SIN(EchelleFPAparam!$AC$3)*EchelleFPAparam!$C$3/EchelleFPAparam!$E$3))</f>
        <v>1267.9287670894767</v>
      </c>
      <c r="EQ10" s="26">
        <f>(EchelleFPAparam!$S$3/($U10+F$53)*COS((BE10-EchelleFPAparam!$AE6)*EchelleFPAparam!$C$3/EchelleFPAparam!$E$3))*(SIN('Standard Settings'!$F5)+SIN('Standard Settings'!$F5+EchelleFPAparam!$M$3+EchelleFPAparam!$K$3*EchelleFPAparam!$B$6*COS(EchelleFPAparam!$AC$3)-(BE10-1024)*SIN(EchelleFPAparam!$AC$3)*EchelleFPAparam!$C$3/EchelleFPAparam!$E$3))</f>
        <v>1240.4088104808513</v>
      </c>
      <c r="ER10" s="26">
        <f>(EchelleFPAparam!$S$3/($U10+G$53)*COS((BF10-EchelleFPAparam!$AE6)*EchelleFPAparam!$C$3/EchelleFPAparam!$E$3))*(SIN('Standard Settings'!$F5)+SIN('Standard Settings'!$F5+EchelleFPAparam!$M$3+EchelleFPAparam!$K$3*EchelleFPAparam!$B$6*COS(EchelleFPAparam!$AC$3)-(BF10-1024)*SIN(EchelleFPAparam!$AC$3)*EchelleFPAparam!$C$3/EchelleFPAparam!$E$3))</f>
        <v>1214.0492559815555</v>
      </c>
      <c r="ES10" s="26">
        <f>(EchelleFPAparam!$S$3/($U10+H$53)*COS((BG10-EchelleFPAparam!$AE6)*EchelleFPAparam!$C$3/EchelleFPAparam!$E$3))*(SIN('Standard Settings'!$F5)+SIN('Standard Settings'!$F5+EchelleFPAparam!$M$3+EchelleFPAparam!$K$3*EchelleFPAparam!$B$6*COS(EchelleFPAparam!$AC$3)-(BG10-1024)*SIN(EchelleFPAparam!$AC$3)*EchelleFPAparam!$C$3/EchelleFPAparam!$E$3))</f>
        <v>1188.7787668332569</v>
      </c>
      <c r="ET10" s="26">
        <f>(EchelleFPAparam!$S$3/($U10+I$53)*COS((BH10-EchelleFPAparam!$AE6)*EchelleFPAparam!$C$3/EchelleFPAparam!$E$3))*(SIN('Standard Settings'!$F5)+SIN('Standard Settings'!$F5+EchelleFPAparam!$M$3+EchelleFPAparam!$K$3*EchelleFPAparam!$B$6*COS(EchelleFPAparam!$AC$3)-(BH10-1024)*SIN(EchelleFPAparam!$AC$3)*EchelleFPAparam!$C$3/EchelleFPAparam!$E$3))</f>
        <v>1164.5318978950108</v>
      </c>
      <c r="EU10" s="26">
        <f>(EchelleFPAparam!$S$3/($U10+J$53)*COS((BI10-EchelleFPAparam!$AE6)*EchelleFPAparam!$C$3/EchelleFPAparam!$E$3))*(SIN('Standard Settings'!$F5)+SIN('Standard Settings'!$F5+EchelleFPAparam!$M$3+EchelleFPAparam!$K$3*EchelleFPAparam!$B$6*COS(EchelleFPAparam!$AC$3)-(BI10-1024)*SIN(EchelleFPAparam!$AC$3)*EchelleFPAparam!$C$3/EchelleFPAparam!$E$3))</f>
        <v>1141.2480614442632</v>
      </c>
      <c r="EV10" s="26">
        <f>(EchelleFPAparam!$S$3/($U10+K$53)*COS((BJ10-EchelleFPAparam!$AE6)*EchelleFPAparam!$C$3/EchelleFPAparam!$E$3))*(SIN('Standard Settings'!$F5)+SIN('Standard Settings'!$F5+EchelleFPAparam!$M$3+EchelleFPAparam!$K$3*EchelleFPAparam!$B$6*COS(EchelleFPAparam!$AC$3)-(BJ10-1024)*SIN(EchelleFPAparam!$AC$3)*EchelleFPAparam!$C$3/EchelleFPAparam!$E$3))</f>
        <v>1118.5167563703985</v>
      </c>
      <c r="EW10" s="60">
        <f>CW10</f>
        <v>1118.4761859524867</v>
      </c>
      <c r="EX10" s="60">
        <f t="shared" si="20"/>
        <v>1358.2610078567702</v>
      </c>
      <c r="EY10" s="90">
        <v>0.39</v>
      </c>
      <c r="EZ10" s="90">
        <v>0.36</v>
      </c>
      <c r="FA10" s="50">
        <v>30000</v>
      </c>
      <c r="FB10" s="50">
        <v>5000</v>
      </c>
      <c r="FC10" s="50">
        <v>5000</v>
      </c>
      <c r="FD10" s="50">
        <v>5750</v>
      </c>
      <c r="FE10" s="95">
        <v>100</v>
      </c>
      <c r="FF10" s="50">
        <v>5000</v>
      </c>
      <c r="FG10" s="50">
        <v>225</v>
      </c>
      <c r="FH10" s="50">
        <f t="shared" si="27"/>
        <v>1250</v>
      </c>
      <c r="FI10" s="50">
        <f t="shared" si="28"/>
        <v>1250</v>
      </c>
      <c r="FJ10" s="50">
        <f t="shared" si="29"/>
        <v>1437.5</v>
      </c>
      <c r="FK10" s="95">
        <f t="shared" si="30"/>
        <v>25</v>
      </c>
      <c r="FL10" s="50">
        <f t="shared" si="31"/>
        <v>1250</v>
      </c>
      <c r="FM10" s="50">
        <f t="shared" si="32"/>
        <v>56.25</v>
      </c>
      <c r="FN10" s="50">
        <v>500</v>
      </c>
      <c r="FO10" s="91">
        <f>1/(F10*EchelleFPAparam!$Q$3)</f>
        <v>-9926.7213030856474</v>
      </c>
      <c r="FP10" s="91">
        <f t="shared" si="22"/>
        <v>-38.202123744341804</v>
      </c>
      <c r="FQ10" s="50">
        <v>-999999</v>
      </c>
      <c r="FR10" s="50">
        <v>-999999</v>
      </c>
      <c r="FS10" s="90">
        <v>1</v>
      </c>
      <c r="FT10" s="90">
        <v>345.31099999999998</v>
      </c>
      <c r="FU10" s="90">
        <v>1329.5830000000001</v>
      </c>
      <c r="FV10" s="50">
        <v>-999999</v>
      </c>
      <c r="FW10" s="50">
        <v>-999999</v>
      </c>
      <c r="FX10" s="50">
        <v>-999999</v>
      </c>
      <c r="FY10" s="90">
        <v>1</v>
      </c>
      <c r="FZ10" s="90">
        <v>632.73900000000003</v>
      </c>
      <c r="GA10" s="90">
        <v>385.84399999999999</v>
      </c>
      <c r="GB10" s="50">
        <v>-999999</v>
      </c>
      <c r="GC10" s="50">
        <v>-999999</v>
      </c>
      <c r="GD10" s="50">
        <v>-999999</v>
      </c>
      <c r="GE10" s="90">
        <v>1</v>
      </c>
      <c r="GF10" s="90">
        <v>1530.9849999999999</v>
      </c>
      <c r="GG10" s="90">
        <v>1725.338</v>
      </c>
      <c r="GH10" s="50">
        <v>-999999</v>
      </c>
      <c r="GI10" s="50">
        <v>-999999</v>
      </c>
      <c r="GJ10" s="50">
        <v>-999999</v>
      </c>
      <c r="GK10" s="90">
        <v>2</v>
      </c>
      <c r="GL10" s="90">
        <v>1018.229</v>
      </c>
      <c r="GM10" s="90">
        <v>855.13800000000003</v>
      </c>
      <c r="GN10" s="50">
        <v>-999999</v>
      </c>
      <c r="GO10" s="50">
        <v>-999999</v>
      </c>
      <c r="GP10" s="50">
        <v>-999999</v>
      </c>
      <c r="GQ10" s="90">
        <v>3</v>
      </c>
      <c r="GR10" s="90">
        <v>439.79</v>
      </c>
      <c r="GS10" s="90">
        <v>1509.329</v>
      </c>
      <c r="GT10" s="50">
        <v>-999999</v>
      </c>
      <c r="GU10" s="50">
        <v>-999999</v>
      </c>
      <c r="GV10" s="50">
        <v>-999999</v>
      </c>
      <c r="GW10" s="90">
        <v>3</v>
      </c>
      <c r="GX10" s="90">
        <v>1020.995</v>
      </c>
      <c r="GY10" s="90">
        <v>828.79899999999998</v>
      </c>
      <c r="GZ10" s="50">
        <v>-999999</v>
      </c>
      <c r="HA10" s="50">
        <v>-999999</v>
      </c>
      <c r="HB10" s="50">
        <v>-999999</v>
      </c>
      <c r="HC10" s="90">
        <v>3</v>
      </c>
      <c r="HD10" s="90">
        <v>1319.8209999999999</v>
      </c>
      <c r="HE10" s="90">
        <v>1500.144</v>
      </c>
      <c r="HF10" s="50">
        <v>-999999</v>
      </c>
      <c r="HG10" s="50">
        <v>-999999</v>
      </c>
      <c r="HH10" s="50">
        <v>-999999</v>
      </c>
      <c r="HI10" s="50">
        <v>-999999</v>
      </c>
      <c r="HJ10" s="50">
        <v>-999999</v>
      </c>
      <c r="HK10" s="50">
        <v>-999999</v>
      </c>
      <c r="HL10" s="50">
        <v>-999999</v>
      </c>
      <c r="HM10" s="50">
        <v>-999999</v>
      </c>
      <c r="HN10" s="50">
        <v>-999999</v>
      </c>
      <c r="HO10" s="50">
        <v>-999999</v>
      </c>
      <c r="HP10" s="50">
        <v>-999999</v>
      </c>
      <c r="HQ10" s="50">
        <v>-999999</v>
      </c>
      <c r="HR10" s="50">
        <v>-999999</v>
      </c>
      <c r="HS10" s="50">
        <v>-999999</v>
      </c>
      <c r="HT10" s="50">
        <v>-999999</v>
      </c>
      <c r="HU10" s="50">
        <v>-999999</v>
      </c>
      <c r="HV10" s="50">
        <v>-999999</v>
      </c>
      <c r="HW10" s="50">
        <v>-999999</v>
      </c>
      <c r="HX10" s="50">
        <v>-999999</v>
      </c>
      <c r="HY10" s="50"/>
      <c r="HZ10" s="50"/>
      <c r="IA10" s="50"/>
      <c r="IB10" s="50"/>
      <c r="IC10" s="50"/>
      <c r="ID10" s="50"/>
      <c r="IE10" s="50"/>
      <c r="IF10" s="50"/>
      <c r="IG10" s="50"/>
      <c r="IH10" s="50"/>
      <c r="II10" s="50"/>
      <c r="IJ10" s="50"/>
      <c r="IK10" s="50"/>
      <c r="IL10" s="50"/>
      <c r="IM10" s="50"/>
      <c r="IN10" s="50"/>
      <c r="IO10" s="50"/>
      <c r="IP10" s="50"/>
      <c r="IQ10" s="50"/>
      <c r="IR10" s="50"/>
      <c r="IS10" s="50"/>
      <c r="IT10" s="50"/>
      <c r="IU10" s="50"/>
      <c r="IV10" s="50"/>
      <c r="IW10" s="50"/>
      <c r="IX10" s="50"/>
      <c r="IY10" s="50"/>
      <c r="IZ10" s="50"/>
      <c r="JA10" s="50"/>
      <c r="JB10" s="50"/>
      <c r="JC10" s="50"/>
      <c r="JD10" s="50"/>
      <c r="JE10" s="50"/>
      <c r="JF10" s="50"/>
      <c r="JG10" s="50"/>
      <c r="JH10" s="50"/>
      <c r="JI10" s="50"/>
      <c r="JJ10" s="50"/>
      <c r="JK10" s="50"/>
      <c r="JL10" s="50"/>
      <c r="JM10" s="50"/>
      <c r="JN10" s="50"/>
      <c r="JO10" s="50"/>
      <c r="JP10" s="50"/>
      <c r="JQ10" s="50"/>
      <c r="JR10" s="50"/>
      <c r="JS10" s="50"/>
      <c r="JT10" s="50"/>
      <c r="JU10" s="50"/>
      <c r="JV10" s="50"/>
      <c r="JW10" s="52">
        <f t="shared" si="23"/>
        <v>2748.194769040027</v>
      </c>
      <c r="JX10" s="27">
        <f t="shared" si="24"/>
        <v>319219.28275008552</v>
      </c>
      <c r="JY10" s="107">
        <f>JW10*EchelleFPAparam!$Q$3</f>
        <v>-2.6176555175106257E-2</v>
      </c>
      <c r="KA10" s="19"/>
      <c r="KB10" s="19"/>
      <c r="KC10" s="19"/>
      <c r="KD10" s="19"/>
      <c r="KE10" s="19"/>
      <c r="KF10" s="19"/>
      <c r="KG10" s="19"/>
      <c r="KH10" s="19"/>
      <c r="KI10" s="19"/>
      <c r="KJ10" s="19"/>
      <c r="KK10" s="19"/>
      <c r="KL10" s="19"/>
      <c r="KM10" s="19"/>
      <c r="KW10" s="19"/>
      <c r="KX10" s="19"/>
      <c r="KY10" s="19"/>
      <c r="KZ10" s="19"/>
      <c r="LA10" s="19"/>
      <c r="LB10" s="19"/>
      <c r="LC10" s="19"/>
      <c r="LD10" s="19"/>
      <c r="LE10" s="19"/>
      <c r="LF10" s="19"/>
    </row>
    <row r="11" spans="1:318" x14ac:dyDescent="0.2">
      <c r="A11" s="53">
        <f t="shared" ref="A11:A36" si="35">A10+1</f>
        <v>5</v>
      </c>
      <c r="B11" s="96">
        <f t="shared" ref="B11" si="36">AA11</f>
        <v>1226.4661010088366</v>
      </c>
      <c r="C11" s="27" t="str">
        <f>'Standard Settings'!B6</f>
        <v>J/3/3</v>
      </c>
      <c r="D11" s="27">
        <f>'Standard Settings'!H6</f>
        <v>46</v>
      </c>
      <c r="E11" s="19">
        <f t="shared" ref="E11" si="37">(DW11-DM11)/2048</f>
        <v>3.8725681659306233E-3</v>
      </c>
      <c r="F11" s="18">
        <f>((EchelleFPAparam!$S$3/('crmcfgWLEN.txt'!$U11+F$53))*(SIN('Standard Settings'!$F6+0.0005)+SIN('Standard Settings'!$F6+0.0005+EchelleFPAparam!$M$3))-(EchelleFPAparam!$S$3/('crmcfgWLEN.txt'!$U11+F$53))*(SIN('Standard Settings'!$F6-0.0005)+SIN('Standard Settings'!$F6-0.0005+EchelleFPAparam!$M$3)))*1000*EchelleFPAparam!$O$3/180</f>
        <v>10.647418675475782</v>
      </c>
      <c r="G11" s="20" t="str">
        <f>'Standard Settings'!C6</f>
        <v>J</v>
      </c>
      <c r="H11" s="46"/>
      <c r="I11" s="59" t="s">
        <v>353</v>
      </c>
      <c r="J11" s="57"/>
      <c r="K11" s="27" t="str">
        <f>'Standard Settings'!$D6</f>
        <v>YJ</v>
      </c>
      <c r="L11" s="46"/>
      <c r="M11" s="12">
        <v>2.5</v>
      </c>
      <c r="N11" s="12">
        <v>2.5</v>
      </c>
      <c r="O11" s="27" t="str">
        <f>'Standard Settings'!$D6</f>
        <v>YJ</v>
      </c>
      <c r="P11" s="46"/>
      <c r="Q11" s="27">
        <f>'Standard Settings'!$E6</f>
        <v>65.157450000000011</v>
      </c>
      <c r="R11" s="106">
        <f>'Standard Settings'!$J6</f>
        <v>550000</v>
      </c>
      <c r="S11" s="21">
        <f>'Standard Settings'!$G6</f>
        <v>42</v>
      </c>
      <c r="T11" s="21">
        <f>'Standard Settings'!$I6</f>
        <v>50</v>
      </c>
      <c r="U11" s="22">
        <f t="shared" ref="U11" si="38">D11-4</f>
        <v>42</v>
      </c>
      <c r="V11" s="22">
        <f t="shared" si="26"/>
        <v>51</v>
      </c>
      <c r="W11" s="23">
        <f>IF(AND($U11-$S11+B$53&gt;=0,$U11-$T11+B$53&lt;=0),(EchelleFPAparam!$S$3/('crmcfgWLEN.txt'!$U11+B$53))*(SIN('Standard Settings'!$F6)+SIN('Standard Settings'!$F6+EchelleFPAparam!$M$3)),-1)</f>
        <v>1343.2723963430117</v>
      </c>
      <c r="X11" s="23">
        <f>IF(AND($U11-$S11+C$53&gt;=0,$U11-$T11+C$53&lt;=0),(EchelleFPAparam!$S$3/('crmcfgWLEN.txt'!$U11+C$53))*(SIN('Standard Settings'!$F6)+SIN('Standard Settings'!$F6+EchelleFPAparam!$M$3)),-1)</f>
        <v>1312.0335034048021</v>
      </c>
      <c r="Y11" s="23">
        <f>IF(AND($U11-$S11+D$53&gt;=0,$U11-$T11+D$53&lt;=0),(EchelleFPAparam!$S$3/('crmcfgWLEN.txt'!$U11+D$53))*(SIN('Standard Settings'!$F6)+SIN('Standard Settings'!$F6+EchelleFPAparam!$M$3)),-1)</f>
        <v>1282.214560145602</v>
      </c>
      <c r="Z11" s="23">
        <f>IF(AND($U11-$S11+E$53&gt;=0,$U11-$T11+E$53&lt;=0),(EchelleFPAparam!$S$3/('crmcfgWLEN.txt'!$U11+E$53))*(SIN('Standard Settings'!$F6)+SIN('Standard Settings'!$F6+EchelleFPAparam!$M$3)),-1)</f>
        <v>1253.7209032534774</v>
      </c>
      <c r="AA11" s="23">
        <f>IF(AND($U11-$S11+F$53&gt;=0,$U11-$T11+F$53&lt;=0),(EchelleFPAparam!$S$3/('crmcfgWLEN.txt'!$U11+F$53))*(SIN('Standard Settings'!$F6)+SIN('Standard Settings'!$F6+EchelleFPAparam!$M$3)),-1)</f>
        <v>1226.4661010088366</v>
      </c>
      <c r="AB11" s="23">
        <f>IF(AND($U11-$S11+G$53&gt;=0,$U11-$T11+G$53&lt;=0),(EchelleFPAparam!$S$3/('crmcfgWLEN.txt'!$U11+G$53))*(SIN('Standard Settings'!$F6)+SIN('Standard Settings'!$F6+EchelleFPAparam!$M$3)),-1)</f>
        <v>1200.3710775831169</v>
      </c>
      <c r="AC11" s="23">
        <f>IF(AND($U11-$S11+H$53&gt;=0,$U11-$T11+H$53&lt;=0),(EchelleFPAparam!$S$3/('crmcfgWLEN.txt'!$U11+H$53))*(SIN('Standard Settings'!$F6)+SIN('Standard Settings'!$F6+EchelleFPAparam!$M$3)),-1)</f>
        <v>1175.3633468001351</v>
      </c>
      <c r="AD11" s="23">
        <f>IF(AND($U11-$S11+I$53&gt;=0,$U11-$T11+I$53&lt;=0),(EchelleFPAparam!$S$3/('crmcfgWLEN.txt'!$U11+I$53))*(SIN('Standard Settings'!$F6)+SIN('Standard Settings'!$F6+EchelleFPAparam!$M$3)),-1)</f>
        <v>1151.3763397225814</v>
      </c>
      <c r="AE11" s="23">
        <f>IF(AND($U11-$S11+J$53&gt;=0,$U11-$T11+J$53&lt;=0),(EchelleFPAparam!$S$3/('crmcfgWLEN.txt'!$U11+J$53))*(SIN('Standard Settings'!$F6)+SIN('Standard Settings'!$F6+EchelleFPAparam!$M$3)),-1)</f>
        <v>1128.3488129281297</v>
      </c>
      <c r="AF11" s="23">
        <f>IF(AND($U11-$S11+K$53&gt;=0,$U11-$T11+K$53&lt;=0),(EchelleFPAparam!$S$3/('crmcfgWLEN.txt'!$U11+K$53))*(SIN('Standard Settings'!$F6)+SIN('Standard Settings'!$F6+EchelleFPAparam!$M$3)),-1)</f>
        <v>-1</v>
      </c>
      <c r="AG11" s="112">
        <v>133.250210234267</v>
      </c>
      <c r="AH11" s="112">
        <v>399.25045830658399</v>
      </c>
      <c r="AI11" s="112">
        <v>651.99414370837098</v>
      </c>
      <c r="AJ11" s="112">
        <v>891.82755083105803</v>
      </c>
      <c r="AK11" s="112">
        <v>1120.40755582509</v>
      </c>
      <c r="AL11" s="112">
        <v>1322.7625105992499</v>
      </c>
      <c r="AM11" s="112">
        <v>1532.11889181785</v>
      </c>
      <c r="AN11" s="112">
        <v>1745.45489148863</v>
      </c>
      <c r="AO11" s="112">
        <v>1935</v>
      </c>
      <c r="AP11" s="131">
        <v>-100.1</v>
      </c>
      <c r="AQ11" s="112">
        <v>105.066252333832</v>
      </c>
      <c r="AR11" s="112">
        <v>373.28129741248802</v>
      </c>
      <c r="AS11" s="112">
        <v>627.93117835353803</v>
      </c>
      <c r="AT11" s="112">
        <v>870.355081570062</v>
      </c>
      <c r="AU11" s="112">
        <v>1100.6539309319901</v>
      </c>
      <c r="AV11" s="112">
        <v>1320.4720095186001</v>
      </c>
      <c r="AW11" s="112">
        <v>1529.2757744728899</v>
      </c>
      <c r="AX11" s="112">
        <v>1731.76262267722</v>
      </c>
      <c r="AY11" s="112">
        <v>1924.0545342473299</v>
      </c>
      <c r="AZ11" s="130">
        <v>-100.1</v>
      </c>
      <c r="BA11" s="112">
        <v>78.019577734892394</v>
      </c>
      <c r="BB11" s="112">
        <v>349.01557244632602</v>
      </c>
      <c r="BC11" s="112">
        <v>605.81857700165301</v>
      </c>
      <c r="BD11" s="112">
        <v>850.14055484091898</v>
      </c>
      <c r="BE11" s="112">
        <v>1082.6454499876299</v>
      </c>
      <c r="BF11" s="112">
        <v>1304.5839867939301</v>
      </c>
      <c r="BG11" s="112">
        <v>1515.8334193186499</v>
      </c>
      <c r="BH11" s="112">
        <v>1718.80576302649</v>
      </c>
      <c r="BI11" s="112">
        <v>1912.79537888765</v>
      </c>
      <c r="BJ11" s="132">
        <v>-100.1</v>
      </c>
      <c r="BK11" s="24">
        <f>EchelleFPAparam!$S$3/('crmcfgWLEN.txt'!$U11+B$53)*(SIN(EchelleFPAparam!$T$3-EchelleFPAparam!$M$3/2)+SIN('Standard Settings'!$F6+EchelleFPAparam!$M$3))</f>
        <v>1344.4017969821634</v>
      </c>
      <c r="BL11" s="24">
        <f>EchelleFPAparam!$S$3/('crmcfgWLEN.txt'!$U11+C$53)*(SIN(EchelleFPAparam!$T$3-EchelleFPAparam!$M$3/2)+SIN('Standard Settings'!$F6+EchelleFPAparam!$M$3))</f>
        <v>1313.1366389128109</v>
      </c>
      <c r="BM11" s="24">
        <f>EchelleFPAparam!$S$3/('crmcfgWLEN.txt'!$U11+D$53)*(SIN(EchelleFPAparam!$T$3-EchelleFPAparam!$M$3/2)+SIN('Standard Settings'!$F6+EchelleFPAparam!$M$3))</f>
        <v>1283.2926243920651</v>
      </c>
      <c r="BN11" s="24">
        <f>EchelleFPAparam!$S$3/('crmcfgWLEN.txt'!$U11+E$53)*(SIN(EchelleFPAparam!$T$3-EchelleFPAparam!$M$3/2)+SIN('Standard Settings'!$F6+EchelleFPAparam!$M$3))</f>
        <v>1254.7750105166858</v>
      </c>
      <c r="BO11" s="24">
        <f>EchelleFPAparam!$S$3/('crmcfgWLEN.txt'!$U11+F$53)*(SIN(EchelleFPAparam!$T$3-EchelleFPAparam!$M$3/2)+SIN('Standard Settings'!$F6+EchelleFPAparam!$M$3))</f>
        <v>1227.4972928967579</v>
      </c>
      <c r="BP11" s="24">
        <f>EchelleFPAparam!$S$3/('crmcfgWLEN.txt'!$U11+G$53)*(SIN(EchelleFPAparam!$T$3-EchelleFPAparam!$M$3/2)+SIN('Standard Settings'!$F6+EchelleFPAparam!$M$3))</f>
        <v>1201.3803292181037</v>
      </c>
      <c r="BQ11" s="24">
        <f>EchelleFPAparam!$S$3/('crmcfgWLEN.txt'!$U11+H$53)*(SIN(EchelleFPAparam!$T$3-EchelleFPAparam!$M$3/2)+SIN('Standard Settings'!$F6+EchelleFPAparam!$M$3))</f>
        <v>1176.351572359393</v>
      </c>
      <c r="BR11" s="24">
        <f>EchelleFPAparam!$S$3/('crmcfgWLEN.txt'!$U11+I$53)*(SIN(EchelleFPAparam!$T$3-EchelleFPAparam!$M$3/2)+SIN('Standard Settings'!$F6+EchelleFPAparam!$M$3))</f>
        <v>1152.3443974132829</v>
      </c>
      <c r="BS11" s="24">
        <f>EchelleFPAparam!$S$3/('crmcfgWLEN.txt'!$U11+J$53)*(SIN(EchelleFPAparam!$T$3-EchelleFPAparam!$M$3/2)+SIN('Standard Settings'!$F6+EchelleFPAparam!$M$3))</f>
        <v>1129.2975094650174</v>
      </c>
      <c r="BT11" s="24">
        <f>EchelleFPAparam!$S$3/('crmcfgWLEN.txt'!$U11+K$53)*(SIN(EchelleFPAparam!$T$3-EchelleFPAparam!$M$3/2)+SIN('Standard Settings'!$F6+EchelleFPAparam!$M$3))</f>
        <v>1107.1544210441346</v>
      </c>
      <c r="BU11" s="25">
        <f t="shared" si="33"/>
        <v>1329.9458636812799</v>
      </c>
      <c r="BV11" s="25">
        <f t="shared" si="2"/>
        <v>1299.3141479768865</v>
      </c>
      <c r="BW11" s="25">
        <f t="shared" si="3"/>
        <v>1270.0628035220439</v>
      </c>
      <c r="BX11" s="25">
        <f t="shared" si="4"/>
        <v>1242.1005154609618</v>
      </c>
      <c r="BY11" s="25">
        <f t="shared" si="5"/>
        <v>1215.3438543532257</v>
      </c>
      <c r="BZ11" s="25">
        <f t="shared" si="6"/>
        <v>1189.7164425266658</v>
      </c>
      <c r="CA11" s="25">
        <f t="shared" si="7"/>
        <v>1165.1482240512084</v>
      </c>
      <c r="CB11" s="25">
        <f t="shared" si="8"/>
        <v>1141.574823605682</v>
      </c>
      <c r="CC11" s="25">
        <f t="shared" si="9"/>
        <v>1118.9369818552466</v>
      </c>
      <c r="CD11" s="25">
        <f t="shared" si="10"/>
        <v>1097.1800568905837</v>
      </c>
      <c r="CE11" s="25">
        <f t="shared" si="34"/>
        <v>1359.1754431028464</v>
      </c>
      <c r="CF11" s="25">
        <f t="shared" si="11"/>
        <v>1327.256387718325</v>
      </c>
      <c r="CG11" s="25">
        <f t="shared" si="12"/>
        <v>1296.8009678067185</v>
      </c>
      <c r="CH11" s="25">
        <f t="shared" si="13"/>
        <v>1267.7108353673732</v>
      </c>
      <c r="CI11" s="25">
        <f t="shared" si="14"/>
        <v>1239.8962554512707</v>
      </c>
      <c r="CJ11" s="25">
        <f t="shared" si="15"/>
        <v>1213.2751839628374</v>
      </c>
      <c r="CK11" s="25">
        <f t="shared" si="16"/>
        <v>1187.7724614114259</v>
      </c>
      <c r="CL11" s="25">
        <f t="shared" si="17"/>
        <v>1163.3191059600761</v>
      </c>
      <c r="CM11" s="25">
        <f t="shared" si="18"/>
        <v>1139.851691796466</v>
      </c>
      <c r="CN11" s="25">
        <f t="shared" si="19"/>
        <v>1117.3118010537137</v>
      </c>
      <c r="CO11" s="26">
        <f>(EchelleFPAparam!$S$3/($U11+B$53)*COS((AG11-EchelleFPAparam!$AE7)*EchelleFPAparam!$C$3/EchelleFPAparam!$E$3))*(SIN('Standard Settings'!$F6)+SIN('Standard Settings'!$F6+EchelleFPAparam!$M$3+(EchelleFPAparam!$F$3*EchelleFPAparam!$B$6)*COS(EchelleFPAparam!$AC$3)-(AG11-1024)*SIN(EchelleFPAparam!$AC$3)*EchelleFPAparam!$C$3/EchelleFPAparam!$E$3))</f>
        <v>1328.857639545543</v>
      </c>
      <c r="CP11" s="26">
        <f>(EchelleFPAparam!$S$3/($U11+C$53)*COS((AH11-EchelleFPAparam!$AE7)*EchelleFPAparam!$C$3/EchelleFPAparam!$E$3))*(SIN('Standard Settings'!$F6)+SIN('Standard Settings'!$F6+EchelleFPAparam!$M$3+(EchelleFPAparam!$F$3*EchelleFPAparam!$B$6)*COS(EchelleFPAparam!$AC$3)-(AH11-1024)*SIN(EchelleFPAparam!$AC$3)*EchelleFPAparam!$C$3/EchelleFPAparam!$E$3))</f>
        <v>1298.0440863389051</v>
      </c>
      <c r="CQ11" s="26">
        <f>(EchelleFPAparam!$S$3/($U11+D$53)*COS((AI11-EchelleFPAparam!$AE7)*EchelleFPAparam!$C$3/EchelleFPAparam!$E$3))*(SIN('Standard Settings'!$F6)+SIN('Standard Settings'!$F6+EchelleFPAparam!$M$3+(EchelleFPAparam!$F$3*EchelleFPAparam!$B$6)*COS(EchelleFPAparam!$AC$3)-(AI11-1024)*SIN(EchelleFPAparam!$AC$3)*EchelleFPAparam!$C$3/EchelleFPAparam!$E$3))</f>
        <v>1268.6149736940079</v>
      </c>
      <c r="CR11" s="26">
        <f>(EchelleFPAparam!$S$3/($U11+E$53)*COS((AJ11-EchelleFPAparam!$AE7)*EchelleFPAparam!$C$3/EchelleFPAparam!$E$3))*(SIN('Standard Settings'!$F6)+SIN('Standard Settings'!$F6+EchelleFPAparam!$M$3+(EchelleFPAparam!$F$3*EchelleFPAparam!$B$6)*COS(EchelleFPAparam!$AC$3)-(AJ11-1024)*SIN(EchelleFPAparam!$AC$3)*EchelleFPAparam!$C$3/EchelleFPAparam!$E$3))</f>
        <v>1240.4798456722849</v>
      </c>
      <c r="CS11" s="26">
        <f>(EchelleFPAparam!$S$3/($U11+F$53)*COS((AK11-EchelleFPAparam!$AE7)*EchelleFPAparam!$C$3/EchelleFPAparam!$E$3))*(SIN('Standard Settings'!$F6)+SIN('Standard Settings'!$F6+EchelleFPAparam!$M$3+(EchelleFPAparam!$F$3*EchelleFPAparam!$B$6)*COS(EchelleFPAparam!$AC$3)-(AK11-1024)*SIN(EchelleFPAparam!$AC$3)*EchelleFPAparam!$C$3/EchelleFPAparam!$E$3))</f>
        <v>1213.5561903938562</v>
      </c>
      <c r="CT11" s="26">
        <f>(EchelleFPAparam!$S$3/($U11+G$53)*COS((AL11-EchelleFPAparam!$AE7)*EchelleFPAparam!$C$3/EchelleFPAparam!$E$3))*(SIN('Standard Settings'!$F6)+SIN('Standard Settings'!$F6+EchelleFPAparam!$M$3+(EchelleFPAparam!$F$3*EchelleFPAparam!$B$6)*COS(EchelleFPAparam!$AC$3)-(AL11-1024)*SIN(EchelleFPAparam!$AC$3)*EchelleFPAparam!$C$3/EchelleFPAparam!$E$3))</f>
        <v>1187.7660198219849</v>
      </c>
      <c r="CU11" s="26">
        <f>(EchelleFPAparam!$S$3/($U11+H$53)*COS((AM11-EchelleFPAparam!$AE7)*EchelleFPAparam!$C$3/EchelleFPAparam!$E$3))*(SIN('Standard Settings'!$F6)+SIN('Standard Settings'!$F6+EchelleFPAparam!$M$3+(EchelleFPAparam!$F$3*EchelleFPAparam!$B$6)*COS(EchelleFPAparam!$AC$3)-(AM11-1024)*SIN(EchelleFPAparam!$AC$3)*EchelleFPAparam!$C$3/EchelleFPAparam!$E$3))</f>
        <v>1163.0443566220147</v>
      </c>
      <c r="CV11" s="26">
        <f>(EchelleFPAparam!$S$3/($U11+I$53)*COS((AN11-EchelleFPAparam!$AE7)*EchelleFPAparam!$C$3/EchelleFPAparam!$E$3))*(SIN('Standard Settings'!$F6)+SIN('Standard Settings'!$F6+EchelleFPAparam!$M$3+(EchelleFPAparam!$F$3*EchelleFPAparam!$B$6)*COS(EchelleFPAparam!$AC$3)-(AN11-1024)*SIN(EchelleFPAparam!$AC$3)*EchelleFPAparam!$C$3/EchelleFPAparam!$E$3))</f>
        <v>1139.3248955948964</v>
      </c>
      <c r="CW11" s="26">
        <f>(EchelleFPAparam!$S$3/($U11+J$53)*COS((AO11-EchelleFPAparam!$AE7)*EchelleFPAparam!$C$3/EchelleFPAparam!$E$3))*(SIN('Standard Settings'!$F6)+SIN('Standard Settings'!$F6+EchelleFPAparam!$M$3+(EchelleFPAparam!$F$3*EchelleFPAparam!$B$6)*COS(EchelleFPAparam!$AC$3)-(AO11-1024)*SIN(EchelleFPAparam!$AC$3)*EchelleFPAparam!$C$3/EchelleFPAparam!$E$3))</f>
        <v>1116.546405518269</v>
      </c>
      <c r="CX11" s="26">
        <f>(EchelleFPAparam!$S$3/($U11+K$53)*COS((AP11-EchelleFPAparam!$AE7)*EchelleFPAparam!$C$3/EchelleFPAparam!$E$3))*(SIN('Standard Settings'!$F6)+SIN('Standard Settings'!$F6+EchelleFPAparam!$M$3+(EchelleFPAparam!$F$3*EchelleFPAparam!$B$6)*COS(EchelleFPAparam!$AC$3)-(AP11-1024)*SIN(EchelleFPAparam!$AC$3)*EchelleFPAparam!$C$3/EchelleFPAparam!$E$3))</f>
        <v>1094.2776619054648</v>
      </c>
      <c r="CY11" s="26">
        <f>(EchelleFPAparam!$S$3/($U11+B$53)*COS((AG11-EchelleFPAparam!$AE7)*EchelleFPAparam!$C$3/EchelleFPAparam!$E$3))*(SIN('Standard Settings'!$F6)+SIN('Standard Settings'!$F6+EchelleFPAparam!$M$3+EchelleFPAparam!$G$3*EchelleFPAparam!$B$6*COS(EchelleFPAparam!$AC$3)-(AG11-1024)*SIN(EchelleFPAparam!$AC$3)*EchelleFPAparam!$C$3/EchelleFPAparam!$E$3))</f>
        <v>1337.97381216913</v>
      </c>
      <c r="CZ11" s="26">
        <f>(EchelleFPAparam!$S$3/($U11+C$53)*COS((AH11-EchelleFPAparam!$AE7)*EchelleFPAparam!$C$3/EchelleFPAparam!$E$3))*(SIN('Standard Settings'!$F6)+SIN('Standard Settings'!$F6+EchelleFPAparam!$M$3+EchelleFPAparam!$G$3*EchelleFPAparam!$B$6*COS(EchelleFPAparam!$AC$3)-(AH11-1024)*SIN(EchelleFPAparam!$AC$3)*EchelleFPAparam!$C$3/EchelleFPAparam!$E$3))</f>
        <v>1306.9474931598641</v>
      </c>
      <c r="DA11" s="26">
        <f>(EchelleFPAparam!$S$3/($U11+D$53)*COS((AI11-EchelleFPAparam!$AE7)*EchelleFPAparam!$C$3/EchelleFPAparam!$E$3))*(SIN('Standard Settings'!$F6)+SIN('Standard Settings'!$F6+EchelleFPAparam!$M$3+EchelleFPAparam!$G$3*EchelleFPAparam!$B$6*COS(EchelleFPAparam!$AC$3)-(AI11-1024)*SIN(EchelleFPAparam!$AC$3)*EchelleFPAparam!$C$3/EchelleFPAparam!$E$3))</f>
        <v>1277.315242010264</v>
      </c>
      <c r="DB11" s="26">
        <f>(EchelleFPAparam!$S$3/($U11+E$53)*COS((AJ11-EchelleFPAparam!$AE7)*EchelleFPAparam!$C$3/EchelleFPAparam!$E$3))*(SIN('Standard Settings'!$F6)+SIN('Standard Settings'!$F6+EchelleFPAparam!$M$3+EchelleFPAparam!$G$3*EchelleFPAparam!$B$6*COS(EchelleFPAparam!$AC$3)-(AJ11-1024)*SIN(EchelleFPAparam!$AC$3)*EchelleFPAparam!$C$3/EchelleFPAparam!$E$3))</f>
        <v>1248.9859719175549</v>
      </c>
      <c r="DC11" s="26">
        <f>(EchelleFPAparam!$S$3/($U11+F$53)*COS((AK11-EchelleFPAparam!$AE7)*EchelleFPAparam!$C$3/EchelleFPAparam!$E$3))*(SIN('Standard Settings'!$F6)+SIN('Standard Settings'!$F6+EchelleFPAparam!$M$3+EchelleFPAparam!$G$3*EchelleFPAparam!$B$6*COS(EchelleFPAparam!$AC$3)-(AK11-1024)*SIN(EchelleFPAparam!$AC$3)*EchelleFPAparam!$C$3/EchelleFPAparam!$E$3))</f>
        <v>1221.8765891649753</v>
      </c>
      <c r="DD11" s="26">
        <f>(EchelleFPAparam!$S$3/($U11+G$53)*COS((AL11-EchelleFPAparam!$AE7)*EchelleFPAparam!$C$3/EchelleFPAparam!$E$3))*(SIN('Standard Settings'!$F6)+SIN('Standard Settings'!$F6+EchelleFPAparam!$M$3+EchelleFPAparam!$G$3*EchelleFPAparam!$B$6*COS(EchelleFPAparam!$AC$3)-(AL11-1024)*SIN(EchelleFPAparam!$AC$3)*EchelleFPAparam!$C$3/EchelleFPAparam!$E$3))</f>
        <v>1195.908635188915</v>
      </c>
      <c r="DE11" s="26">
        <f>(EchelleFPAparam!$S$3/($U11+H$53)*COS((AM11-EchelleFPAparam!$AE7)*EchelleFPAparam!$C$3/EchelleFPAparam!$E$3))*(SIN('Standard Settings'!$F6)+SIN('Standard Settings'!$F6+EchelleFPAparam!$M$3+EchelleFPAparam!$G$3*EchelleFPAparam!$B$6*COS(EchelleFPAparam!$AC$3)-(AM11-1024)*SIN(EchelleFPAparam!$AC$3)*EchelleFPAparam!$C$3/EchelleFPAparam!$E$3))</f>
        <v>1171.0165219579414</v>
      </c>
      <c r="DF11" s="26">
        <f>(EchelleFPAparam!$S$3/($U11+I$53)*COS((AN11-EchelleFPAparam!$AE7)*EchelleFPAparam!$C$3/EchelleFPAparam!$E$3))*(SIN('Standard Settings'!$F6)+SIN('Standard Settings'!$F6+EchelleFPAparam!$M$3+EchelleFPAparam!$G$3*EchelleFPAparam!$B$6*COS(EchelleFPAparam!$AC$3)-(AN11-1024)*SIN(EchelleFPAparam!$AC$3)*EchelleFPAparam!$C$3/EchelleFPAparam!$E$3))</f>
        <v>1147.1335029888589</v>
      </c>
      <c r="DG11" s="26">
        <f>(EchelleFPAparam!$S$3/($U11+J$53)*COS((AO11-EchelleFPAparam!$AE7)*EchelleFPAparam!$C$3/EchelleFPAparam!$E$3))*(SIN('Standard Settings'!$F6)+SIN('Standard Settings'!$F6+EchelleFPAparam!$M$3+EchelleFPAparam!$G$3*EchelleFPAparam!$B$6*COS(EchelleFPAparam!$AC$3)-(AO11-1024)*SIN(EchelleFPAparam!$AC$3)*EchelleFPAparam!$C$3/EchelleFPAparam!$E$3))</f>
        <v>1124.1980499260901</v>
      </c>
      <c r="DH11" s="26">
        <f>(EchelleFPAparam!$S$3/($U11+K$53)*COS((AP11-EchelleFPAparam!$AE7)*EchelleFPAparam!$C$3/EchelleFPAparam!$E$3))*(SIN('Standard Settings'!$F6)+SIN('Standard Settings'!$F6+EchelleFPAparam!$M$3+EchelleFPAparam!$G$3*EchelleFPAparam!$B$6*COS(EchelleFPAparam!$AC$3)-(AP11-1024)*SIN(EchelleFPAparam!$AC$3)*EchelleFPAparam!$C$3/EchelleFPAparam!$E$3))</f>
        <v>1101.7855995268858</v>
      </c>
      <c r="DI11" s="26">
        <f>(EchelleFPAparam!$S$3/($U11+B$53)*COS((AQ11-EchelleFPAparam!$AE7)*EchelleFPAparam!$C$3/EchelleFPAparam!$E$3))*(SIN('Standard Settings'!$F6)+SIN('Standard Settings'!$F6+EchelleFPAparam!$M$3+EchelleFPAparam!$H$3*EchelleFPAparam!$B$6*COS(EchelleFPAparam!$AC$3)-(AQ11-1024)*SIN(EchelleFPAparam!$AC$3)*EchelleFPAparam!$C$3/EchelleFPAparam!$E$3))</f>
        <v>1338.5901231032126</v>
      </c>
      <c r="DJ11" s="26">
        <f>(EchelleFPAparam!$S$3/($U11+C$53)*COS((AR11-EchelleFPAparam!$AE7)*EchelleFPAparam!$C$3/EchelleFPAparam!$E$3))*(SIN('Standard Settings'!$F6)+SIN('Standard Settings'!$F6+EchelleFPAparam!$M$3+EchelleFPAparam!$H$3*EchelleFPAparam!$B$6*COS(EchelleFPAparam!$AC$3)-(AR11-1024)*SIN(EchelleFPAparam!$AC$3)*EchelleFPAparam!$C$3/EchelleFPAparam!$E$3))</f>
        <v>1307.551505702716</v>
      </c>
      <c r="DK11" s="26">
        <f>(EchelleFPAparam!$S$3/($U11+D$53)*COS((AS11-EchelleFPAparam!$AE7)*EchelleFPAparam!$C$3/EchelleFPAparam!$E$3))*(SIN('Standard Settings'!$F6)+SIN('Standard Settings'!$F6+EchelleFPAparam!$M$3+EchelleFPAparam!$H$3*EchelleFPAparam!$B$6*COS(EchelleFPAparam!$AC$3)-(AS11-1024)*SIN(EchelleFPAparam!$AC$3)*EchelleFPAparam!$C$3/EchelleFPAparam!$E$3))</f>
        <v>1277.9071600666362</v>
      </c>
      <c r="DL11" s="26">
        <f>(EchelleFPAparam!$S$3/($U11+E$53)*COS((AT11-EchelleFPAparam!$AE7)*EchelleFPAparam!$C$3/EchelleFPAparam!$E$3))*(SIN('Standard Settings'!$F6)+SIN('Standard Settings'!$F6+EchelleFPAparam!$M$3+EchelleFPAparam!$H$3*EchelleFPAparam!$B$6*COS(EchelleFPAparam!$AC$3)-(AT11-1024)*SIN(EchelleFPAparam!$AC$3)*EchelleFPAparam!$C$3/EchelleFPAparam!$E$3))</f>
        <v>1249.5662554122864</v>
      </c>
      <c r="DM11" s="26">
        <f>(EchelleFPAparam!$S$3/($U11+F$53)*COS((AU11-EchelleFPAparam!$AE7)*EchelleFPAparam!$C$3/EchelleFPAparam!$E$3))*(SIN('Standard Settings'!$F6)+SIN('Standard Settings'!$F6+EchelleFPAparam!$M$3+EchelleFPAparam!$H$3*EchelleFPAparam!$B$6*COS(EchelleFPAparam!$AC$3)-(AU11-1024)*SIN(EchelleFPAparam!$AC$3)*EchelleFPAparam!$C$3/EchelleFPAparam!$E$3))</f>
        <v>1222.445341568706</v>
      </c>
      <c r="DN11" s="26">
        <f>(EchelleFPAparam!$S$3/($U11+G$53)*COS((AV11-EchelleFPAparam!$AE7)*EchelleFPAparam!$C$3/EchelleFPAparam!$E$3))*(SIN('Standard Settings'!$F6)+SIN('Standard Settings'!$F6+EchelleFPAparam!$M$3+EchelleFPAparam!$H$3*EchelleFPAparam!$B$6*COS(EchelleFPAparam!$AC$3)-(AV11-1024)*SIN(EchelleFPAparam!$AC$3)*EchelleFPAparam!$C$3/EchelleFPAparam!$E$3))</f>
        <v>1196.4681781242016</v>
      </c>
      <c r="DO11" s="26">
        <f>(EchelleFPAparam!$S$3/($U11+H$53)*COS((AW11-EchelleFPAparam!$AE7)*EchelleFPAparam!$C$3/EchelleFPAparam!$E$3))*(SIN('Standard Settings'!$F6)+SIN('Standard Settings'!$F6+EchelleFPAparam!$M$3+EchelleFPAparam!$H$3*EchelleFPAparam!$B$6*COS(EchelleFPAparam!$AC$3)-(AW11-1024)*SIN(EchelleFPAparam!$AC$3)*EchelleFPAparam!$C$3/EchelleFPAparam!$E$3))</f>
        <v>1171.5643794727303</v>
      </c>
      <c r="DP11" s="26">
        <f>(EchelleFPAparam!$S$3/($U11+I$53)*COS((AX11-EchelleFPAparam!$AE7)*EchelleFPAparam!$C$3/EchelleFPAparam!$E$3))*(SIN('Standard Settings'!$F6)+SIN('Standard Settings'!$F6+EchelleFPAparam!$M$3+EchelleFPAparam!$H$3*EchelleFPAparam!$B$6*COS(EchelleFPAparam!$AC$3)-(AX11-1024)*SIN(EchelleFPAparam!$AC$3)*EchelleFPAparam!$C$3/EchelleFPAparam!$E$3))</f>
        <v>1147.6696173025612</v>
      </c>
      <c r="DQ11" s="26">
        <f>(EchelleFPAparam!$S$3/($U11+J$53)*COS((AY11-EchelleFPAparam!$AE7)*EchelleFPAparam!$C$3/EchelleFPAparam!$E$3))*(SIN('Standard Settings'!$F6)+SIN('Standard Settings'!$F6+EchelleFPAparam!$M$3+EchelleFPAparam!$H$3*EchelleFPAparam!$B$6*COS(EchelleFPAparam!$AC$3)-(AY11-1024)*SIN(EchelleFPAparam!$AC$3)*EchelleFPAparam!$C$3/EchelleFPAparam!$E$3))</f>
        <v>1124.7238674918233</v>
      </c>
      <c r="DR11" s="26">
        <f>(EchelleFPAparam!$S$3/($U11+K$53)*COS((AZ11-EchelleFPAparam!$AE7)*EchelleFPAparam!$C$3/EchelleFPAparam!$E$3))*(SIN('Standard Settings'!$F6)+SIN('Standard Settings'!$F6+EchelleFPAparam!$M$3+EchelleFPAparam!$H$3*EchelleFPAparam!$B$6*COS(EchelleFPAparam!$AC$3)-(AZ11-1024)*SIN(EchelleFPAparam!$AC$3)*EchelleFPAparam!$C$3/EchelleFPAparam!$E$3))</f>
        <v>1102.3018110277867</v>
      </c>
      <c r="DS11" s="26">
        <f>(EchelleFPAparam!$S$3/($U11+B$53)*COS((AQ11-EchelleFPAparam!$AE7)*EchelleFPAparam!$C$3/EchelleFPAparam!$E$3))*(SIN('Standard Settings'!$F6)+SIN('Standard Settings'!$F6+EchelleFPAparam!$M$3+EchelleFPAparam!$I$3*EchelleFPAparam!$B$6*COS(EchelleFPAparam!$AC$3)-(AQ11-1024)*SIN(EchelleFPAparam!$AC$3)*EchelleFPAparam!$C$3/EchelleFPAparam!$E$3))</f>
        <v>1347.2799532334409</v>
      </c>
      <c r="DT11" s="26">
        <f>(EchelleFPAparam!$S$3/($U11+C$53)*COS((AR11-EchelleFPAparam!$AE7)*EchelleFPAparam!$C$3/EchelleFPAparam!$E$3))*(SIN('Standard Settings'!$F6)+SIN('Standard Settings'!$F6+EchelleFPAparam!$M$3+EchelleFPAparam!$I$3*EchelleFPAparam!$B$6*COS(EchelleFPAparam!$AC$3)-(AR11-1024)*SIN(EchelleFPAparam!$AC$3)*EchelleFPAparam!$C$3/EchelleFPAparam!$E$3))</f>
        <v>1316.0384497826492</v>
      </c>
      <c r="DU11" s="26">
        <f>(EchelleFPAparam!$S$3/($U11+D$53)*COS((AS11-EchelleFPAparam!$AE7)*EchelleFPAparam!$C$3/EchelleFPAparam!$E$3))*(SIN('Standard Settings'!$F6)+SIN('Standard Settings'!$F6+EchelleFPAparam!$M$3+EchelleFPAparam!$I$3*EchelleFPAparam!$B$6*COS(EchelleFPAparam!$AC$3)-(AS11-1024)*SIN(EchelleFPAparam!$AC$3)*EchelleFPAparam!$C$3/EchelleFPAparam!$E$3))</f>
        <v>1286.2004011838312</v>
      </c>
      <c r="DV11" s="26">
        <f>(EchelleFPAparam!$S$3/($U11+E$53)*COS((AT11-EchelleFPAparam!$AE7)*EchelleFPAparam!$C$3/EchelleFPAparam!$E$3))*(SIN('Standard Settings'!$F6)+SIN('Standard Settings'!$F6+EchelleFPAparam!$M$3+EchelleFPAparam!$I$3*EchelleFPAparam!$B$6*COS(EchelleFPAparam!$AC$3)-(AT11-1024)*SIN(EchelleFPAparam!$AC$3)*EchelleFPAparam!$C$3/EchelleFPAparam!$E$3))</f>
        <v>1257.6743716318981</v>
      </c>
      <c r="DW11" s="26">
        <f>(EchelleFPAparam!$S$3/($U11+F$53)*COS((AU11-EchelleFPAparam!$AE7)*EchelleFPAparam!$C$3/EchelleFPAparam!$E$3))*(SIN('Standard Settings'!$F6)+SIN('Standard Settings'!$F6+EchelleFPAparam!$M$3+EchelleFPAparam!$I$3*EchelleFPAparam!$B$6*COS(EchelleFPAparam!$AC$3)-(AU11-1024)*SIN(EchelleFPAparam!$AC$3)*EchelleFPAparam!$C$3/EchelleFPAparam!$E$3))</f>
        <v>1230.3763611725319</v>
      </c>
      <c r="DX11" s="26">
        <f>(EchelleFPAparam!$S$3/($U11+G$53)*COS((AV11-EchelleFPAparam!$AE7)*EchelleFPAparam!$C$3/EchelleFPAparam!$E$3))*(SIN('Standard Settings'!$F6)+SIN('Standard Settings'!$F6+EchelleFPAparam!$M$3+EchelleFPAparam!$I$3*EchelleFPAparam!$B$6*COS(EchelleFPAparam!$AC$3)-(AV11-1024)*SIN(EchelleFPAparam!$AC$3)*EchelleFPAparam!$C$3/EchelleFPAparam!$E$3))</f>
        <v>1204.2296197704839</v>
      </c>
      <c r="DY11" s="26">
        <f>(EchelleFPAparam!$S$3/($U11+H$53)*COS((AW11-EchelleFPAparam!$AE7)*EchelleFPAparam!$C$3/EchelleFPAparam!$E$3))*(SIN('Standard Settings'!$F6)+SIN('Standard Settings'!$F6+EchelleFPAparam!$M$3+EchelleFPAparam!$I$3*EchelleFPAparam!$B$6*COS(EchelleFPAparam!$AC$3)-(AW11-1024)*SIN(EchelleFPAparam!$AC$3)*EchelleFPAparam!$C$3/EchelleFPAparam!$E$3))</f>
        <v>1179.1633015357215</v>
      </c>
      <c r="DZ11" s="26">
        <f>(EchelleFPAparam!$S$3/($U11+I$53)*COS((AX11-EchelleFPAparam!$AE7)*EchelleFPAparam!$C$3/EchelleFPAparam!$E$3))*(SIN('Standard Settings'!$F6)+SIN('Standard Settings'!$F6+EchelleFPAparam!$M$3+EchelleFPAparam!$I$3*EchelleFPAparam!$B$6*COS(EchelleFPAparam!$AC$3)-(AX11-1024)*SIN(EchelleFPAparam!$AC$3)*EchelleFPAparam!$C$3/EchelleFPAparam!$E$3))</f>
        <v>1155.1126336663101</v>
      </c>
      <c r="EA11" s="26">
        <f>(EchelleFPAparam!$S$3/($U11+J$53)*COS((AY11-EchelleFPAparam!$AE7)*EchelleFPAparam!$C$3/EchelleFPAparam!$E$3))*(SIN('Standard Settings'!$F6)+SIN('Standard Settings'!$F6+EchelleFPAparam!$M$3+EchelleFPAparam!$I$3*EchelleFPAparam!$B$6*COS(EchelleFPAparam!$AC$3)-(AY11-1024)*SIN(EchelleFPAparam!$AC$3)*EchelleFPAparam!$C$3/EchelleFPAparam!$E$3))</f>
        <v>1132.0172158716828</v>
      </c>
      <c r="EB11" s="26">
        <f>(EchelleFPAparam!$S$3/($U11+K$53)*COS((AZ11-EchelleFPAparam!$AE7)*EchelleFPAparam!$C$3/EchelleFPAparam!$E$3))*(SIN('Standard Settings'!$F6)+SIN('Standard Settings'!$F6+EchelleFPAparam!$M$3+EchelleFPAparam!$I$3*EchelleFPAparam!$B$6*COS(EchelleFPAparam!$AC$3)-(AZ11-1024)*SIN(EchelleFPAparam!$AC$3)*EchelleFPAparam!$C$3/EchelleFPAparam!$E$3))</f>
        <v>1109.4586063746585</v>
      </c>
      <c r="EC11" s="26">
        <f>(EchelleFPAparam!$S$3/($U11+B$53)*COS((BA11-EchelleFPAparam!$AE7)*EchelleFPAparam!$C$3/EchelleFPAparam!$E$3))*(SIN('Standard Settings'!$F6)+SIN('Standard Settings'!$F6+EchelleFPAparam!$M$3+EchelleFPAparam!$J$3*EchelleFPAparam!$B$6*COS(EchelleFPAparam!$AC$3)-(BA11-1024)*SIN(EchelleFPAparam!$AC$3)*EchelleFPAparam!$C$3/EchelleFPAparam!$E$3))</f>
        <v>1347.8836124362695</v>
      </c>
      <c r="ED11" s="26">
        <f>(EchelleFPAparam!$S$3/($U11+C$53)*COS((BB11-EchelleFPAparam!$AE7)*EchelleFPAparam!$C$3/EchelleFPAparam!$E$3))*(SIN('Standard Settings'!$F6)+SIN('Standard Settings'!$F6+EchelleFPAparam!$M$3+EchelleFPAparam!$J$3*EchelleFPAparam!$B$6*COS(EchelleFPAparam!$AC$3)-(BB11-1024)*SIN(EchelleFPAparam!$AC$3)*EchelleFPAparam!$C$3/EchelleFPAparam!$E$3))</f>
        <v>1316.6302473891728</v>
      </c>
      <c r="EE11" s="26">
        <f>(EchelleFPAparam!$S$3/($U11+D$53)*COS((BC11-EchelleFPAparam!$AE7)*EchelleFPAparam!$C$3/EchelleFPAparam!$E$3))*(SIN('Standard Settings'!$F6)+SIN('Standard Settings'!$F6+EchelleFPAparam!$M$3+EchelleFPAparam!$J$3*EchelleFPAparam!$B$6*COS(EchelleFPAparam!$AC$3)-(BC11-1024)*SIN(EchelleFPAparam!$AC$3)*EchelleFPAparam!$C$3/EchelleFPAparam!$E$3))</f>
        <v>1286.7803821552752</v>
      </c>
      <c r="EF11" s="26">
        <f>(EchelleFPAparam!$S$3/($U11+E$53)*COS((BD11-EchelleFPAparam!$AE7)*EchelleFPAparam!$C$3/EchelleFPAparam!$E$3))*(SIN('Standard Settings'!$F6)+SIN('Standard Settings'!$F6+EchelleFPAparam!$M$3+EchelleFPAparam!$J$3*EchelleFPAparam!$B$6*COS(EchelleFPAparam!$AC$3)-(BD11-1024)*SIN(EchelleFPAparam!$AC$3)*EchelleFPAparam!$C$3/EchelleFPAparam!$E$3))</f>
        <v>1258.2427647968796</v>
      </c>
      <c r="EG11" s="26">
        <f>(EchelleFPAparam!$S$3/($U11+F$53)*COS((BE11-EchelleFPAparam!$AE7)*EchelleFPAparam!$C$3/EchelleFPAparam!$E$3))*(SIN('Standard Settings'!$F6)+SIN('Standard Settings'!$F6+EchelleFPAparam!$M$3+EchelleFPAparam!$J$3*EchelleFPAparam!$B$6*COS(EchelleFPAparam!$AC$3)-(BE11-1024)*SIN(EchelleFPAparam!$AC$3)*EchelleFPAparam!$C$3/EchelleFPAparam!$E$3))</f>
        <v>1230.9335209834558</v>
      </c>
      <c r="EH11" s="26">
        <f>(EchelleFPAparam!$S$3/($U11+G$53)*COS((BF11-EchelleFPAparam!$AE7)*EchelleFPAparam!$C$3/EchelleFPAparam!$E$3))*(SIN('Standard Settings'!$F6)+SIN('Standard Settings'!$F6+EchelleFPAparam!$M$3+EchelleFPAparam!$J$3*EchelleFPAparam!$B$6*COS(EchelleFPAparam!$AC$3)-(BF11-1024)*SIN(EchelleFPAparam!$AC$3)*EchelleFPAparam!$C$3/EchelleFPAparam!$E$3))</f>
        <v>1204.7758096597486</v>
      </c>
      <c r="EI11" s="26">
        <f>(EchelleFPAparam!$S$3/($U11+H$53)*COS((BG11-EchelleFPAparam!$AE7)*EchelleFPAparam!$C$3/EchelleFPAparam!$E$3))*(SIN('Standard Settings'!$F6)+SIN('Standard Settings'!$F6+EchelleFPAparam!$M$3+EchelleFPAparam!$J$3*EchelleFPAparam!$B$6*COS(EchelleFPAparam!$AC$3)-(BG11-1024)*SIN(EchelleFPAparam!$AC$3)*EchelleFPAparam!$C$3/EchelleFPAparam!$E$3))</f>
        <v>1179.698825109313</v>
      </c>
      <c r="EJ11" s="26">
        <f>(EchelleFPAparam!$S$3/($U11+I$53)*COS((BH11-EchelleFPAparam!$AE7)*EchelleFPAparam!$C$3/EchelleFPAparam!$E$3))*(SIN('Standard Settings'!$F6)+SIN('Standard Settings'!$F6+EchelleFPAparam!$M$3+EchelleFPAparam!$J$3*EchelleFPAparam!$B$6*COS(EchelleFPAparam!$AC$3)-(BH11-1024)*SIN(EchelleFPAparam!$AC$3)*EchelleFPAparam!$C$3/EchelleFPAparam!$E$3))</f>
        <v>1155.6376400954457</v>
      </c>
      <c r="EK11" s="26">
        <f>(EchelleFPAparam!$S$3/($U11+J$53)*COS((BI11-EchelleFPAparam!$AE7)*EchelleFPAparam!$C$3/EchelleFPAparam!$E$3))*(SIN('Standard Settings'!$F6)+SIN('Standard Settings'!$F6+EchelleFPAparam!$M$3+EchelleFPAparam!$J$3*EchelleFPAparam!$B$6*COS(EchelleFPAparam!$AC$3)-(BI11-1024)*SIN(EchelleFPAparam!$AC$3)*EchelleFPAparam!$C$3/EchelleFPAparam!$E$3))</f>
        <v>1132.5321003486151</v>
      </c>
      <c r="EL11" s="26">
        <f>(EchelleFPAparam!$S$3/($U11+K$53)*COS((BJ11-EchelleFPAparam!$AE7)*EchelleFPAparam!$C$3/EchelleFPAparam!$E$3))*(SIN('Standard Settings'!$F6)+SIN('Standard Settings'!$F6+EchelleFPAparam!$M$3+EchelleFPAparam!$J$3*EchelleFPAparam!$B$6*COS(EchelleFPAparam!$AC$3)-(BJ11-1024)*SIN(EchelleFPAparam!$AC$3)*EchelleFPAparam!$C$3/EchelleFPAparam!$E$3))</f>
        <v>1109.9640972796196</v>
      </c>
      <c r="EM11" s="26">
        <f>(EchelleFPAparam!$S$3/($U11+B$53)*COS((BA11-EchelleFPAparam!$AE7)*EchelleFPAparam!$C$3/EchelleFPAparam!$E$3))*(SIN('Standard Settings'!$F6)+SIN('Standard Settings'!$F6+EchelleFPAparam!$M$3+EchelleFPAparam!$K$3*EchelleFPAparam!$B$6*COS(EchelleFPAparam!$AC$3)-(BA11-1024)*SIN(EchelleFPAparam!$AC$3)*EchelleFPAparam!$C$3/EchelleFPAparam!$E$3))</f>
        <v>1356.1402432576247</v>
      </c>
      <c r="EN11" s="26">
        <f>(EchelleFPAparam!$S$3/($U11+C$53)*COS((BB11-EchelleFPAparam!$AE7)*EchelleFPAparam!$C$3/EchelleFPAparam!$E$3))*(SIN('Standard Settings'!$F6)+SIN('Standard Settings'!$F6+EchelleFPAparam!$M$3+EchelleFPAparam!$K$3*EchelleFPAparam!$B$6*COS(EchelleFPAparam!$AC$3)-(BB11-1024)*SIN(EchelleFPAparam!$AC$3)*EchelleFPAparam!$C$3/EchelleFPAparam!$E$3))</f>
        <v>1324.6940283276035</v>
      </c>
      <c r="EO11" s="26">
        <f>(EchelleFPAparam!$S$3/($U11+D$53)*COS((BC11-EchelleFPAparam!$AE7)*EchelleFPAparam!$C$3/EchelleFPAparam!$E$3))*(SIN('Standard Settings'!$F6)+SIN('Standard Settings'!$F6+EchelleFPAparam!$M$3+EchelleFPAparam!$K$3*EchelleFPAparam!$B$6*COS(EchelleFPAparam!$AC$3)-(BC11-1024)*SIN(EchelleFPAparam!$AC$3)*EchelleFPAparam!$C$3/EchelleFPAparam!$E$3))</f>
        <v>1294.6600460279026</v>
      </c>
      <c r="EP11" s="26">
        <f>(EchelleFPAparam!$S$3/($U11+E$53)*COS((BD11-EchelleFPAparam!$AE7)*EchelleFPAparam!$C$3/EchelleFPAparam!$E$3))*(SIN('Standard Settings'!$F6)+SIN('Standard Settings'!$F6+EchelleFPAparam!$M$3+EchelleFPAparam!$K$3*EchelleFPAparam!$B$6*COS(EchelleFPAparam!$AC$3)-(BD11-1024)*SIN(EchelleFPAparam!$AC$3)*EchelleFPAparam!$C$3/EchelleFPAparam!$E$3))</f>
        <v>1265.9464679909586</v>
      </c>
      <c r="EQ11" s="26">
        <f>(EchelleFPAparam!$S$3/($U11+F$53)*COS((BE11-EchelleFPAparam!$AE7)*EchelleFPAparam!$C$3/EchelleFPAparam!$E$3))*(SIN('Standard Settings'!$F6)+SIN('Standard Settings'!$F6+EchelleFPAparam!$M$3+EchelleFPAparam!$K$3*EchelleFPAparam!$B$6*COS(EchelleFPAparam!$AC$3)-(BE11-1024)*SIN(EchelleFPAparam!$AC$3)*EchelleFPAparam!$C$3/EchelleFPAparam!$E$3))</f>
        <v>1238.4688952288332</v>
      </c>
      <c r="ER11" s="26">
        <f>(EchelleFPAparam!$S$3/($U11+G$53)*COS((BF11-EchelleFPAparam!$AE7)*EchelleFPAparam!$C$3/EchelleFPAparam!$E$3))*(SIN('Standard Settings'!$F6)+SIN('Standard Settings'!$F6+EchelleFPAparam!$M$3+EchelleFPAparam!$K$3*EchelleFPAparam!$B$6*COS(EchelleFPAparam!$AC$3)-(BF11-1024)*SIN(EchelleFPAparam!$AC$3)*EchelleFPAparam!$C$3/EchelleFPAparam!$E$3))</f>
        <v>1212.1500032478582</v>
      </c>
      <c r="ES11" s="26">
        <f>(EchelleFPAparam!$S$3/($U11+H$53)*COS((BG11-EchelleFPAparam!$AE7)*EchelleFPAparam!$C$3/EchelleFPAparam!$E$3))*(SIN('Standard Settings'!$F6)+SIN('Standard Settings'!$F6+EchelleFPAparam!$M$3+EchelleFPAparam!$K$3*EchelleFPAparam!$B$6*COS(EchelleFPAparam!$AC$3)-(BG11-1024)*SIN(EchelleFPAparam!$AC$3)*EchelleFPAparam!$C$3/EchelleFPAparam!$E$3))</f>
        <v>1186.918547291428</v>
      </c>
      <c r="ET11" s="26">
        <f>(EchelleFPAparam!$S$3/($U11+I$53)*COS((BH11-EchelleFPAparam!$AE7)*EchelleFPAparam!$C$3/EchelleFPAparam!$E$3))*(SIN('Standard Settings'!$F6)+SIN('Standard Settings'!$F6+EchelleFPAparam!$M$3+EchelleFPAparam!$K$3*EchelleFPAparam!$B$6*COS(EchelleFPAparam!$AC$3)-(BH11-1024)*SIN(EchelleFPAparam!$AC$3)*EchelleFPAparam!$C$3/EchelleFPAparam!$E$3))</f>
        <v>1162.7091859982343</v>
      </c>
      <c r="EU11" s="26">
        <f>(EchelleFPAparam!$S$3/($U11+J$53)*COS((BI11-EchelleFPAparam!$AE7)*EchelleFPAparam!$C$3/EchelleFPAparam!$E$3))*(SIN('Standard Settings'!$F6)+SIN('Standard Settings'!$F6+EchelleFPAparam!$M$3+EchelleFPAparam!$K$3*EchelleFPAparam!$B$6*COS(EchelleFPAparam!$AC$3)-(BI11-1024)*SIN(EchelleFPAparam!$AC$3)*EchelleFPAparam!$C$3/EchelleFPAparam!$E$3))</f>
        <v>1139.4613954080862</v>
      </c>
      <c r="EV11" s="26">
        <f>(EchelleFPAparam!$S$3/($U11+K$53)*COS((BJ11-EchelleFPAparam!$AE7)*EchelleFPAparam!$C$3/EchelleFPAparam!$E$3))*(SIN('Standard Settings'!$F6)+SIN('Standard Settings'!$F6+EchelleFPAparam!$M$3+EchelleFPAparam!$K$3*EchelleFPAparam!$B$6*COS(EchelleFPAparam!$AC$3)-(BJ11-1024)*SIN(EchelleFPAparam!$AC$3)*EchelleFPAparam!$C$3/EchelleFPAparam!$E$3))</f>
        <v>1116.7640998284019</v>
      </c>
      <c r="EW11" s="60">
        <f>CW11</f>
        <v>1116.546405518269</v>
      </c>
      <c r="EX11" s="60">
        <f t="shared" ref="EX11" si="39">EM11</f>
        <v>1356.1402432576247</v>
      </c>
      <c r="EY11" s="90">
        <v>0.39</v>
      </c>
      <c r="EZ11" s="90">
        <v>0.36</v>
      </c>
      <c r="FA11" s="50">
        <v>30000</v>
      </c>
      <c r="FB11" s="50">
        <v>5000</v>
      </c>
      <c r="FC11" s="50">
        <v>5000</v>
      </c>
      <c r="FD11" s="50">
        <v>6000</v>
      </c>
      <c r="FE11" s="95">
        <v>100</v>
      </c>
      <c r="FF11" s="50">
        <v>5000</v>
      </c>
      <c r="FG11" s="50">
        <v>230</v>
      </c>
      <c r="FH11" s="50">
        <f t="shared" si="27"/>
        <v>1250</v>
      </c>
      <c r="FI11" s="50">
        <f t="shared" si="28"/>
        <v>1250</v>
      </c>
      <c r="FJ11" s="50">
        <f t="shared" si="29"/>
        <v>1500</v>
      </c>
      <c r="FK11" s="95">
        <f t="shared" si="30"/>
        <v>25</v>
      </c>
      <c r="FL11" s="50">
        <f t="shared" si="31"/>
        <v>1250</v>
      </c>
      <c r="FM11" s="50">
        <f t="shared" si="32"/>
        <v>57.5</v>
      </c>
      <c r="FN11" s="50">
        <v>500</v>
      </c>
      <c r="FO11" s="91">
        <f>1/(F11*EchelleFPAparam!$Q$3)</f>
        <v>-9860.3126110027406</v>
      </c>
      <c r="FP11" s="91">
        <f t="shared" si="22"/>
        <v>-38.184732723493475</v>
      </c>
      <c r="FQ11" s="50">
        <v>-999999</v>
      </c>
      <c r="FR11" s="50">
        <v>-999999</v>
      </c>
      <c r="FS11" s="90">
        <v>1</v>
      </c>
      <c r="FT11" s="90">
        <v>544.27099999999996</v>
      </c>
      <c r="FU11" s="90">
        <v>1754.7919999999999</v>
      </c>
      <c r="FV11" s="50">
        <v>-999999</v>
      </c>
      <c r="FW11" s="50">
        <v>-999999</v>
      </c>
      <c r="FX11" s="50">
        <v>-999999</v>
      </c>
      <c r="FY11" s="90">
        <v>1</v>
      </c>
      <c r="FZ11" s="90">
        <v>1149.27</v>
      </c>
      <c r="GA11" s="90">
        <v>399.17099999999999</v>
      </c>
      <c r="GB11" s="50">
        <v>-999999</v>
      </c>
      <c r="GC11" s="50">
        <v>-999999</v>
      </c>
      <c r="GD11" s="50">
        <v>-999999</v>
      </c>
      <c r="GE11" s="90">
        <v>1</v>
      </c>
      <c r="GF11" s="90">
        <v>554.84500000000003</v>
      </c>
      <c r="GG11" s="90">
        <v>1343.845</v>
      </c>
      <c r="GH11" s="50">
        <v>-999999</v>
      </c>
      <c r="GI11" s="50">
        <v>-999999</v>
      </c>
      <c r="GJ11" s="50">
        <v>-999999</v>
      </c>
      <c r="GK11" s="90">
        <v>2</v>
      </c>
      <c r="GL11" s="90">
        <v>1741.7829999999999</v>
      </c>
      <c r="GM11" s="90">
        <v>618.48199999999997</v>
      </c>
      <c r="GN11" s="50">
        <v>-999999</v>
      </c>
      <c r="GO11" s="50">
        <v>-999999</v>
      </c>
      <c r="GP11" s="50">
        <v>-999999</v>
      </c>
      <c r="GQ11" s="90">
        <v>3</v>
      </c>
      <c r="GR11" s="90">
        <v>978.04</v>
      </c>
      <c r="GS11" s="90">
        <v>1525.1489999999999</v>
      </c>
      <c r="GT11" s="50">
        <v>-999999</v>
      </c>
      <c r="GU11" s="50">
        <v>-999999</v>
      </c>
      <c r="GV11" s="50">
        <v>-999999</v>
      </c>
      <c r="GW11" s="90">
        <v>3</v>
      </c>
      <c r="GX11" s="90">
        <v>1241.617</v>
      </c>
      <c r="GY11" s="90">
        <v>1297.7629999999999</v>
      </c>
      <c r="GZ11" s="50">
        <v>-999999</v>
      </c>
      <c r="HA11" s="50">
        <v>-999999</v>
      </c>
      <c r="HB11" s="50">
        <v>-999999</v>
      </c>
      <c r="HC11" s="90">
        <v>3</v>
      </c>
      <c r="HD11" s="90">
        <v>1563.681</v>
      </c>
      <c r="HE11" s="90">
        <v>843.33</v>
      </c>
      <c r="HF11" s="50">
        <v>-999999</v>
      </c>
      <c r="HG11" s="50">
        <v>-999999</v>
      </c>
      <c r="HH11" s="50">
        <v>-999999</v>
      </c>
      <c r="HI11" s="50">
        <v>-999999</v>
      </c>
      <c r="HJ11" s="50">
        <v>-999999</v>
      </c>
      <c r="HK11" s="50">
        <v>-999999</v>
      </c>
      <c r="HL11" s="50">
        <v>-999999</v>
      </c>
      <c r="HM11" s="50">
        <v>-999999</v>
      </c>
      <c r="HN11" s="50">
        <v>-999999</v>
      </c>
      <c r="HO11" s="50">
        <v>-999999</v>
      </c>
      <c r="HP11" s="50">
        <v>-999999</v>
      </c>
      <c r="HQ11" s="50">
        <v>-999999</v>
      </c>
      <c r="HR11" s="50">
        <v>-999999</v>
      </c>
      <c r="HS11" s="50">
        <v>-999999</v>
      </c>
      <c r="HT11" s="50">
        <v>-999999</v>
      </c>
      <c r="HU11" s="50">
        <v>-999999</v>
      </c>
      <c r="HV11" s="50">
        <v>-999999</v>
      </c>
      <c r="HW11" s="50">
        <v>-999999</v>
      </c>
      <c r="HX11" s="50">
        <v>-999999</v>
      </c>
      <c r="HY11" s="50"/>
      <c r="HZ11" s="50"/>
      <c r="IA11" s="50"/>
      <c r="IB11" s="50"/>
      <c r="IC11" s="50"/>
      <c r="ID11" s="50"/>
      <c r="IE11" s="50"/>
      <c r="IF11" s="50"/>
      <c r="IG11" s="50"/>
      <c r="IH11" s="50"/>
      <c r="II11" s="50"/>
      <c r="IJ11" s="50"/>
      <c r="IK11" s="50"/>
      <c r="IL11" s="50"/>
      <c r="IM11" s="50"/>
      <c r="IN11" s="50"/>
      <c r="IO11" s="50"/>
      <c r="IP11" s="50"/>
      <c r="IQ11" s="50"/>
      <c r="IR11" s="50"/>
      <c r="IS11" s="50"/>
      <c r="IT11" s="50"/>
      <c r="IU11" s="50"/>
      <c r="IV11" s="50"/>
      <c r="IW11" s="50"/>
      <c r="IX11" s="50"/>
      <c r="IY11" s="50"/>
      <c r="IZ11" s="50"/>
      <c r="JA11" s="50"/>
      <c r="JB11" s="50"/>
      <c r="JC11" s="50"/>
      <c r="JD11" s="50"/>
      <c r="JE11" s="50"/>
      <c r="JF11" s="50"/>
      <c r="JG11" s="50"/>
      <c r="JH11" s="50"/>
      <c r="JI11" s="50"/>
      <c r="JJ11" s="50"/>
      <c r="JK11" s="50"/>
      <c r="JL11" s="50"/>
      <c r="JM11" s="50"/>
      <c r="JN11" s="50"/>
      <c r="JO11" s="50"/>
      <c r="JP11" s="50"/>
      <c r="JQ11" s="50"/>
      <c r="JR11" s="50"/>
      <c r="JS11" s="50"/>
      <c r="JT11" s="50"/>
      <c r="JU11" s="50"/>
      <c r="JV11" s="50"/>
      <c r="JW11" s="52">
        <f t="shared" si="23"/>
        <v>2749.4464188255506</v>
      </c>
      <c r="JX11" s="27">
        <f t="shared" si="24"/>
        <v>316706.13620150508</v>
      </c>
      <c r="JY11" s="107">
        <f>JW11*EchelleFPAparam!$Q$3</f>
        <v>-2.6188477139313368E-2</v>
      </c>
      <c r="KA11" s="19"/>
      <c r="KB11" s="19"/>
      <c r="KC11" s="19"/>
      <c r="KD11" s="19"/>
      <c r="KE11" s="19"/>
      <c r="KF11" s="19"/>
      <c r="KG11" s="19"/>
      <c r="KH11" s="19"/>
      <c r="KI11" s="19"/>
      <c r="KJ11" s="19"/>
      <c r="KK11" s="19"/>
      <c r="KL11" s="19"/>
      <c r="KM11" s="19"/>
      <c r="KW11" s="19"/>
      <c r="KX11" s="19"/>
      <c r="KY11" s="19"/>
      <c r="KZ11" s="19"/>
      <c r="LA11" s="19"/>
      <c r="LB11" s="19"/>
      <c r="LC11" s="19"/>
      <c r="LD11" s="19"/>
      <c r="LE11" s="19"/>
      <c r="LF11" s="19"/>
    </row>
    <row r="12" spans="1:318" x14ac:dyDescent="0.2">
      <c r="A12" s="53">
        <f t="shared" si="35"/>
        <v>6</v>
      </c>
      <c r="B12" s="96">
        <f t="shared" si="0"/>
        <v>1582.3392072879956</v>
      </c>
      <c r="C12" s="27" t="str">
        <f>'Standard Settings'!B7</f>
        <v>H/1/4</v>
      </c>
      <c r="D12" s="27">
        <f>'Standard Settings'!H7</f>
        <v>36</v>
      </c>
      <c r="E12" s="19">
        <f t="shared" si="1"/>
        <v>4.7621662427373979E-3</v>
      </c>
      <c r="F12" s="18">
        <f>((EchelleFPAparam!$S$3/('crmcfgWLEN.txt'!$U12+F$53))*(SIN('Standard Settings'!$F7+0.0005)+SIN('Standard Settings'!$F7+0.0005+EchelleFPAparam!$M$3))-(EchelleFPAparam!$S$3/('crmcfgWLEN.txt'!$U12+F$53))*(SIN('Standard Settings'!$F7-0.0005)+SIN('Standard Settings'!$F7-0.0005+EchelleFPAparam!$M$3)))*1000*EchelleFPAparam!$O$3/180</f>
        <v>13.058548649902448</v>
      </c>
      <c r="G12" s="20" t="str">
        <f>'Standard Settings'!C7</f>
        <v>H</v>
      </c>
      <c r="H12" s="46"/>
      <c r="I12" s="59" t="s">
        <v>693</v>
      </c>
      <c r="J12" s="57"/>
      <c r="K12" s="27" t="str">
        <f>'Standard Settings'!$D7</f>
        <v>HK</v>
      </c>
      <c r="L12" s="46"/>
      <c r="M12" s="12">
        <v>2.5</v>
      </c>
      <c r="N12" s="12">
        <v>2.5</v>
      </c>
      <c r="O12" s="27" t="str">
        <f>'Standard Settings'!$D7</f>
        <v>HK</v>
      </c>
      <c r="P12" s="46"/>
      <c r="Q12" s="27">
        <f>'Standard Settings'!$E7</f>
        <v>66.29665</v>
      </c>
      <c r="R12" s="106">
        <f>'Standard Settings'!$J7</f>
        <v>430000</v>
      </c>
      <c r="S12" s="21">
        <f>'Standard Settings'!$G7</f>
        <v>32</v>
      </c>
      <c r="T12" s="21">
        <f>'Standard Settings'!$I7</f>
        <v>39</v>
      </c>
      <c r="U12" s="22">
        <f t="shared" si="25"/>
        <v>32</v>
      </c>
      <c r="V12" s="22">
        <f t="shared" si="26"/>
        <v>41</v>
      </c>
      <c r="W12" s="23">
        <f>IF(AND($U12-$S12+B$53&gt;=0,$U12-$T12+B$53&lt;=0),(EchelleFPAparam!$S$3/('crmcfgWLEN.txt'!$U12+B$53))*(SIN('Standard Settings'!$F7)+SIN('Standard Settings'!$F7+EchelleFPAparam!$M$3)),-1)</f>
        <v>1780.1316081989951</v>
      </c>
      <c r="X12" s="23">
        <f>IF(AND($U12-$S12+C$53&gt;=0,$U12-$T12+C$53&lt;=0),(EchelleFPAparam!$S$3/('crmcfgWLEN.txt'!$U12+C$53))*(SIN('Standard Settings'!$F7)+SIN('Standard Settings'!$F7+EchelleFPAparam!$M$3)),-1)</f>
        <v>1726.188226132359</v>
      </c>
      <c r="Y12" s="23">
        <f>IF(AND($U12-$S12+D$53&gt;=0,$U12-$T12+D$53&lt;=0),(EchelleFPAparam!$S$3/('crmcfgWLEN.txt'!$U12+D$53))*(SIN('Standard Settings'!$F7)+SIN('Standard Settings'!$F7+EchelleFPAparam!$M$3)),-1)</f>
        <v>1675.4179841872894</v>
      </c>
      <c r="Z12" s="23">
        <f>IF(AND($U12-$S12+E$53&gt;=0,$U12-$T12+E$53&lt;=0),(EchelleFPAparam!$S$3/('crmcfgWLEN.txt'!$U12+E$53))*(SIN('Standard Settings'!$F7)+SIN('Standard Settings'!$F7+EchelleFPAparam!$M$3)),-1)</f>
        <v>1627.5488989247956</v>
      </c>
      <c r="AA12" s="23">
        <f>IF(AND($U12-$S12+F$53&gt;=0,$U12-$T12+F$53&lt;=0),(EchelleFPAparam!$S$3/('crmcfgWLEN.txt'!$U12+F$53))*(SIN('Standard Settings'!$F7)+SIN('Standard Settings'!$F7+EchelleFPAparam!$M$3)),-1)</f>
        <v>1582.3392072879956</v>
      </c>
      <c r="AB12" s="23">
        <f>IF(AND($U12-$S12+G$53&gt;=0,$U12-$T12+G$53&lt;=0),(EchelleFPAparam!$S$3/('crmcfgWLEN.txt'!$U12+G$53))*(SIN('Standard Settings'!$F7)+SIN('Standard Settings'!$F7+EchelleFPAparam!$M$3)),-1)</f>
        <v>1539.5732827666984</v>
      </c>
      <c r="AC12" s="23">
        <f>IF(AND($U12-$S12+H$53&gt;=0,$U12-$T12+H$53&lt;=0),(EchelleFPAparam!$S$3/('crmcfgWLEN.txt'!$U12+H$53))*(SIN('Standard Settings'!$F7)+SIN('Standard Settings'!$F7+EchelleFPAparam!$M$3)),-1)</f>
        <v>1499.0581963781012</v>
      </c>
      <c r="AD12" s="23">
        <f>IF(AND($U12-$S12+I$53&gt;=0,$U12-$T12+I$53&lt;=0),(EchelleFPAparam!$S$3/('crmcfgWLEN.txt'!$U12+I$53))*(SIN('Standard Settings'!$F7)+SIN('Standard Settings'!$F7+EchelleFPAparam!$M$3)),-1)</f>
        <v>1460.6208067273806</v>
      </c>
      <c r="AE12" s="23">
        <f>IF(AND($U12-$S12+J$53&gt;=0,$U12-$T12+J$53&lt;=0),(EchelleFPAparam!$S$3/('crmcfgWLEN.txt'!$U12+J$53))*(SIN('Standard Settings'!$F7)+SIN('Standard Settings'!$F7+EchelleFPAparam!$M$3)),-1)</f>
        <v>-1</v>
      </c>
      <c r="AF12" s="23">
        <f>IF(AND($U12-$S12+K$53&gt;=0,$U12-$T12+K$53&lt;=0),(EchelleFPAparam!$S$3/('crmcfgWLEN.txt'!$U12+K$53))*(SIN('Standard Settings'!$F7)+SIN('Standard Settings'!$F7+EchelleFPAparam!$M$3)),-1)</f>
        <v>-1</v>
      </c>
      <c r="AG12" s="112">
        <v>248.05487233072699</v>
      </c>
      <c r="AH12" s="112">
        <v>538.183198022292</v>
      </c>
      <c r="AI12" s="112">
        <v>810.01898865348403</v>
      </c>
      <c r="AJ12" s="112">
        <v>1064.5357060163001</v>
      </c>
      <c r="AK12" s="112">
        <v>1304.68033562304</v>
      </c>
      <c r="AL12" s="112">
        <v>1529.72478892648</v>
      </c>
      <c r="AM12" s="112">
        <v>1744.4804675023399</v>
      </c>
      <c r="AN12" s="112">
        <v>1950</v>
      </c>
      <c r="AO12" s="131">
        <v>-100.1</v>
      </c>
      <c r="AP12" s="131">
        <v>-100.1</v>
      </c>
      <c r="AQ12" s="112">
        <v>236.13327770848301</v>
      </c>
      <c r="AR12" s="112">
        <v>528.27924478043997</v>
      </c>
      <c r="AS12" s="112">
        <v>802.251963061948</v>
      </c>
      <c r="AT12" s="112">
        <v>1059.2130924657099</v>
      </c>
      <c r="AU12" s="112">
        <v>1300.52882187001</v>
      </c>
      <c r="AV12" s="112">
        <v>1527.2030434133601</v>
      </c>
      <c r="AW12" s="112">
        <v>1743.20490424284</v>
      </c>
      <c r="AX12" s="112">
        <v>1950</v>
      </c>
      <c r="AY12" s="130">
        <v>-100.1</v>
      </c>
      <c r="AZ12" s="130">
        <v>-100.1</v>
      </c>
      <c r="BA12" s="112">
        <v>224.89009278347001</v>
      </c>
      <c r="BB12" s="112">
        <v>519.74980998022102</v>
      </c>
      <c r="BC12" s="112">
        <v>795.93684814236599</v>
      </c>
      <c r="BD12" s="112">
        <v>1054.56658354294</v>
      </c>
      <c r="BE12" s="112">
        <v>1298.2774450188001</v>
      </c>
      <c r="BF12" s="112">
        <v>1527.58094786575</v>
      </c>
      <c r="BG12" s="112">
        <v>1743.9380409558801</v>
      </c>
      <c r="BH12" s="112">
        <v>1950</v>
      </c>
      <c r="BI12" s="132">
        <v>-100.1</v>
      </c>
      <c r="BJ12" s="132">
        <v>-100.1</v>
      </c>
      <c r="BK12" s="24">
        <f>EchelleFPAparam!$S$3/('crmcfgWLEN.txt'!$U12+B$53)*(SIN(EchelleFPAparam!$T$3-EchelleFPAparam!$M$3/2)+SIN('Standard Settings'!$F7+EchelleFPAparam!$M$3))</f>
        <v>1773.5636948754295</v>
      </c>
      <c r="BL12" s="24">
        <f>EchelleFPAparam!$S$3/('crmcfgWLEN.txt'!$U12+C$53)*(SIN(EchelleFPAparam!$T$3-EchelleFPAparam!$M$3/2)+SIN('Standard Settings'!$F7+EchelleFPAparam!$M$3))</f>
        <v>1719.819340485265</v>
      </c>
      <c r="BM12" s="24">
        <f>EchelleFPAparam!$S$3/('crmcfgWLEN.txt'!$U12+D$53)*(SIN(EchelleFPAparam!$T$3-EchelleFPAparam!$M$3/2)+SIN('Standard Settings'!$F7+EchelleFPAparam!$M$3))</f>
        <v>1669.2364187062867</v>
      </c>
      <c r="BN12" s="24">
        <f>EchelleFPAparam!$S$3/('crmcfgWLEN.txt'!$U12+E$53)*(SIN(EchelleFPAparam!$T$3-EchelleFPAparam!$M$3/2)+SIN('Standard Settings'!$F7+EchelleFPAparam!$M$3))</f>
        <v>1621.5439496003928</v>
      </c>
      <c r="BO12" s="24">
        <f>EchelleFPAparam!$S$3/('crmcfgWLEN.txt'!$U12+F$53)*(SIN(EchelleFPAparam!$T$3-EchelleFPAparam!$M$3/2)+SIN('Standard Settings'!$F7+EchelleFPAparam!$M$3))</f>
        <v>1576.501062111493</v>
      </c>
      <c r="BP12" s="24">
        <f>EchelleFPAparam!$S$3/('crmcfgWLEN.txt'!$U12+G$53)*(SIN(EchelleFPAparam!$T$3-EchelleFPAparam!$M$3/2)+SIN('Standard Settings'!$F7+EchelleFPAparam!$M$3))</f>
        <v>1533.8929252976689</v>
      </c>
      <c r="BQ12" s="24">
        <f>EchelleFPAparam!$S$3/('crmcfgWLEN.txt'!$U12+H$53)*(SIN(EchelleFPAparam!$T$3-EchelleFPAparam!$M$3/2)+SIN('Standard Settings'!$F7+EchelleFPAparam!$M$3))</f>
        <v>1493.5273220003617</v>
      </c>
      <c r="BR12" s="24">
        <f>EchelleFPAparam!$S$3/('crmcfgWLEN.txt'!$U12+I$53)*(SIN(EchelleFPAparam!$T$3-EchelleFPAparam!$M$3/2)+SIN('Standard Settings'!$F7+EchelleFPAparam!$M$3))</f>
        <v>1455.2317496413782</v>
      </c>
      <c r="BS12" s="24">
        <f>EchelleFPAparam!$S$3/('crmcfgWLEN.txt'!$U12+J$53)*(SIN(EchelleFPAparam!$T$3-EchelleFPAparam!$M$3/2)+SIN('Standard Settings'!$F7+EchelleFPAparam!$M$3))</f>
        <v>1418.8509559003437</v>
      </c>
      <c r="BT12" s="24">
        <f>EchelleFPAparam!$S$3/('crmcfgWLEN.txt'!$U12+K$53)*(SIN(EchelleFPAparam!$T$3-EchelleFPAparam!$M$3/2)+SIN('Standard Settings'!$F7+EchelleFPAparam!$M$3))</f>
        <v>1384.2448350247255</v>
      </c>
      <c r="BU12" s="25">
        <f t="shared" si="33"/>
        <v>1749.2683017949441</v>
      </c>
      <c r="BV12" s="25">
        <f t="shared" si="2"/>
        <v>1696.8884159454615</v>
      </c>
      <c r="BW12" s="25">
        <f t="shared" si="3"/>
        <v>1647.5580236581532</v>
      </c>
      <c r="BX12" s="25">
        <f t="shared" si="4"/>
        <v>1601.018076820641</v>
      </c>
      <c r="BY12" s="25">
        <f t="shared" si="5"/>
        <v>1557.0380860360424</v>
      </c>
      <c r="BZ12" s="25">
        <f t="shared" si="6"/>
        <v>1515.4122876434801</v>
      </c>
      <c r="CA12" s="25">
        <f t="shared" si="7"/>
        <v>1475.9564123297691</v>
      </c>
      <c r="CB12" s="25">
        <f t="shared" si="8"/>
        <v>1438.5049479213624</v>
      </c>
      <c r="CC12" s="25">
        <f t="shared" si="9"/>
        <v>1402.9088103284296</v>
      </c>
      <c r="CD12" s="25">
        <f t="shared" si="10"/>
        <v>1369.0333533211572</v>
      </c>
      <c r="CE12" s="25">
        <f t="shared" si="34"/>
        <v>1798.5434652257877</v>
      </c>
      <c r="CF12" s="25">
        <f t="shared" si="11"/>
        <v>1743.3785095330084</v>
      </c>
      <c r="CG12" s="25">
        <f t="shared" si="12"/>
        <v>1691.4929042890374</v>
      </c>
      <c r="CH12" s="25">
        <f t="shared" si="13"/>
        <v>1642.6029619328654</v>
      </c>
      <c r="CI12" s="25">
        <f t="shared" si="14"/>
        <v>1596.4567717584739</v>
      </c>
      <c r="CJ12" s="25">
        <f t="shared" si="15"/>
        <v>1552.8298749927019</v>
      </c>
      <c r="CK12" s="25">
        <f t="shared" si="16"/>
        <v>1511.5216270847034</v>
      </c>
      <c r="CL12" s="25">
        <f t="shared" si="17"/>
        <v>1472.3521231665709</v>
      </c>
      <c r="CM12" s="25">
        <f t="shared" si="18"/>
        <v>1435.1595875773594</v>
      </c>
      <c r="CN12" s="25">
        <f t="shared" si="19"/>
        <v>1399.7981477778123</v>
      </c>
      <c r="CO12" s="26">
        <f>(EchelleFPAparam!$S$3/($U12+B$53)*COS((AG12-EchelleFPAparam!$AE8)*EchelleFPAparam!$C$3/EchelleFPAparam!$E$3))*(SIN('Standard Settings'!$F7)+SIN('Standard Settings'!$F7+EchelleFPAparam!$M$3+(EchelleFPAparam!$F$3*EchelleFPAparam!$B$6)*COS(EchelleFPAparam!$AC$3)-(AG12-1024)*SIN(EchelleFPAparam!$AC$3)*EchelleFPAparam!$C$3/EchelleFPAparam!$E$3))</f>
        <v>1761.9330482100249</v>
      </c>
      <c r="CP12" s="26">
        <f>(EchelleFPAparam!$S$3/($U12+C$53)*COS((AH12-EchelleFPAparam!$AE8)*EchelleFPAparam!$C$3/EchelleFPAparam!$E$3))*(SIN('Standard Settings'!$F7)+SIN('Standard Settings'!$F7+EchelleFPAparam!$M$3+(EchelleFPAparam!$F$3*EchelleFPAparam!$B$6)*COS(EchelleFPAparam!$AC$3)-(AH12-1024)*SIN(EchelleFPAparam!$AC$3)*EchelleFPAparam!$C$3/EchelleFPAparam!$E$3))</f>
        <v>1708.6598314160588</v>
      </c>
      <c r="CQ12" s="26">
        <f>(EchelleFPAparam!$S$3/($U12+D$53)*COS((AI12-EchelleFPAparam!$AE8)*EchelleFPAparam!$C$3/EchelleFPAparam!$E$3))*(SIN('Standard Settings'!$F7)+SIN('Standard Settings'!$F7+EchelleFPAparam!$M$3+(EchelleFPAparam!$F$3*EchelleFPAparam!$B$6)*COS(EchelleFPAparam!$AC$3)-(AI12-1024)*SIN(EchelleFPAparam!$AC$3)*EchelleFPAparam!$C$3/EchelleFPAparam!$E$3))</f>
        <v>1658.4951153835923</v>
      </c>
      <c r="CR12" s="26">
        <f>(EchelleFPAparam!$S$3/($U12+E$53)*COS((AJ12-EchelleFPAparam!$AE8)*EchelleFPAparam!$C$3/EchelleFPAparam!$E$3))*(SIN('Standard Settings'!$F7)+SIN('Standard Settings'!$F7+EchelleFPAparam!$M$3+(EchelleFPAparam!$F$3*EchelleFPAparam!$B$6)*COS(EchelleFPAparam!$AC$3)-(AJ12-1024)*SIN(EchelleFPAparam!$AC$3)*EchelleFPAparam!$C$3/EchelleFPAparam!$E$3))</f>
        <v>1611.1760884770058</v>
      </c>
      <c r="CS12" s="26">
        <f>(EchelleFPAparam!$S$3/($U12+F$53)*COS((AK12-EchelleFPAparam!$AE8)*EchelleFPAparam!$C$3/EchelleFPAparam!$E$3))*(SIN('Standard Settings'!$F7)+SIN('Standard Settings'!$F7+EchelleFPAparam!$M$3+(EchelleFPAparam!$F$3*EchelleFPAparam!$B$6)*COS(EchelleFPAparam!$AC$3)-(AK12-1024)*SIN(EchelleFPAparam!$AC$3)*EchelleFPAparam!$C$3/EchelleFPAparam!$E$3))</f>
        <v>1566.4690546332274</v>
      </c>
      <c r="CT12" s="26">
        <f>(EchelleFPAparam!$S$3/($U12+G$53)*COS((AL12-EchelleFPAparam!$AE8)*EchelleFPAparam!$C$3/EchelleFPAparam!$E$3))*(SIN('Standard Settings'!$F7)+SIN('Standard Settings'!$F7+EchelleFPAparam!$M$3+(EchelleFPAparam!$F$3*EchelleFPAparam!$B$6)*COS(EchelleFPAparam!$AC$3)-(AL12-1024)*SIN(EchelleFPAparam!$AC$3)*EchelleFPAparam!$C$3/EchelleFPAparam!$E$3))</f>
        <v>1524.1643799645581</v>
      </c>
      <c r="CU12" s="26">
        <f>(EchelleFPAparam!$S$3/($U12+H$53)*COS((AM12-EchelleFPAparam!$AE8)*EchelleFPAparam!$C$3/EchelleFPAparam!$E$3))*(SIN('Standard Settings'!$F7)+SIN('Standard Settings'!$F7+EchelleFPAparam!$M$3+(EchelleFPAparam!$F$3*EchelleFPAparam!$B$6)*COS(EchelleFPAparam!$AC$3)-(AM12-1024)*SIN(EchelleFPAparam!$AC$3)*EchelleFPAparam!$C$3/EchelleFPAparam!$E$3))</f>
        <v>1484.0748927561096</v>
      </c>
      <c r="CV12" s="26">
        <f>(EchelleFPAparam!$S$3/($U12+I$53)*COS((AN12-EchelleFPAparam!$AE8)*EchelleFPAparam!$C$3/EchelleFPAparam!$E$3))*(SIN('Standard Settings'!$F7)+SIN('Standard Settings'!$F7+EchelleFPAparam!$M$3+(EchelleFPAparam!$F$3*EchelleFPAparam!$B$6)*COS(EchelleFPAparam!$AC$3)-(AN12-1024)*SIN(EchelleFPAparam!$AC$3)*EchelleFPAparam!$C$3/EchelleFPAparam!$E$3))</f>
        <v>1446.0315809706374</v>
      </c>
      <c r="CW12" s="26">
        <f>(EchelleFPAparam!$S$3/($U12+J$53)*COS((AO12-EchelleFPAparam!$AE8)*EchelleFPAparam!$C$3/EchelleFPAparam!$E$3))*(SIN('Standard Settings'!$F7)+SIN('Standard Settings'!$F7+EchelleFPAparam!$M$3+(EchelleFPAparam!$F$3*EchelleFPAparam!$B$6)*COS(EchelleFPAparam!$AC$3)-(AO12-1024)*SIN(EchelleFPAparam!$AC$3)*EchelleFPAparam!$C$3/EchelleFPAparam!$E$3))</f>
        <v>1409.4067337888889</v>
      </c>
      <c r="CX12" s="26">
        <f>(EchelleFPAparam!$S$3/($U12+K$53)*COS((AP12-EchelleFPAparam!$AE8)*EchelleFPAparam!$C$3/EchelleFPAparam!$E$3))*(SIN('Standard Settings'!$F7)+SIN('Standard Settings'!$F7+EchelleFPAparam!$M$3+(EchelleFPAparam!$F$3*EchelleFPAparam!$B$6)*COS(EchelleFPAparam!$AC$3)-(AP12-1024)*SIN(EchelleFPAparam!$AC$3)*EchelleFPAparam!$C$3/EchelleFPAparam!$E$3))</f>
        <v>1375.0309597940379</v>
      </c>
      <c r="CY12" s="26">
        <f>(EchelleFPAparam!$S$3/($U12+B$53)*COS((AG12-EchelleFPAparam!$AE8)*EchelleFPAparam!$C$3/EchelleFPAparam!$E$3))*(SIN('Standard Settings'!$F7)+SIN('Standard Settings'!$F7+EchelleFPAparam!$M$3+EchelleFPAparam!$G$3*EchelleFPAparam!$B$6*COS(EchelleFPAparam!$AC$3)-(AG12-1024)*SIN(EchelleFPAparam!$AC$3)*EchelleFPAparam!$C$3/EchelleFPAparam!$E$3))</f>
        <v>1773.4760235733809</v>
      </c>
      <c r="CZ12" s="26">
        <f>(EchelleFPAparam!$S$3/($U12+C$53)*COS((AH12-EchelleFPAparam!$AE8)*EchelleFPAparam!$C$3/EchelleFPAparam!$E$3))*(SIN('Standard Settings'!$F7)+SIN('Standard Settings'!$F7+EchelleFPAparam!$M$3+EchelleFPAparam!$G$3*EchelleFPAparam!$B$6*COS(EchelleFPAparam!$AC$3)-(AH12-1024)*SIN(EchelleFPAparam!$AC$3)*EchelleFPAparam!$C$3/EchelleFPAparam!$E$3))</f>
        <v>1719.851838420823</v>
      </c>
      <c r="DA12" s="26">
        <f>(EchelleFPAparam!$S$3/($U12+D$53)*COS((AI12-EchelleFPAparam!$AE8)*EchelleFPAparam!$C$3/EchelleFPAparam!$E$3))*(SIN('Standard Settings'!$F7)+SIN('Standard Settings'!$F7+EchelleFPAparam!$M$3+EchelleFPAparam!$G$3*EchelleFPAparam!$B$6*COS(EchelleFPAparam!$AC$3)-(AI12-1024)*SIN(EchelleFPAparam!$AC$3)*EchelleFPAparam!$C$3/EchelleFPAparam!$E$3))</f>
        <v>1669.3567537316233</v>
      </c>
      <c r="DB12" s="26">
        <f>(EchelleFPAparam!$S$3/($U12+E$53)*COS((AJ12-EchelleFPAparam!$AE8)*EchelleFPAparam!$C$3/EchelleFPAparam!$E$3))*(SIN('Standard Settings'!$F7)+SIN('Standard Settings'!$F7+EchelleFPAparam!$M$3+EchelleFPAparam!$G$3*EchelleFPAparam!$B$6*COS(EchelleFPAparam!$AC$3)-(AJ12-1024)*SIN(EchelleFPAparam!$AC$3)*EchelleFPAparam!$C$3/EchelleFPAparam!$E$3))</f>
        <v>1621.7262098520584</v>
      </c>
      <c r="DC12" s="26">
        <f>(EchelleFPAparam!$S$3/($U12+F$53)*COS((AK12-EchelleFPAparam!$AE8)*EchelleFPAparam!$C$3/EchelleFPAparam!$E$3))*(SIN('Standard Settings'!$F7)+SIN('Standard Settings'!$F7+EchelleFPAparam!$M$3+EchelleFPAparam!$G$3*EchelleFPAparam!$B$6*COS(EchelleFPAparam!$AC$3)-(AK12-1024)*SIN(EchelleFPAparam!$AC$3)*EchelleFPAparam!$C$3/EchelleFPAparam!$E$3))</f>
        <v>1576.7249441261658</v>
      </c>
      <c r="DD12" s="26">
        <f>(EchelleFPAparam!$S$3/($U12+G$53)*COS((AL12-EchelleFPAparam!$AE8)*EchelleFPAparam!$C$3/EchelleFPAparam!$E$3))*(SIN('Standard Settings'!$F7)+SIN('Standard Settings'!$F7+EchelleFPAparam!$M$3+EchelleFPAparam!$G$3*EchelleFPAparam!$B$6*COS(EchelleFPAparam!$AC$3)-(AL12-1024)*SIN(EchelleFPAparam!$AC$3)*EchelleFPAparam!$C$3/EchelleFPAparam!$E$3))</f>
        <v>1534.1419396762003</v>
      </c>
      <c r="DE12" s="26">
        <f>(EchelleFPAparam!$S$3/($U12+H$53)*COS((AM12-EchelleFPAparam!$AE8)*EchelleFPAparam!$C$3/EchelleFPAparam!$E$3))*(SIN('Standard Settings'!$F7)+SIN('Standard Settings'!$F7+EchelleFPAparam!$M$3+EchelleFPAparam!$G$3*EchelleFPAparam!$B$6*COS(EchelleFPAparam!$AC$3)-(AM12-1024)*SIN(EchelleFPAparam!$AC$3)*EchelleFPAparam!$C$3/EchelleFPAparam!$E$3))</f>
        <v>1493.7887574706035</v>
      </c>
      <c r="DF12" s="26">
        <f>(EchelleFPAparam!$S$3/($U12+I$53)*COS((AN12-EchelleFPAparam!$AE8)*EchelleFPAparam!$C$3/EchelleFPAparam!$E$3))*(SIN('Standard Settings'!$F7)+SIN('Standard Settings'!$F7+EchelleFPAparam!$M$3+EchelleFPAparam!$G$3*EchelleFPAparam!$B$6*COS(EchelleFPAparam!$AC$3)-(AN12-1024)*SIN(EchelleFPAparam!$AC$3)*EchelleFPAparam!$C$3/EchelleFPAparam!$E$3))</f>
        <v>1455.4952628104338</v>
      </c>
      <c r="DG12" s="26">
        <f>(EchelleFPAparam!$S$3/($U12+J$53)*COS((AO12-EchelleFPAparam!$AE8)*EchelleFPAparam!$C$3/EchelleFPAparam!$E$3))*(SIN('Standard Settings'!$F7)+SIN('Standard Settings'!$F7+EchelleFPAparam!$M$3+EchelleFPAparam!$G$3*EchelleFPAparam!$B$6*COS(EchelleFPAparam!$AC$3)-(AO12-1024)*SIN(EchelleFPAparam!$AC$3)*EchelleFPAparam!$C$3/EchelleFPAparam!$E$3))</f>
        <v>1418.6421377992356</v>
      </c>
      <c r="DH12" s="26">
        <f>(EchelleFPAparam!$S$3/($U12+K$53)*COS((AP12-EchelleFPAparam!$AE8)*EchelleFPAparam!$C$3/EchelleFPAparam!$E$3))*(SIN('Standard Settings'!$F7)+SIN('Standard Settings'!$F7+EchelleFPAparam!$M$3+EchelleFPAparam!$G$3*EchelleFPAparam!$B$6*COS(EchelleFPAparam!$AC$3)-(AP12-1024)*SIN(EchelleFPAparam!$AC$3)*EchelleFPAparam!$C$3/EchelleFPAparam!$E$3))</f>
        <v>1384.0411100480346</v>
      </c>
      <c r="DI12" s="26">
        <f>(EchelleFPAparam!$S$3/($U12+B$53)*COS((AQ12-EchelleFPAparam!$AE8)*EchelleFPAparam!$C$3/EchelleFPAparam!$E$3))*(SIN('Standard Settings'!$F7)+SIN('Standard Settings'!$F7+EchelleFPAparam!$M$3+EchelleFPAparam!$H$3*EchelleFPAparam!$B$6*COS(EchelleFPAparam!$AC$3)-(AQ12-1024)*SIN(EchelleFPAparam!$AC$3)*EchelleFPAparam!$C$3/EchelleFPAparam!$E$3))</f>
        <v>1774.2633269064302</v>
      </c>
      <c r="DJ12" s="26">
        <f>(EchelleFPAparam!$S$3/($U12+C$53)*COS((AR12-EchelleFPAparam!$AE8)*EchelleFPAparam!$C$3/EchelleFPAparam!$E$3))*(SIN('Standard Settings'!$F7)+SIN('Standard Settings'!$F7+EchelleFPAparam!$M$3+EchelleFPAparam!$H$3*EchelleFPAparam!$B$6*COS(EchelleFPAparam!$AC$3)-(AR12-1024)*SIN(EchelleFPAparam!$AC$3)*EchelleFPAparam!$C$3/EchelleFPAparam!$E$3))</f>
        <v>1720.616793290664</v>
      </c>
      <c r="DK12" s="26">
        <f>(EchelleFPAparam!$S$3/($U12+D$53)*COS((AS12-EchelleFPAparam!$AE8)*EchelleFPAparam!$C$3/EchelleFPAparam!$E$3))*(SIN('Standard Settings'!$F7)+SIN('Standard Settings'!$F7+EchelleFPAparam!$M$3+EchelleFPAparam!$H$3*EchelleFPAparam!$B$6*COS(EchelleFPAparam!$AC$3)-(AS12-1024)*SIN(EchelleFPAparam!$AC$3)*EchelleFPAparam!$C$3/EchelleFPAparam!$E$3))</f>
        <v>1670.1003949972894</v>
      </c>
      <c r="DL12" s="26">
        <f>(EchelleFPAparam!$S$3/($U12+E$53)*COS((AT12-EchelleFPAparam!$AE8)*EchelleFPAparam!$C$3/EchelleFPAparam!$E$3))*(SIN('Standard Settings'!$F7)+SIN('Standard Settings'!$F7+EchelleFPAparam!$M$3+EchelleFPAparam!$H$3*EchelleFPAparam!$B$6*COS(EchelleFPAparam!$AC$3)-(AT12-1024)*SIN(EchelleFPAparam!$AC$3)*EchelleFPAparam!$C$3/EchelleFPAparam!$E$3))</f>
        <v>1622.4495334688143</v>
      </c>
      <c r="DM12" s="26">
        <f>(EchelleFPAparam!$S$3/($U12+F$53)*COS((AU12-EchelleFPAparam!$AE8)*EchelleFPAparam!$C$3/EchelleFPAparam!$E$3))*(SIN('Standard Settings'!$F7)+SIN('Standard Settings'!$F7+EchelleFPAparam!$M$3+EchelleFPAparam!$H$3*EchelleFPAparam!$B$6*COS(EchelleFPAparam!$AC$3)-(AU12-1024)*SIN(EchelleFPAparam!$AC$3)*EchelleFPAparam!$C$3/EchelleFPAparam!$E$3))</f>
        <v>1577.4285748637453</v>
      </c>
      <c r="DN12" s="26">
        <f>(EchelleFPAparam!$S$3/($U12+G$53)*COS((AV12-EchelleFPAparam!$AE8)*EchelleFPAparam!$C$3/EchelleFPAparam!$E$3))*(SIN('Standard Settings'!$F7)+SIN('Standard Settings'!$F7+EchelleFPAparam!$M$3+EchelleFPAparam!$H$3*EchelleFPAparam!$B$6*COS(EchelleFPAparam!$AC$3)-(AV12-1024)*SIN(EchelleFPAparam!$AC$3)*EchelleFPAparam!$C$3/EchelleFPAparam!$E$3))</f>
        <v>1534.826862012462</v>
      </c>
      <c r="DO12" s="26">
        <f>(EchelleFPAparam!$S$3/($U12+H$53)*COS((AW12-EchelleFPAparam!$AE8)*EchelleFPAparam!$C$3/EchelleFPAparam!$E$3))*(SIN('Standard Settings'!$F7)+SIN('Standard Settings'!$F7+EchelleFPAparam!$M$3+EchelleFPAparam!$H$3*EchelleFPAparam!$B$6*COS(EchelleFPAparam!$AC$3)-(AW12-1024)*SIN(EchelleFPAparam!$AC$3)*EchelleFPAparam!$C$3/EchelleFPAparam!$E$3))</f>
        <v>1494.4557721874376</v>
      </c>
      <c r="DP12" s="26">
        <f>(EchelleFPAparam!$S$3/($U12+I$53)*COS((AX12-EchelleFPAparam!$AE8)*EchelleFPAparam!$C$3/EchelleFPAparam!$E$3))*(SIN('Standard Settings'!$F7)+SIN('Standard Settings'!$F7+EchelleFPAparam!$M$3+EchelleFPAparam!$H$3*EchelleFPAparam!$B$6*COS(EchelleFPAparam!$AC$3)-(AX12-1024)*SIN(EchelleFPAparam!$AC$3)*EchelleFPAparam!$C$3/EchelleFPAparam!$E$3))</f>
        <v>1456.1451773683339</v>
      </c>
      <c r="DQ12" s="26">
        <f>(EchelleFPAparam!$S$3/($U12+J$53)*COS((AY12-EchelleFPAparam!$AE8)*EchelleFPAparam!$C$3/EchelleFPAparam!$E$3))*(SIN('Standard Settings'!$F7)+SIN('Standard Settings'!$F7+EchelleFPAparam!$M$3+EchelleFPAparam!$H$3*EchelleFPAparam!$B$6*COS(EchelleFPAparam!$AC$3)-(AY12-1024)*SIN(EchelleFPAparam!$AC$3)*EchelleFPAparam!$C$3/EchelleFPAparam!$E$3))</f>
        <v>1419.2763975317391</v>
      </c>
      <c r="DR12" s="26">
        <f>(EchelleFPAparam!$S$3/($U12+K$53)*COS((AZ12-EchelleFPAparam!$AE8)*EchelleFPAparam!$C$3/EchelleFPAparam!$E$3))*(SIN('Standard Settings'!$F7)+SIN('Standard Settings'!$F7+EchelleFPAparam!$M$3+EchelleFPAparam!$H$3*EchelleFPAparam!$B$6*COS(EchelleFPAparam!$AC$3)-(AZ12-1024)*SIN(EchelleFPAparam!$AC$3)*EchelleFPAparam!$C$3/EchelleFPAparam!$E$3))</f>
        <v>1384.659900030965</v>
      </c>
      <c r="DS12" s="26">
        <f>(EchelleFPAparam!$S$3/($U12+B$53)*COS((AQ12-EchelleFPAparam!$AE8)*EchelleFPAparam!$C$3/EchelleFPAparam!$E$3))*(SIN('Standard Settings'!$F7)+SIN('Standard Settings'!$F7+EchelleFPAparam!$M$3+EchelleFPAparam!$I$3*EchelleFPAparam!$B$6*COS(EchelleFPAparam!$AC$3)-(AQ12-1024)*SIN(EchelleFPAparam!$AC$3)*EchelleFPAparam!$C$3/EchelleFPAparam!$E$3))</f>
        <v>1785.2406365013901</v>
      </c>
      <c r="DT12" s="26">
        <f>(EchelleFPAparam!$S$3/($U12+C$53)*COS((AR12-EchelleFPAparam!$AE8)*EchelleFPAparam!$C$3/EchelleFPAparam!$E$3))*(SIN('Standard Settings'!$F7)+SIN('Standard Settings'!$F7+EchelleFPAparam!$M$3+EchelleFPAparam!$I$3*EchelleFPAparam!$B$6*COS(EchelleFPAparam!$AC$3)-(AR12-1024)*SIN(EchelleFPAparam!$AC$3)*EchelleFPAparam!$C$3/EchelleFPAparam!$E$3))</f>
        <v>1731.2602226317069</v>
      </c>
      <c r="DU12" s="26">
        <f>(EchelleFPAparam!$S$3/($U12+D$53)*COS((AS12-EchelleFPAparam!$AE8)*EchelleFPAparam!$C$3/EchelleFPAparam!$E$3))*(SIN('Standard Settings'!$F7)+SIN('Standard Settings'!$F7+EchelleFPAparam!$M$3+EchelleFPAparam!$I$3*EchelleFPAparam!$B$6*COS(EchelleFPAparam!$AC$3)-(AS12-1024)*SIN(EchelleFPAparam!$AC$3)*EchelleFPAparam!$C$3/EchelleFPAparam!$E$3))</f>
        <v>1680.4295449020649</v>
      </c>
      <c r="DV12" s="26">
        <f>(EchelleFPAparam!$S$3/($U12+E$53)*COS((AT12-EchelleFPAparam!$AE8)*EchelleFPAparam!$C$3/EchelleFPAparam!$E$3))*(SIN('Standard Settings'!$F7)+SIN('Standard Settings'!$F7+EchelleFPAparam!$M$3+EchelleFPAparam!$I$3*EchelleFPAparam!$B$6*COS(EchelleFPAparam!$AC$3)-(AT12-1024)*SIN(EchelleFPAparam!$AC$3)*EchelleFPAparam!$C$3/EchelleFPAparam!$E$3))</f>
        <v>1632.4823402586173</v>
      </c>
      <c r="DW12" s="26">
        <f>(EchelleFPAparam!$S$3/($U12+F$53)*COS((AU12-EchelleFPAparam!$AE8)*EchelleFPAparam!$C$3/EchelleFPAparam!$E$3))*(SIN('Standard Settings'!$F7)+SIN('Standard Settings'!$F7+EchelleFPAparam!$M$3+EchelleFPAparam!$I$3*EchelleFPAparam!$B$6*COS(EchelleFPAparam!$AC$3)-(AU12-1024)*SIN(EchelleFPAparam!$AC$3)*EchelleFPAparam!$C$3/EchelleFPAparam!$E$3))</f>
        <v>1587.1814913288715</v>
      </c>
      <c r="DX12" s="26">
        <f>(EchelleFPAparam!$S$3/($U12+G$53)*COS((AV12-EchelleFPAparam!$AE8)*EchelleFPAparam!$C$3/EchelleFPAparam!$E$3))*(SIN('Standard Settings'!$F7)+SIN('Standard Settings'!$F7+EchelleFPAparam!$M$3+EchelleFPAparam!$I$3*EchelleFPAparam!$B$6*COS(EchelleFPAparam!$AC$3)-(AV12-1024)*SIN(EchelleFPAparam!$AC$3)*EchelleFPAparam!$C$3/EchelleFPAparam!$E$3))</f>
        <v>1544.3150168815655</v>
      </c>
      <c r="DY12" s="26">
        <f>(EchelleFPAparam!$S$3/($U12+H$53)*COS((AW12-EchelleFPAparam!$AE8)*EchelleFPAparam!$C$3/EchelleFPAparam!$E$3))*(SIN('Standard Settings'!$F7)+SIN('Standard Settings'!$F7+EchelleFPAparam!$M$3+EchelleFPAparam!$I$3*EchelleFPAparam!$B$6*COS(EchelleFPAparam!$AC$3)-(AW12-1024)*SIN(EchelleFPAparam!$AC$3)*EchelleFPAparam!$C$3/EchelleFPAparam!$E$3))</f>
        <v>1503.6930912502012</v>
      </c>
      <c r="DZ12" s="26">
        <f>(EchelleFPAparam!$S$3/($U12+I$53)*COS((AX12-EchelleFPAparam!$AE8)*EchelleFPAparam!$C$3/EchelleFPAparam!$E$3))*(SIN('Standard Settings'!$F7)+SIN('Standard Settings'!$F7+EchelleFPAparam!$M$3+EchelleFPAparam!$I$3*EchelleFPAparam!$B$6*COS(EchelleFPAparam!$AC$3)-(AX12-1024)*SIN(EchelleFPAparam!$AC$3)*EchelleFPAparam!$C$3/EchelleFPAparam!$E$3))</f>
        <v>1465.1445158742154</v>
      </c>
      <c r="EA12" s="26">
        <f>(EchelleFPAparam!$S$3/($U12+J$53)*COS((AY12-EchelleFPAparam!$AE8)*EchelleFPAparam!$C$3/EchelleFPAparam!$E$3))*(SIN('Standard Settings'!$F7)+SIN('Standard Settings'!$F7+EchelleFPAparam!$M$3+EchelleFPAparam!$I$3*EchelleFPAparam!$B$6*COS(EchelleFPAparam!$AC$3)-(AY12-1024)*SIN(EchelleFPAparam!$AC$3)*EchelleFPAparam!$C$3/EchelleFPAparam!$E$3))</f>
        <v>1428.0592856235041</v>
      </c>
      <c r="EB12" s="26">
        <f>(EchelleFPAparam!$S$3/($U12+K$53)*COS((AZ12-EchelleFPAparam!$AE8)*EchelleFPAparam!$C$3/EchelleFPAparam!$E$3))*(SIN('Standard Settings'!$F7)+SIN('Standard Settings'!$F7+EchelleFPAparam!$M$3+EchelleFPAparam!$I$3*EchelleFPAparam!$B$6*COS(EchelleFPAparam!$AC$3)-(AZ12-1024)*SIN(EchelleFPAparam!$AC$3)*EchelleFPAparam!$C$3/EchelleFPAparam!$E$3))</f>
        <v>1393.228571340004</v>
      </c>
      <c r="EC12" s="26">
        <f>(EchelleFPAparam!$S$3/($U12+B$53)*COS((BA12-EchelleFPAparam!$AE8)*EchelleFPAparam!$C$3/EchelleFPAparam!$E$3))*(SIN('Standard Settings'!$F7)+SIN('Standard Settings'!$F7+EchelleFPAparam!$M$3+EchelleFPAparam!$J$3*EchelleFPAparam!$B$6*COS(EchelleFPAparam!$AC$3)-(BA12-1024)*SIN(EchelleFPAparam!$AC$3)*EchelleFPAparam!$C$3/EchelleFPAparam!$E$3))</f>
        <v>1786.0098868359848</v>
      </c>
      <c r="ED12" s="26">
        <f>(EchelleFPAparam!$S$3/($U12+C$53)*COS((BB12-EchelleFPAparam!$AE8)*EchelleFPAparam!$C$3/EchelleFPAparam!$E$3))*(SIN('Standard Settings'!$F7)+SIN('Standard Settings'!$F7+EchelleFPAparam!$M$3+EchelleFPAparam!$J$3*EchelleFPAparam!$B$6*COS(EchelleFPAparam!$AC$3)-(BB12-1024)*SIN(EchelleFPAparam!$AC$3)*EchelleFPAparam!$C$3/EchelleFPAparam!$E$3))</f>
        <v>1732.0078800340511</v>
      </c>
      <c r="EE12" s="26">
        <f>(EchelleFPAparam!$S$3/($U12+D$53)*COS((BC12-EchelleFPAparam!$AE8)*EchelleFPAparam!$C$3/EchelleFPAparam!$E$3))*(SIN('Standard Settings'!$F7)+SIN('Standard Settings'!$F7+EchelleFPAparam!$M$3+EchelleFPAparam!$J$3*EchelleFPAparam!$B$6*COS(EchelleFPAparam!$AC$3)-(BC12-1024)*SIN(EchelleFPAparam!$AC$3)*EchelleFPAparam!$C$3/EchelleFPAparam!$E$3))</f>
        <v>1681.1563263066762</v>
      </c>
      <c r="EF12" s="26">
        <f>(EchelleFPAparam!$S$3/($U12+E$53)*COS((BD12-EchelleFPAparam!$AE8)*EchelleFPAparam!$C$3/EchelleFPAparam!$E$3))*(SIN('Standard Settings'!$F7)+SIN('Standard Settings'!$F7+EchelleFPAparam!$M$3+EchelleFPAparam!$J$3*EchelleFPAparam!$B$6*COS(EchelleFPAparam!$AC$3)-(BD12-1024)*SIN(EchelleFPAparam!$AC$3)*EchelleFPAparam!$C$3/EchelleFPAparam!$E$3))</f>
        <v>1633.1890167740241</v>
      </c>
      <c r="EG12" s="26">
        <f>(EchelleFPAparam!$S$3/($U12+F$53)*COS((BE12-EchelleFPAparam!$AE8)*EchelleFPAparam!$C$3/EchelleFPAparam!$E$3))*(SIN('Standard Settings'!$F7)+SIN('Standard Settings'!$F7+EchelleFPAparam!$M$3+EchelleFPAparam!$J$3*EchelleFPAparam!$B$6*COS(EchelleFPAparam!$AC$3)-(BE12-1024)*SIN(EchelleFPAparam!$AC$3)*EchelleFPAparam!$C$3/EchelleFPAparam!$E$3))</f>
        <v>1587.8690938014672</v>
      </c>
      <c r="EH12" s="26">
        <f>(EchelleFPAparam!$S$3/($U12+G$53)*COS((BF12-EchelleFPAparam!$AE8)*EchelleFPAparam!$C$3/EchelleFPAparam!$E$3))*(SIN('Standard Settings'!$F7)+SIN('Standard Settings'!$F7+EchelleFPAparam!$M$3+EchelleFPAparam!$J$3*EchelleFPAparam!$B$6*COS(EchelleFPAparam!$AC$3)-(BF12-1024)*SIN(EchelleFPAparam!$AC$3)*EchelleFPAparam!$C$3/EchelleFPAparam!$E$3))</f>
        <v>1544.9843479431158</v>
      </c>
      <c r="EI12" s="26">
        <f>(EchelleFPAparam!$S$3/($U12+H$53)*COS((BG12-EchelleFPAparam!$AE8)*EchelleFPAparam!$C$3/EchelleFPAparam!$E$3))*(SIN('Standard Settings'!$F7)+SIN('Standard Settings'!$F7+EchelleFPAparam!$M$3+EchelleFPAparam!$J$3*EchelleFPAparam!$B$6*COS(EchelleFPAparam!$AC$3)-(BG12-1024)*SIN(EchelleFPAparam!$AC$3)*EchelleFPAparam!$C$3/EchelleFPAparam!$E$3))</f>
        <v>1504.344728477718</v>
      </c>
      <c r="EJ12" s="26">
        <f>(EchelleFPAparam!$S$3/($U12+I$53)*COS((BH12-EchelleFPAparam!$AE8)*EchelleFPAparam!$C$3/EchelleFPAparam!$E$3))*(SIN('Standard Settings'!$F7)+SIN('Standard Settings'!$F7+EchelleFPAparam!$M$3+EchelleFPAparam!$J$3*EchelleFPAparam!$B$6*COS(EchelleFPAparam!$AC$3)-(BH12-1024)*SIN(EchelleFPAparam!$AC$3)*EchelleFPAparam!$C$3/EchelleFPAparam!$E$3))</f>
        <v>1465.7793199829819</v>
      </c>
      <c r="EK12" s="26">
        <f>(EchelleFPAparam!$S$3/($U12+J$53)*COS((BI12-EchelleFPAparam!$AE8)*EchelleFPAparam!$C$3/EchelleFPAparam!$E$3))*(SIN('Standard Settings'!$F7)+SIN('Standard Settings'!$F7+EchelleFPAparam!$M$3+EchelleFPAparam!$J$3*EchelleFPAparam!$B$6*COS(EchelleFPAparam!$AC$3)-(BI12-1024)*SIN(EchelleFPAparam!$AC$3)*EchelleFPAparam!$C$3/EchelleFPAparam!$E$3))</f>
        <v>1428.6788454594375</v>
      </c>
      <c r="EL12" s="26">
        <f>(EchelleFPAparam!$S$3/($U12+K$53)*COS((BJ12-EchelleFPAparam!$AE8)*EchelleFPAparam!$C$3/EchelleFPAparam!$E$3))*(SIN('Standard Settings'!$F7)+SIN('Standard Settings'!$F7+EchelleFPAparam!$M$3+EchelleFPAparam!$J$3*EchelleFPAparam!$B$6*COS(EchelleFPAparam!$AC$3)-(BJ12-1024)*SIN(EchelleFPAparam!$AC$3)*EchelleFPAparam!$C$3/EchelleFPAparam!$E$3))</f>
        <v>1393.8330199604268</v>
      </c>
      <c r="EM12" s="26">
        <f>(EchelleFPAparam!$S$3/($U12+B$53)*COS((BA12-EchelleFPAparam!$AE8)*EchelleFPAparam!$C$3/EchelleFPAparam!$E$3))*(SIN('Standard Settings'!$F7)+SIN('Standard Settings'!$F7+EchelleFPAparam!$M$3+EchelleFPAparam!$K$3*EchelleFPAparam!$B$6*COS(EchelleFPAparam!$AC$3)-(BA12-1024)*SIN(EchelleFPAparam!$AC$3)*EchelleFPAparam!$C$3/EchelleFPAparam!$E$3))</f>
        <v>1796.4128135134631</v>
      </c>
      <c r="EN12" s="26">
        <f>(EchelleFPAparam!$S$3/($U12+C$53)*COS((BB12-EchelleFPAparam!$AE8)*EchelleFPAparam!$C$3/EchelleFPAparam!$E$3))*(SIN('Standard Settings'!$F7)+SIN('Standard Settings'!$F7+EchelleFPAparam!$M$3+EchelleFPAparam!$K$3*EchelleFPAparam!$B$6*COS(EchelleFPAparam!$AC$3)-(BB12-1024)*SIN(EchelleFPAparam!$AC$3)*EchelleFPAparam!$C$3/EchelleFPAparam!$E$3))</f>
        <v>1742.0942748805753</v>
      </c>
      <c r="EO12" s="26">
        <f>(EchelleFPAparam!$S$3/($U12+D$53)*COS((BC12-EchelleFPAparam!$AE8)*EchelleFPAparam!$C$3/EchelleFPAparam!$E$3))*(SIN('Standard Settings'!$F7)+SIN('Standard Settings'!$F7+EchelleFPAparam!$M$3+EchelleFPAparam!$K$3*EchelleFPAparam!$B$6*COS(EchelleFPAparam!$AC$3)-(BC12-1024)*SIN(EchelleFPAparam!$AC$3)*EchelleFPAparam!$C$3/EchelleFPAparam!$E$3))</f>
        <v>1690.9447786244384</v>
      </c>
      <c r="EP12" s="26">
        <f>(EchelleFPAparam!$S$3/($U12+E$53)*COS((BD12-EchelleFPAparam!$AE8)*EchelleFPAparam!$C$3/EchelleFPAparam!$E$3))*(SIN('Standard Settings'!$F7)+SIN('Standard Settings'!$F7+EchelleFPAparam!$M$3+EchelleFPAparam!$K$3*EchelleFPAparam!$B$6*COS(EchelleFPAparam!$AC$3)-(BD12-1024)*SIN(EchelleFPAparam!$AC$3)*EchelleFPAparam!$C$3/EchelleFPAparam!$E$3))</f>
        <v>1642.6965377960837</v>
      </c>
      <c r="EQ12" s="26">
        <f>(EchelleFPAparam!$S$3/($U12+F$53)*COS((BE12-EchelleFPAparam!$AE8)*EchelleFPAparam!$C$3/EchelleFPAparam!$E$3))*(SIN('Standard Settings'!$F7)+SIN('Standard Settings'!$F7+EchelleFPAparam!$M$3+EchelleFPAparam!$K$3*EchelleFPAparam!$B$6*COS(EchelleFPAparam!$AC$3)-(BE12-1024)*SIN(EchelleFPAparam!$AC$3)*EchelleFPAparam!$C$3/EchelleFPAparam!$E$3))</f>
        <v>1597.1112812719987</v>
      </c>
      <c r="ER12" s="26">
        <f>(EchelleFPAparam!$S$3/($U12+G$53)*COS((BF12-EchelleFPAparam!$AE8)*EchelleFPAparam!$C$3/EchelleFPAparam!$E$3))*(SIN('Standard Settings'!$F7)+SIN('Standard Settings'!$F7+EchelleFPAparam!$M$3+EchelleFPAparam!$K$3*EchelleFPAparam!$B$6*COS(EchelleFPAparam!$AC$3)-(BF12-1024)*SIN(EchelleFPAparam!$AC$3)*EchelleFPAparam!$C$3/EchelleFPAparam!$E$3))</f>
        <v>1553.9755461202164</v>
      </c>
      <c r="ES12" s="26">
        <f>(EchelleFPAparam!$S$3/($U12+H$53)*COS((BG12-EchelleFPAparam!$AE8)*EchelleFPAparam!$C$3/EchelleFPAparam!$E$3))*(SIN('Standard Settings'!$F7)+SIN('Standard Settings'!$F7+EchelleFPAparam!$M$3+EchelleFPAparam!$K$3*EchelleFPAparam!$B$6*COS(EchelleFPAparam!$AC$3)-(BG12-1024)*SIN(EchelleFPAparam!$AC$3)*EchelleFPAparam!$C$3/EchelleFPAparam!$E$3))</f>
        <v>1513.0981534653299</v>
      </c>
      <c r="ET12" s="26">
        <f>(EchelleFPAparam!$S$3/($U12+I$53)*COS((BH12-EchelleFPAparam!$AE8)*EchelleFPAparam!$C$3/EchelleFPAparam!$E$3))*(SIN('Standard Settings'!$F7)+SIN('Standard Settings'!$F7+EchelleFPAparam!$M$3+EchelleFPAparam!$K$3*EchelleFPAparam!$B$6*COS(EchelleFPAparam!$AC$3)-(BH12-1024)*SIN(EchelleFPAparam!$AC$3)*EchelleFPAparam!$C$3/EchelleFPAparam!$E$3))</f>
        <v>1474.3071665608063</v>
      </c>
      <c r="EU12" s="26">
        <f>(EchelleFPAparam!$S$3/($U12+J$53)*COS((BI12-EchelleFPAparam!$AE8)*EchelleFPAparam!$C$3/EchelleFPAparam!$E$3))*(SIN('Standard Settings'!$F7)+SIN('Standard Settings'!$F7+EchelleFPAparam!$M$3+EchelleFPAparam!$K$3*EchelleFPAparam!$B$6*COS(EchelleFPAparam!$AC$3)-(BI12-1024)*SIN(EchelleFPAparam!$AC$3)*EchelleFPAparam!$C$3/EchelleFPAparam!$E$3))</f>
        <v>1437.0022422276302</v>
      </c>
      <c r="EV12" s="26">
        <f>(EchelleFPAparam!$S$3/($U12+K$53)*COS((BJ12-EchelleFPAparam!$AE8)*EchelleFPAparam!$C$3/EchelleFPAparam!$E$3))*(SIN('Standard Settings'!$F7)+SIN('Standard Settings'!$F7+EchelleFPAparam!$M$3+EchelleFPAparam!$K$3*EchelleFPAparam!$B$6*COS(EchelleFPAparam!$AC$3)-(BJ12-1024)*SIN(EchelleFPAparam!$AC$3)*EchelleFPAparam!$C$3/EchelleFPAparam!$E$3))</f>
        <v>1401.9534070513466</v>
      </c>
      <c r="EW12" s="60">
        <f t="shared" ref="EW12:EW35" si="40">CV12</f>
        <v>1446.0315809706374</v>
      </c>
      <c r="EX12" s="60">
        <f t="shared" si="20"/>
        <v>1796.4128135134631</v>
      </c>
      <c r="EY12" s="90">
        <v>0.39</v>
      </c>
      <c r="EZ12" s="90">
        <v>0.36</v>
      </c>
      <c r="FA12" s="50">
        <v>30000</v>
      </c>
      <c r="FB12" s="50">
        <v>5000</v>
      </c>
      <c r="FC12" s="50">
        <v>5000</v>
      </c>
      <c r="FD12" s="50">
        <v>8125</v>
      </c>
      <c r="FE12" s="95">
        <v>100</v>
      </c>
      <c r="FF12" s="50">
        <v>5000</v>
      </c>
      <c r="FG12" s="50">
        <v>430</v>
      </c>
      <c r="FH12" s="50">
        <f t="shared" si="27"/>
        <v>1250</v>
      </c>
      <c r="FI12" s="50">
        <f t="shared" si="28"/>
        <v>1250</v>
      </c>
      <c r="FJ12" s="50">
        <f t="shared" si="29"/>
        <v>2031.25</v>
      </c>
      <c r="FK12" s="95">
        <f t="shared" si="30"/>
        <v>25</v>
      </c>
      <c r="FL12" s="50">
        <f t="shared" si="31"/>
        <v>1250</v>
      </c>
      <c r="FM12" s="50">
        <f t="shared" si="32"/>
        <v>107.5</v>
      </c>
      <c r="FN12" s="50">
        <v>500</v>
      </c>
      <c r="FO12" s="91">
        <f>1/(F12*EchelleFPAparam!$Q$3)</f>
        <v>-8039.7048290051926</v>
      </c>
      <c r="FP12" s="91">
        <f t="shared" si="22"/>
        <v>-38.286410938261369</v>
      </c>
      <c r="FQ12" s="50">
        <v>-999999</v>
      </c>
      <c r="FR12" s="50">
        <v>-999999</v>
      </c>
      <c r="FS12" s="90">
        <v>1</v>
      </c>
      <c r="FT12" s="90">
        <v>292.07600000000002</v>
      </c>
      <c r="FU12" s="90">
        <v>1080.268</v>
      </c>
      <c r="FV12" s="50">
        <v>-999999</v>
      </c>
      <c r="FW12" s="50">
        <v>-999999</v>
      </c>
      <c r="FX12" s="50">
        <v>-999999</v>
      </c>
      <c r="FY12" s="90">
        <v>1</v>
      </c>
      <c r="FZ12" s="90">
        <v>1488.951</v>
      </c>
      <c r="GA12" s="90">
        <v>1315.518</v>
      </c>
      <c r="GB12" s="50">
        <v>-999999</v>
      </c>
      <c r="GC12" s="50">
        <v>-999999</v>
      </c>
      <c r="GD12" s="50">
        <v>-999999</v>
      </c>
      <c r="GE12" s="90">
        <v>2</v>
      </c>
      <c r="GF12" s="90">
        <v>974.93</v>
      </c>
      <c r="GG12" s="90">
        <v>1311.5889999999999</v>
      </c>
      <c r="GH12" s="50">
        <v>-999999</v>
      </c>
      <c r="GI12" s="50">
        <v>-999999</v>
      </c>
      <c r="GJ12" s="50">
        <v>-999999</v>
      </c>
      <c r="GK12" s="90">
        <v>2</v>
      </c>
      <c r="GL12" s="90">
        <v>884.79100000000005</v>
      </c>
      <c r="GM12" s="90">
        <v>1071.347</v>
      </c>
      <c r="GN12" s="50">
        <v>-999999</v>
      </c>
      <c r="GO12" s="50">
        <v>-999999</v>
      </c>
      <c r="GP12" s="50">
        <v>-999999</v>
      </c>
      <c r="GQ12" s="90">
        <v>3</v>
      </c>
      <c r="GR12" s="90">
        <v>196.71100000000001</v>
      </c>
      <c r="GS12" s="90">
        <v>1313.646</v>
      </c>
      <c r="GT12" s="50">
        <v>-999999</v>
      </c>
      <c r="GU12" s="50">
        <v>-999999</v>
      </c>
      <c r="GV12" s="50">
        <v>-999999</v>
      </c>
      <c r="GW12" s="50">
        <v>-999999</v>
      </c>
      <c r="GX12" s="50">
        <v>-999999</v>
      </c>
      <c r="GY12" s="50">
        <v>-999999</v>
      </c>
      <c r="GZ12" s="50">
        <v>-999999</v>
      </c>
      <c r="HA12" s="50">
        <v>-999999</v>
      </c>
      <c r="HB12" s="50">
        <v>-999999</v>
      </c>
      <c r="HC12" s="50">
        <v>-999999</v>
      </c>
      <c r="HD12" s="50">
        <v>-999999</v>
      </c>
      <c r="HE12" s="50">
        <v>-999999</v>
      </c>
      <c r="HF12" s="50">
        <v>-999999</v>
      </c>
      <c r="HG12" s="50">
        <v>-999999</v>
      </c>
      <c r="HH12" s="50">
        <v>-999999</v>
      </c>
      <c r="HI12" s="50">
        <v>-999999</v>
      </c>
      <c r="HJ12" s="50">
        <v>-999999</v>
      </c>
      <c r="HK12" s="50">
        <v>-999999</v>
      </c>
      <c r="HL12" s="50">
        <v>-999999</v>
      </c>
      <c r="HM12" s="50">
        <v>-999999</v>
      </c>
      <c r="HN12" s="50">
        <v>-999999</v>
      </c>
      <c r="HO12" s="50">
        <v>-999999</v>
      </c>
      <c r="HP12" s="50">
        <v>-999999</v>
      </c>
      <c r="HQ12" s="50">
        <v>-999999</v>
      </c>
      <c r="HR12" s="50">
        <v>-999999</v>
      </c>
      <c r="HS12" s="50">
        <v>-999999</v>
      </c>
      <c r="HT12" s="50">
        <v>-999999</v>
      </c>
      <c r="HU12" s="50">
        <v>-999999</v>
      </c>
      <c r="HV12" s="50">
        <v>-999999</v>
      </c>
      <c r="HW12" s="50">
        <v>-999999</v>
      </c>
      <c r="HX12" s="50">
        <v>-999999</v>
      </c>
      <c r="HY12" s="50"/>
      <c r="HZ12" s="50"/>
      <c r="IA12" s="50"/>
      <c r="IB12" s="50"/>
      <c r="IC12" s="50"/>
      <c r="ID12" s="50"/>
      <c r="IE12" s="50"/>
      <c r="IF12" s="50"/>
      <c r="IG12" s="50"/>
      <c r="IH12" s="50"/>
      <c r="II12" s="50"/>
      <c r="IJ12" s="50"/>
      <c r="IK12" s="50"/>
      <c r="IL12" s="50"/>
      <c r="IM12" s="50"/>
      <c r="IN12" s="50"/>
      <c r="IO12" s="50"/>
      <c r="IP12" s="50"/>
      <c r="IQ12" s="50"/>
      <c r="IR12" s="50"/>
      <c r="IS12" s="50"/>
      <c r="IT12" s="50"/>
      <c r="IU12" s="50"/>
      <c r="IV12" s="50"/>
      <c r="IW12" s="50"/>
      <c r="IX12" s="50"/>
      <c r="IY12" s="50"/>
      <c r="IZ12" s="50"/>
      <c r="JA12" s="50"/>
      <c r="JB12" s="50"/>
      <c r="JC12" s="50"/>
      <c r="JD12" s="50"/>
      <c r="JE12" s="50"/>
      <c r="JF12" s="50"/>
      <c r="JG12" s="50"/>
      <c r="JH12" s="50"/>
      <c r="JI12" s="50"/>
      <c r="JJ12" s="50"/>
      <c r="JK12" s="50"/>
      <c r="JL12" s="50"/>
      <c r="JM12" s="50"/>
      <c r="JN12" s="50"/>
      <c r="JO12" s="50"/>
      <c r="JP12" s="50"/>
      <c r="JQ12" s="50"/>
      <c r="JR12" s="50"/>
      <c r="JS12" s="50"/>
      <c r="JT12" s="50"/>
      <c r="JU12" s="50"/>
      <c r="JV12" s="50"/>
      <c r="JW12" s="52">
        <f t="shared" si="23"/>
        <v>2742.144642643997</v>
      </c>
      <c r="JX12" s="27">
        <f t="shared" si="24"/>
        <v>332272.98809678515</v>
      </c>
      <c r="JY12" s="107">
        <f>JW12*EchelleFPAparam!$Q$3</f>
        <v>-2.6118927721184071E-2</v>
      </c>
      <c r="KA12" s="19"/>
      <c r="KB12" s="19"/>
      <c r="KC12" s="19"/>
      <c r="KD12" s="19"/>
      <c r="KE12" s="19"/>
      <c r="KF12" s="19"/>
      <c r="KG12" s="19"/>
      <c r="KH12" s="19"/>
      <c r="KI12" s="19"/>
      <c r="KJ12" s="19"/>
      <c r="KK12" s="19"/>
      <c r="KL12" s="19"/>
      <c r="KM12" s="19"/>
      <c r="KW12" s="19"/>
      <c r="KX12" s="19"/>
      <c r="KY12" s="19"/>
      <c r="KZ12" s="19"/>
      <c r="LA12" s="19"/>
      <c r="LB12" s="19"/>
      <c r="LC12" s="19"/>
      <c r="LD12" s="19"/>
      <c r="LE12" s="19"/>
      <c r="LF12" s="19"/>
    </row>
    <row r="13" spans="1:318" x14ac:dyDescent="0.2">
      <c r="A13" s="53">
        <f t="shared" si="35"/>
        <v>7</v>
      </c>
      <c r="B13" s="96">
        <f t="shared" si="0"/>
        <v>1574.7976559510153</v>
      </c>
      <c r="C13" s="27" t="str">
        <f>'Standard Settings'!B8</f>
        <v>H/2/4</v>
      </c>
      <c r="D13" s="27">
        <f>'Standard Settings'!H8</f>
        <v>36</v>
      </c>
      <c r="E13" s="19">
        <f t="shared" si="1"/>
        <v>4.8554273388079494E-3</v>
      </c>
      <c r="F13" s="18">
        <f>((EchelleFPAparam!$S$3/('crmcfgWLEN.txt'!$U13+F$53))*(SIN('Standard Settings'!$F8+0.0005)+SIN('Standard Settings'!$F8+0.0005+EchelleFPAparam!$M$3))-(EchelleFPAparam!$S$3/('crmcfgWLEN.txt'!$U13+F$53))*(SIN('Standard Settings'!$F8-0.0005)+SIN('Standard Settings'!$F8-0.0005+EchelleFPAparam!$M$3)))*1000*EchelleFPAparam!$O$3/180</f>
        <v>13.333362096485651</v>
      </c>
      <c r="G13" s="20" t="str">
        <f>'Standard Settings'!C8</f>
        <v>H</v>
      </c>
      <c r="H13" s="46"/>
      <c r="I13" s="59" t="s">
        <v>693</v>
      </c>
      <c r="J13" s="57"/>
      <c r="K13" s="27" t="str">
        <f>'Standard Settings'!$D8</f>
        <v>HK</v>
      </c>
      <c r="L13" s="46"/>
      <c r="M13" s="12">
        <v>2.5</v>
      </c>
      <c r="N13" s="12">
        <v>2.5</v>
      </c>
      <c r="O13" s="27" t="str">
        <f>'Standard Settings'!$D8</f>
        <v>HK</v>
      </c>
      <c r="P13" s="46"/>
      <c r="Q13" s="27">
        <f>'Standard Settings'!$E8</f>
        <v>65.725149999999999</v>
      </c>
      <c r="R13" s="106">
        <f>'Standard Settings'!$J8</f>
        <v>490000</v>
      </c>
      <c r="S13" s="21">
        <f>'Standard Settings'!$G8</f>
        <v>32</v>
      </c>
      <c r="T13" s="21">
        <f>'Standard Settings'!$I8</f>
        <v>39</v>
      </c>
      <c r="U13" s="22">
        <f t="shared" si="25"/>
        <v>32</v>
      </c>
      <c r="V13" s="22">
        <f t="shared" si="26"/>
        <v>41</v>
      </c>
      <c r="W13" s="23">
        <f>IF(AND($U13-$S13+B$53&gt;=0,$U13-$T13+B$53&lt;=0),(EchelleFPAparam!$S$3/('crmcfgWLEN.txt'!$U13+B$53))*(SIN('Standard Settings'!$F8)+SIN('Standard Settings'!$F8+EchelleFPAparam!$M$3)),-1)</f>
        <v>1771.6473629448922</v>
      </c>
      <c r="X13" s="23">
        <f>IF(AND($U13-$S13+C$53&gt;=0,$U13-$T13+C$53&lt;=0),(EchelleFPAparam!$S$3/('crmcfgWLEN.txt'!$U13+C$53))*(SIN('Standard Settings'!$F8)+SIN('Standard Settings'!$F8+EchelleFPAparam!$M$3)),-1)</f>
        <v>1717.9610792192893</v>
      </c>
      <c r="Y13" s="23">
        <f>IF(AND($U13-$S13+D$53&gt;=0,$U13-$T13+D$53&lt;=0),(EchelleFPAparam!$S$3/('crmcfgWLEN.txt'!$U13+D$53))*(SIN('Standard Settings'!$F8)+SIN('Standard Settings'!$F8+EchelleFPAparam!$M$3)),-1)</f>
        <v>1667.4328121834278</v>
      </c>
      <c r="Z13" s="23">
        <f>IF(AND($U13-$S13+E$53&gt;=0,$U13-$T13+E$53&lt;=0),(EchelleFPAparam!$S$3/('crmcfgWLEN.txt'!$U13+E$53))*(SIN('Standard Settings'!$F8)+SIN('Standard Settings'!$F8+EchelleFPAparam!$M$3)),-1)</f>
        <v>1619.7918746924729</v>
      </c>
      <c r="AA13" s="23">
        <f>IF(AND($U13-$S13+F$53&gt;=0,$U13-$T13+F$53&lt;=0),(EchelleFPAparam!$S$3/('crmcfgWLEN.txt'!$U13+F$53))*(SIN('Standard Settings'!$F8)+SIN('Standard Settings'!$F8+EchelleFPAparam!$M$3)),-1)</f>
        <v>1574.7976559510153</v>
      </c>
      <c r="AB13" s="23">
        <f>IF(AND($U13-$S13+G$53&gt;=0,$U13-$T13+G$53&lt;=0),(EchelleFPAparam!$S$3/('crmcfgWLEN.txt'!$U13+G$53))*(SIN('Standard Settings'!$F8)+SIN('Standard Settings'!$F8+EchelleFPAparam!$M$3)),-1)</f>
        <v>1532.2355571415283</v>
      </c>
      <c r="AC13" s="23">
        <f>IF(AND($U13-$S13+H$53&gt;=0,$U13-$T13+H$53&lt;=0),(EchelleFPAparam!$S$3/('crmcfgWLEN.txt'!$U13+H$53))*(SIN('Standard Settings'!$F8)+SIN('Standard Settings'!$F8+EchelleFPAparam!$M$3)),-1)</f>
        <v>1491.9135687956987</v>
      </c>
      <c r="AD13" s="23">
        <f>IF(AND($U13-$S13+I$53&gt;=0,$U13-$T13+I$53&lt;=0),(EchelleFPAparam!$S$3/('crmcfgWLEN.txt'!$U13+I$53))*(SIN('Standard Settings'!$F8)+SIN('Standard Settings'!$F8+EchelleFPAparam!$M$3)),-1)</f>
        <v>1453.6593747240142</v>
      </c>
      <c r="AE13" s="23">
        <f>IF(AND($U13-$S13+J$53&gt;=0,$U13-$T13+J$53&lt;=0),(EchelleFPAparam!$S$3/('crmcfgWLEN.txt'!$U13+J$53))*(SIN('Standard Settings'!$F8)+SIN('Standard Settings'!$F8+EchelleFPAparam!$M$3)),-1)</f>
        <v>-1</v>
      </c>
      <c r="AF13" s="23">
        <f>IF(AND($U13-$S13+K$53&gt;=0,$U13-$T13+K$53&lt;=0),(EchelleFPAparam!$S$3/('crmcfgWLEN.txt'!$U13+K$53))*(SIN('Standard Settings'!$F8)+SIN('Standard Settings'!$F8+EchelleFPAparam!$M$3)),-1)</f>
        <v>-1</v>
      </c>
      <c r="AG13" s="112">
        <v>296.73415926849299</v>
      </c>
      <c r="AH13" s="112">
        <v>585.314837510595</v>
      </c>
      <c r="AI13" s="112">
        <v>855.44430700834903</v>
      </c>
      <c r="AJ13" s="112">
        <v>1108.713619156</v>
      </c>
      <c r="AK13" s="112">
        <v>1347.2212963940101</v>
      </c>
      <c r="AL13" s="112">
        <v>1571.20649366575</v>
      </c>
      <c r="AM13" s="112">
        <v>1784.7699688712601</v>
      </c>
      <c r="AN13" s="112">
        <v>1990</v>
      </c>
      <c r="AO13" s="131">
        <v>-100.1</v>
      </c>
      <c r="AP13" s="131">
        <v>-100.1</v>
      </c>
      <c r="AQ13" s="112">
        <v>284.028060918233</v>
      </c>
      <c r="AR13" s="112">
        <v>574.49051465147795</v>
      </c>
      <c r="AS13" s="112">
        <v>846.91700127741001</v>
      </c>
      <c r="AT13" s="112">
        <v>1102.1071379785101</v>
      </c>
      <c r="AU13" s="112">
        <v>1342.52618928467</v>
      </c>
      <c r="AV13" s="112">
        <v>1567.5726039430399</v>
      </c>
      <c r="AW13" s="112">
        <v>1782.7662535412201</v>
      </c>
      <c r="AX13" s="112">
        <v>1990</v>
      </c>
      <c r="AY13" s="130">
        <v>-100.1</v>
      </c>
      <c r="AZ13" s="130">
        <v>-100.1</v>
      </c>
      <c r="BA13" s="112">
        <v>271.68041973864598</v>
      </c>
      <c r="BB13" s="112">
        <v>564.78183346244202</v>
      </c>
      <c r="BC13" s="112">
        <v>839.40696341253602</v>
      </c>
      <c r="BD13" s="112">
        <v>1096.6944680670699</v>
      </c>
      <c r="BE13" s="112">
        <v>1339.2687709107099</v>
      </c>
      <c r="BF13" s="112">
        <v>1567.04626796453</v>
      </c>
      <c r="BG13" s="112">
        <v>1782.5726088113599</v>
      </c>
      <c r="BH13" s="112">
        <v>1990</v>
      </c>
      <c r="BI13" s="132">
        <v>-100.1</v>
      </c>
      <c r="BJ13" s="132">
        <v>-100.1</v>
      </c>
      <c r="BK13" s="24">
        <f>EchelleFPAparam!$S$3/('crmcfgWLEN.txt'!$U13+B$53)*(SIN(EchelleFPAparam!$T$3-EchelleFPAparam!$M$3/2)+SIN('Standard Settings'!$F8+EchelleFPAparam!$M$3))</f>
        <v>1769.0736343624678</v>
      </c>
      <c r="BL13" s="24">
        <f>EchelleFPAparam!$S$3/('crmcfgWLEN.txt'!$U13+C$53)*(SIN(EchelleFPAparam!$T$3-EchelleFPAparam!$M$3/2)+SIN('Standard Settings'!$F8+EchelleFPAparam!$M$3))</f>
        <v>1715.46534241209</v>
      </c>
      <c r="BM13" s="24">
        <f>EchelleFPAparam!$S$3/('crmcfgWLEN.txt'!$U13+D$53)*(SIN(EchelleFPAparam!$T$3-EchelleFPAparam!$M$3/2)+SIN('Standard Settings'!$F8+EchelleFPAparam!$M$3))</f>
        <v>1665.0104793999697</v>
      </c>
      <c r="BN13" s="24">
        <f>EchelleFPAparam!$S$3/('crmcfgWLEN.txt'!$U13+E$53)*(SIN(EchelleFPAparam!$T$3-EchelleFPAparam!$M$3/2)+SIN('Standard Settings'!$F8+EchelleFPAparam!$M$3))</f>
        <v>1617.4387514171133</v>
      </c>
      <c r="BO13" s="24">
        <f>EchelleFPAparam!$S$3/('crmcfgWLEN.txt'!$U13+F$53)*(SIN(EchelleFPAparam!$T$3-EchelleFPAparam!$M$3/2)+SIN('Standard Settings'!$F8+EchelleFPAparam!$M$3))</f>
        <v>1572.5098972110825</v>
      </c>
      <c r="BP13" s="24">
        <f>EchelleFPAparam!$S$3/('crmcfgWLEN.txt'!$U13+G$53)*(SIN(EchelleFPAparam!$T$3-EchelleFPAparam!$M$3/2)+SIN('Standard Settings'!$F8+EchelleFPAparam!$M$3))</f>
        <v>1530.0096297188909</v>
      </c>
      <c r="BQ13" s="24">
        <f>EchelleFPAparam!$S$3/('crmcfgWLEN.txt'!$U13+H$53)*(SIN(EchelleFPAparam!$T$3-EchelleFPAparam!$M$3/2)+SIN('Standard Settings'!$F8+EchelleFPAparam!$M$3))</f>
        <v>1489.7462184104991</v>
      </c>
      <c r="BR13" s="24">
        <f>EchelleFPAparam!$S$3/('crmcfgWLEN.txt'!$U13+I$53)*(SIN(EchelleFPAparam!$T$3-EchelleFPAparam!$M$3/2)+SIN('Standard Settings'!$F8+EchelleFPAparam!$M$3))</f>
        <v>1451.5475974256146</v>
      </c>
      <c r="BS13" s="24">
        <f>EchelleFPAparam!$S$3/('crmcfgWLEN.txt'!$U13+J$53)*(SIN(EchelleFPAparam!$T$3-EchelleFPAparam!$M$3/2)+SIN('Standard Settings'!$F8+EchelleFPAparam!$M$3))</f>
        <v>1415.2589074899743</v>
      </c>
      <c r="BT13" s="24">
        <f>EchelleFPAparam!$S$3/('crmcfgWLEN.txt'!$U13+K$53)*(SIN(EchelleFPAparam!$T$3-EchelleFPAparam!$M$3/2)+SIN('Standard Settings'!$F8+EchelleFPAparam!$M$3))</f>
        <v>1380.7403975511943</v>
      </c>
      <c r="BU13" s="25">
        <f t="shared" si="33"/>
        <v>1744.8397489602421</v>
      </c>
      <c r="BV13" s="25">
        <f t="shared" si="2"/>
        <v>1692.5924711799289</v>
      </c>
      <c r="BW13" s="25">
        <f t="shared" si="3"/>
        <v>1643.3869666804894</v>
      </c>
      <c r="BX13" s="25">
        <f t="shared" si="4"/>
        <v>1596.9648431713272</v>
      </c>
      <c r="BY13" s="25">
        <f t="shared" si="5"/>
        <v>1553.0961947763776</v>
      </c>
      <c r="BZ13" s="25">
        <f t="shared" si="6"/>
        <v>1511.5757787584223</v>
      </c>
      <c r="CA13" s="25">
        <f t="shared" si="7"/>
        <v>1472.2197923115521</v>
      </c>
      <c r="CB13" s="25">
        <f t="shared" si="8"/>
        <v>1434.8631422827916</v>
      </c>
      <c r="CC13" s="25">
        <f t="shared" si="9"/>
        <v>1399.3571220125589</v>
      </c>
      <c r="CD13" s="25">
        <f t="shared" si="10"/>
        <v>1365.5674261495328</v>
      </c>
      <c r="CE13" s="25">
        <f t="shared" si="34"/>
        <v>1793.990164423911</v>
      </c>
      <c r="CF13" s="25">
        <f t="shared" si="11"/>
        <v>1738.964867650612</v>
      </c>
      <c r="CG13" s="25">
        <f t="shared" si="12"/>
        <v>1687.2106191253026</v>
      </c>
      <c r="CH13" s="25">
        <f t="shared" si="13"/>
        <v>1638.4444494874651</v>
      </c>
      <c r="CI13" s="25">
        <f t="shared" si="14"/>
        <v>1592.4150857833747</v>
      </c>
      <c r="CJ13" s="25">
        <f t="shared" si="15"/>
        <v>1548.8986374931983</v>
      </c>
      <c r="CK13" s="25">
        <f t="shared" si="16"/>
        <v>1507.6949680299026</v>
      </c>
      <c r="CL13" s="25">
        <f t="shared" si="17"/>
        <v>1468.624627983563</v>
      </c>
      <c r="CM13" s="25">
        <f t="shared" si="18"/>
        <v>1431.526251254227</v>
      </c>
      <c r="CN13" s="25">
        <f t="shared" si="19"/>
        <v>1396.2543346023313</v>
      </c>
      <c r="CO13" s="26">
        <f>(EchelleFPAparam!$S$3/($U13+B$53)*COS((AG13-EchelleFPAparam!$AE9)*EchelleFPAparam!$C$3/EchelleFPAparam!$E$3))*(SIN('Standard Settings'!$F8)+SIN('Standard Settings'!$F8+EchelleFPAparam!$M$3+(EchelleFPAparam!$F$3*EchelleFPAparam!$B$6)*COS(EchelleFPAparam!$AC$3)-(AG13-1024)*SIN(EchelleFPAparam!$AC$3)*EchelleFPAparam!$C$3/EchelleFPAparam!$E$3))</f>
        <v>1753.1356218429062</v>
      </c>
      <c r="CP13" s="26">
        <f>(EchelleFPAparam!$S$3/($U13+C$53)*COS((AH13-EchelleFPAparam!$AE9)*EchelleFPAparam!$C$3/EchelleFPAparam!$E$3))*(SIN('Standard Settings'!$F8)+SIN('Standard Settings'!$F8+EchelleFPAparam!$M$3+(EchelleFPAparam!$F$3*EchelleFPAparam!$B$6)*COS(EchelleFPAparam!$AC$3)-(AH13-1024)*SIN(EchelleFPAparam!$AC$3)*EchelleFPAparam!$C$3/EchelleFPAparam!$E$3))</f>
        <v>1700.125311106457</v>
      </c>
      <c r="CQ13" s="26">
        <f>(EchelleFPAparam!$S$3/($U13+D$53)*COS((AI13-EchelleFPAparam!$AE9)*EchelleFPAparam!$C$3/EchelleFPAparam!$E$3))*(SIN('Standard Settings'!$F8)+SIN('Standard Settings'!$F8+EchelleFPAparam!$M$3+(EchelleFPAparam!$F$3*EchelleFPAparam!$B$6)*COS(EchelleFPAparam!$AC$3)-(AI13-1024)*SIN(EchelleFPAparam!$AC$3)*EchelleFPAparam!$C$3/EchelleFPAparam!$E$3))</f>
        <v>1650.2084668492575</v>
      </c>
      <c r="CR13" s="26">
        <f>(EchelleFPAparam!$S$3/($U13+E$53)*COS((AJ13-EchelleFPAparam!$AE9)*EchelleFPAparam!$C$3/EchelleFPAparam!$E$3))*(SIN('Standard Settings'!$F8)+SIN('Standard Settings'!$F8+EchelleFPAparam!$M$3+(EchelleFPAparam!$F$3*EchelleFPAparam!$B$6)*COS(EchelleFPAparam!$AC$3)-(AJ13-1024)*SIN(EchelleFPAparam!$AC$3)*EchelleFPAparam!$C$3/EchelleFPAparam!$E$3))</f>
        <v>1603.1236874919823</v>
      </c>
      <c r="CS13" s="26">
        <f>(EchelleFPAparam!$S$3/($U13+F$53)*COS((AK13-EchelleFPAparam!$AE9)*EchelleFPAparam!$C$3/EchelleFPAparam!$E$3))*(SIN('Standard Settings'!$F8)+SIN('Standard Settings'!$F8+EchelleFPAparam!$M$3+(EchelleFPAparam!$F$3*EchelleFPAparam!$B$6)*COS(EchelleFPAparam!$AC$3)-(AK13-1024)*SIN(EchelleFPAparam!$AC$3)*EchelleFPAparam!$C$3/EchelleFPAparam!$E$3))</f>
        <v>1558.6381436765942</v>
      </c>
      <c r="CT13" s="26">
        <f>(EchelleFPAparam!$S$3/($U13+G$53)*COS((AL13-EchelleFPAparam!$AE9)*EchelleFPAparam!$C$3/EchelleFPAparam!$E$3))*(SIN('Standard Settings'!$F8)+SIN('Standard Settings'!$F8+EchelleFPAparam!$M$3+(EchelleFPAparam!$F$3*EchelleFPAparam!$B$6)*COS(EchelleFPAparam!$AC$3)-(AL13-1024)*SIN(EchelleFPAparam!$AC$3)*EchelleFPAparam!$C$3/EchelleFPAparam!$E$3))</f>
        <v>1516.5433832528918</v>
      </c>
      <c r="CU13" s="26">
        <f>(EchelleFPAparam!$S$3/($U13+H$53)*COS((AM13-EchelleFPAparam!$AE9)*EchelleFPAparam!$C$3/EchelleFPAparam!$E$3))*(SIN('Standard Settings'!$F8)+SIN('Standard Settings'!$F8+EchelleFPAparam!$M$3+(EchelleFPAparam!$F$3*EchelleFPAparam!$B$6)*COS(EchelleFPAparam!$AC$3)-(AM13-1024)*SIN(EchelleFPAparam!$AC$3)*EchelleFPAparam!$C$3/EchelleFPAparam!$E$3))</f>
        <v>1476.652969970982</v>
      </c>
      <c r="CV13" s="26">
        <f>(EchelleFPAparam!$S$3/($U13+I$53)*COS((AN13-EchelleFPAparam!$AE9)*EchelleFPAparam!$C$3/EchelleFPAparam!$E$3))*(SIN('Standard Settings'!$F8)+SIN('Standard Settings'!$F8+EchelleFPAparam!$M$3+(EchelleFPAparam!$F$3*EchelleFPAparam!$B$6)*COS(EchelleFPAparam!$AC$3)-(AN13-1024)*SIN(EchelleFPAparam!$AC$3)*EchelleFPAparam!$C$3/EchelleFPAparam!$E$3))</f>
        <v>1438.7987451328829</v>
      </c>
      <c r="CW13" s="26">
        <f>(EchelleFPAparam!$S$3/($U13+J$53)*COS((AO13-EchelleFPAparam!$AE9)*EchelleFPAparam!$C$3/EchelleFPAparam!$E$3))*(SIN('Standard Settings'!$F8)+SIN('Standard Settings'!$F8+EchelleFPAparam!$M$3+(EchelleFPAparam!$F$3*EchelleFPAparam!$B$6)*COS(EchelleFPAparam!$AC$3)-(AO13-1024)*SIN(EchelleFPAparam!$AC$3)*EchelleFPAparam!$C$3/EchelleFPAparam!$E$3))</f>
        <v>1402.3509861009475</v>
      </c>
      <c r="CX13" s="26">
        <f>(EchelleFPAparam!$S$3/($U13+K$53)*COS((AP13-EchelleFPAparam!$AE9)*EchelleFPAparam!$C$3/EchelleFPAparam!$E$3))*(SIN('Standard Settings'!$F8)+SIN('Standard Settings'!$F8+EchelleFPAparam!$M$3+(EchelleFPAparam!$F$3*EchelleFPAparam!$B$6)*COS(EchelleFPAparam!$AC$3)-(AP13-1024)*SIN(EchelleFPAparam!$AC$3)*EchelleFPAparam!$C$3/EchelleFPAparam!$E$3))</f>
        <v>1368.1473035131196</v>
      </c>
      <c r="CY13" s="26">
        <f>(EchelleFPAparam!$S$3/($U13+B$53)*COS((AG13-EchelleFPAparam!$AE9)*EchelleFPAparam!$C$3/EchelleFPAparam!$E$3))*(SIN('Standard Settings'!$F8)+SIN('Standard Settings'!$F8+EchelleFPAparam!$M$3+EchelleFPAparam!$G$3*EchelleFPAparam!$B$6*COS(EchelleFPAparam!$AC$3)-(AG13-1024)*SIN(EchelleFPAparam!$AC$3)*EchelleFPAparam!$C$3/EchelleFPAparam!$E$3))</f>
        <v>1764.8904769482208</v>
      </c>
      <c r="CZ13" s="26">
        <f>(EchelleFPAparam!$S$3/($U13+C$53)*COS((AH13-EchelleFPAparam!$AE9)*EchelleFPAparam!$C$3/EchelleFPAparam!$E$3))*(SIN('Standard Settings'!$F8)+SIN('Standard Settings'!$F8+EchelleFPAparam!$M$3+EchelleFPAparam!$G$3*EchelleFPAparam!$B$6*COS(EchelleFPAparam!$AC$3)-(AH13-1024)*SIN(EchelleFPAparam!$AC$3)*EchelleFPAparam!$C$3/EchelleFPAparam!$E$3))</f>
        <v>1711.5227800531679</v>
      </c>
      <c r="DA13" s="26">
        <f>(EchelleFPAparam!$S$3/($U13+D$53)*COS((AI13-EchelleFPAparam!$AE9)*EchelleFPAparam!$C$3/EchelleFPAparam!$E$3))*(SIN('Standard Settings'!$F8)+SIN('Standard Settings'!$F8+EchelleFPAparam!$M$3+EchelleFPAparam!$G$3*EchelleFPAparam!$B$6*COS(EchelleFPAparam!$AC$3)-(AI13-1024)*SIN(EchelleFPAparam!$AC$3)*EchelleFPAparam!$C$3/EchelleFPAparam!$E$3))</f>
        <v>1661.2695269907347</v>
      </c>
      <c r="DB13" s="26">
        <f>(EchelleFPAparam!$S$3/($U13+E$53)*COS((AJ13-EchelleFPAparam!$AE9)*EchelleFPAparam!$C$3/EchelleFPAparam!$E$3))*(SIN('Standard Settings'!$F8)+SIN('Standard Settings'!$F8+EchelleFPAparam!$M$3+EchelleFPAparam!$G$3*EchelleFPAparam!$B$6*COS(EchelleFPAparam!$AC$3)-(AJ13-1024)*SIN(EchelleFPAparam!$AC$3)*EchelleFPAparam!$C$3/EchelleFPAparam!$E$3))</f>
        <v>1613.8675332253865</v>
      </c>
      <c r="DC13" s="26">
        <f>(EchelleFPAparam!$S$3/($U13+F$53)*COS((AK13-EchelleFPAparam!$AE9)*EchelleFPAparam!$C$3/EchelleFPAparam!$E$3))*(SIN('Standard Settings'!$F8)+SIN('Standard Settings'!$F8+EchelleFPAparam!$M$3+EchelleFPAparam!$G$3*EchelleFPAparam!$B$6*COS(EchelleFPAparam!$AC$3)-(AK13-1024)*SIN(EchelleFPAparam!$AC$3)*EchelleFPAparam!$C$3/EchelleFPAparam!$E$3))</f>
        <v>1569.0823782172372</v>
      </c>
      <c r="DD13" s="26">
        <f>(EchelleFPAparam!$S$3/($U13+G$53)*COS((AL13-EchelleFPAparam!$AE9)*EchelleFPAparam!$C$3/EchelleFPAparam!$E$3))*(SIN('Standard Settings'!$F8)+SIN('Standard Settings'!$F8+EchelleFPAparam!$M$3+EchelleFPAparam!$G$3*EchelleFPAparam!$B$6*COS(EchelleFPAparam!$AC$3)-(AL13-1024)*SIN(EchelleFPAparam!$AC$3)*EchelleFPAparam!$C$3/EchelleFPAparam!$E$3))</f>
        <v>1526.7041965230578</v>
      </c>
      <c r="DE13" s="26">
        <f>(EchelleFPAparam!$S$3/($U13+H$53)*COS((AM13-EchelleFPAparam!$AE9)*EchelleFPAparam!$C$3/EchelleFPAparam!$E$3))*(SIN('Standard Settings'!$F8)+SIN('Standard Settings'!$F8+EchelleFPAparam!$M$3+EchelleFPAparam!$G$3*EchelleFPAparam!$B$6*COS(EchelleFPAparam!$AC$3)-(AM13-1024)*SIN(EchelleFPAparam!$AC$3)*EchelleFPAparam!$C$3/EchelleFPAparam!$E$3))</f>
        <v>1486.5452651916241</v>
      </c>
      <c r="DF13" s="26">
        <f>(EchelleFPAparam!$S$3/($U13+I$53)*COS((AN13-EchelleFPAparam!$AE9)*EchelleFPAparam!$C$3/EchelleFPAparam!$E$3))*(SIN('Standard Settings'!$F8)+SIN('Standard Settings'!$F8+EchelleFPAparam!$M$3+EchelleFPAparam!$G$3*EchelleFPAparam!$B$6*COS(EchelleFPAparam!$AC$3)-(AN13-1024)*SIN(EchelleFPAparam!$AC$3)*EchelleFPAparam!$C$3/EchelleFPAparam!$E$3))</f>
        <v>1448.4362766331401</v>
      </c>
      <c r="DG13" s="26">
        <f>(EchelleFPAparam!$S$3/($U13+J$53)*COS((AO13-EchelleFPAparam!$AE9)*EchelleFPAparam!$C$3/EchelleFPAparam!$E$3))*(SIN('Standard Settings'!$F8)+SIN('Standard Settings'!$F8+EchelleFPAparam!$M$3+EchelleFPAparam!$G$3*EchelleFPAparam!$B$6*COS(EchelleFPAparam!$AC$3)-(AO13-1024)*SIN(EchelleFPAparam!$AC$3)*EchelleFPAparam!$C$3/EchelleFPAparam!$E$3))</f>
        <v>1411.7560254907103</v>
      </c>
      <c r="DH13" s="26">
        <f>(EchelleFPAparam!$S$3/($U13+K$53)*COS((AP13-EchelleFPAparam!$AE9)*EchelleFPAparam!$C$3/EchelleFPAparam!$E$3))*(SIN('Standard Settings'!$F8)+SIN('Standard Settings'!$F8+EchelleFPAparam!$M$3+EchelleFPAparam!$G$3*EchelleFPAparam!$B$6*COS(EchelleFPAparam!$AC$3)-(AP13-1024)*SIN(EchelleFPAparam!$AC$3)*EchelleFPAparam!$C$3/EchelleFPAparam!$E$3))</f>
        <v>1377.322951698254</v>
      </c>
      <c r="DI13" s="26">
        <f>(EchelleFPAparam!$S$3/($U13+B$53)*COS((AQ13-EchelleFPAparam!$AE9)*EchelleFPAparam!$C$3/EchelleFPAparam!$E$3))*(SIN('Standard Settings'!$F8)+SIN('Standard Settings'!$F8+EchelleFPAparam!$M$3+EchelleFPAparam!$H$3*EchelleFPAparam!$B$6*COS(EchelleFPAparam!$AC$3)-(AQ13-1024)*SIN(EchelleFPAparam!$AC$3)*EchelleFPAparam!$C$3/EchelleFPAparam!$E$3))</f>
        <v>1765.6925867753703</v>
      </c>
      <c r="DJ13" s="26">
        <f>(EchelleFPAparam!$S$3/($U13+C$53)*COS((AR13-EchelleFPAparam!$AE9)*EchelleFPAparam!$C$3/EchelleFPAparam!$E$3))*(SIN('Standard Settings'!$F8)+SIN('Standard Settings'!$F8+EchelleFPAparam!$M$3+EchelleFPAparam!$H$3*EchelleFPAparam!$B$6*COS(EchelleFPAparam!$AC$3)-(AR13-1024)*SIN(EchelleFPAparam!$AC$3)*EchelleFPAparam!$C$3/EchelleFPAparam!$E$3))</f>
        <v>1712.3020699467791</v>
      </c>
      <c r="DK13" s="26">
        <f>(EchelleFPAparam!$S$3/($U13+D$53)*COS((AS13-EchelleFPAparam!$AE9)*EchelleFPAparam!$C$3/EchelleFPAparam!$E$3))*(SIN('Standard Settings'!$F8)+SIN('Standard Settings'!$F8+EchelleFPAparam!$M$3+EchelleFPAparam!$H$3*EchelleFPAparam!$B$6*COS(EchelleFPAparam!$AC$3)-(AS13-1024)*SIN(EchelleFPAparam!$AC$3)*EchelleFPAparam!$C$3/EchelleFPAparam!$E$3))</f>
        <v>1662.0271601097445</v>
      </c>
      <c r="DL13" s="26">
        <f>(EchelleFPAparam!$S$3/($U13+E$53)*COS((AT13-EchelleFPAparam!$AE9)*EchelleFPAparam!$C$3/EchelleFPAparam!$E$3))*(SIN('Standard Settings'!$F8)+SIN('Standard Settings'!$F8+EchelleFPAparam!$M$3+EchelleFPAparam!$H$3*EchelleFPAparam!$B$6*COS(EchelleFPAparam!$AC$3)-(AT13-1024)*SIN(EchelleFPAparam!$AC$3)*EchelleFPAparam!$C$3/EchelleFPAparam!$E$3))</f>
        <v>1614.6043532217434</v>
      </c>
      <c r="DM13" s="26">
        <f>(EchelleFPAparam!$S$3/($U13+F$53)*COS((AU13-EchelleFPAparam!$AE9)*EchelleFPAparam!$C$3/EchelleFPAparam!$E$3))*(SIN('Standard Settings'!$F8)+SIN('Standard Settings'!$F8+EchelleFPAparam!$M$3+EchelleFPAparam!$H$3*EchelleFPAparam!$B$6*COS(EchelleFPAparam!$AC$3)-(AU13-1024)*SIN(EchelleFPAparam!$AC$3)*EchelleFPAparam!$C$3/EchelleFPAparam!$E$3))</f>
        <v>1569.7993059781829</v>
      </c>
      <c r="DN13" s="26">
        <f>(EchelleFPAparam!$S$3/($U13+G$53)*COS((AV13-EchelleFPAparam!$AE9)*EchelleFPAparam!$C$3/EchelleFPAparam!$E$3))*(SIN('Standard Settings'!$F8)+SIN('Standard Settings'!$F8+EchelleFPAparam!$M$3+EchelleFPAparam!$H$3*EchelleFPAparam!$B$6*COS(EchelleFPAparam!$AC$3)-(AV13-1024)*SIN(EchelleFPAparam!$AC$3)*EchelleFPAparam!$C$3/EchelleFPAparam!$E$3))</f>
        <v>1527.4020087184285</v>
      </c>
      <c r="DO13" s="26">
        <f>(EchelleFPAparam!$S$3/($U13+H$53)*COS((AW13-EchelleFPAparam!$AE9)*EchelleFPAparam!$C$3/EchelleFPAparam!$E$3))*(SIN('Standard Settings'!$F8)+SIN('Standard Settings'!$F8+EchelleFPAparam!$M$3+EchelleFPAparam!$H$3*EchelleFPAparam!$B$6*COS(EchelleFPAparam!$AC$3)-(AW13-1024)*SIN(EchelleFPAparam!$AC$3)*EchelleFPAparam!$C$3/EchelleFPAparam!$E$3))</f>
        <v>1487.2248948295708</v>
      </c>
      <c r="DP13" s="26">
        <f>(EchelleFPAparam!$S$3/($U13+I$53)*COS((AX13-EchelleFPAparam!$AE9)*EchelleFPAparam!$C$3/EchelleFPAparam!$E$3))*(SIN('Standard Settings'!$F8)+SIN('Standard Settings'!$F8+EchelleFPAparam!$M$3+EchelleFPAparam!$H$3*EchelleFPAparam!$B$6*COS(EchelleFPAparam!$AC$3)-(AX13-1024)*SIN(EchelleFPAparam!$AC$3)*EchelleFPAparam!$C$3/EchelleFPAparam!$E$3))</f>
        <v>1449.0985166808143</v>
      </c>
      <c r="DQ13" s="26">
        <f>(EchelleFPAparam!$S$3/($U13+J$53)*COS((AY13-EchelleFPAparam!$AE9)*EchelleFPAparam!$C$3/EchelleFPAparam!$E$3))*(SIN('Standard Settings'!$F8)+SIN('Standard Settings'!$F8+EchelleFPAparam!$M$3+EchelleFPAparam!$H$3*EchelleFPAparam!$B$6*COS(EchelleFPAparam!$AC$3)-(AY13-1024)*SIN(EchelleFPAparam!$AC$3)*EchelleFPAparam!$C$3/EchelleFPAparam!$E$3))</f>
        <v>1412.4023120014072</v>
      </c>
      <c r="DR13" s="26">
        <f>(EchelleFPAparam!$S$3/($U13+K$53)*COS((AZ13-EchelleFPAparam!$AE9)*EchelleFPAparam!$C$3/EchelleFPAparam!$E$3))*(SIN('Standard Settings'!$F8)+SIN('Standard Settings'!$F8+EchelleFPAparam!$M$3+EchelleFPAparam!$H$3*EchelleFPAparam!$B$6*COS(EchelleFPAparam!$AC$3)-(AZ13-1024)*SIN(EchelleFPAparam!$AC$3)*EchelleFPAparam!$C$3/EchelleFPAparam!$E$3))</f>
        <v>1377.9534751233241</v>
      </c>
      <c r="DS13" s="26">
        <f>(EchelleFPAparam!$S$3/($U13+B$53)*COS((AQ13-EchelleFPAparam!$AE9)*EchelleFPAparam!$C$3/EchelleFPAparam!$E$3))*(SIN('Standard Settings'!$F8)+SIN('Standard Settings'!$F8+EchelleFPAparam!$M$3+EchelleFPAparam!$I$3*EchelleFPAparam!$B$6*COS(EchelleFPAparam!$AC$3)-(AQ13-1024)*SIN(EchelleFPAparam!$AC$3)*EchelleFPAparam!$C$3/EchelleFPAparam!$E$3))</f>
        <v>1776.8847581684215</v>
      </c>
      <c r="DT13" s="26">
        <f>(EchelleFPAparam!$S$3/($U13+C$53)*COS((AR13-EchelleFPAparam!$AE9)*EchelleFPAparam!$C$3/EchelleFPAparam!$E$3))*(SIN('Standard Settings'!$F8)+SIN('Standard Settings'!$F8+EchelleFPAparam!$M$3+EchelleFPAparam!$I$3*EchelleFPAparam!$B$6*COS(EchelleFPAparam!$AC$3)-(AR13-1024)*SIN(EchelleFPAparam!$AC$3)*EchelleFPAparam!$C$3/EchelleFPAparam!$E$3))</f>
        <v>1723.1538549469592</v>
      </c>
      <c r="DU13" s="26">
        <f>(EchelleFPAparam!$S$3/($U13+D$53)*COS((AS13-EchelleFPAparam!$AE9)*EchelleFPAparam!$C$3/EchelleFPAparam!$E$3))*(SIN('Standard Settings'!$F8)+SIN('Standard Settings'!$F8+EchelleFPAparam!$M$3+EchelleFPAparam!$I$3*EchelleFPAparam!$B$6*COS(EchelleFPAparam!$AC$3)-(AS13-1024)*SIN(EchelleFPAparam!$AC$3)*EchelleFPAparam!$C$3/EchelleFPAparam!$E$3))</f>
        <v>1672.5585409184712</v>
      </c>
      <c r="DV13" s="26">
        <f>(EchelleFPAparam!$S$3/($U13+E$53)*COS((AT13-EchelleFPAparam!$AE9)*EchelleFPAparam!$C$3/EchelleFPAparam!$E$3))*(SIN('Standard Settings'!$F8)+SIN('Standard Settings'!$F8+EchelleFPAparam!$M$3+EchelleFPAparam!$I$3*EchelleFPAparam!$B$6*COS(EchelleFPAparam!$AC$3)-(AT13-1024)*SIN(EchelleFPAparam!$AC$3)*EchelleFPAparam!$C$3/EchelleFPAparam!$E$3))</f>
        <v>1624.8336167576126</v>
      </c>
      <c r="DW13" s="26">
        <f>(EchelleFPAparam!$S$3/($U13+F$53)*COS((AU13-EchelleFPAparam!$AE9)*EchelleFPAparam!$C$3/EchelleFPAparam!$E$3))*(SIN('Standard Settings'!$F8)+SIN('Standard Settings'!$F8+EchelleFPAparam!$M$3+EchelleFPAparam!$I$3*EchelleFPAparam!$B$6*COS(EchelleFPAparam!$AC$3)-(AU13-1024)*SIN(EchelleFPAparam!$AC$3)*EchelleFPAparam!$C$3/EchelleFPAparam!$E$3))</f>
        <v>1579.7432211680616</v>
      </c>
      <c r="DX13" s="26">
        <f>(EchelleFPAparam!$S$3/($U13+G$53)*COS((AV13-EchelleFPAparam!$AE9)*EchelleFPAparam!$C$3/EchelleFPAparam!$E$3))*(SIN('Standard Settings'!$F8)+SIN('Standard Settings'!$F8+EchelleFPAparam!$M$3+EchelleFPAparam!$I$3*EchelleFPAparam!$B$6*COS(EchelleFPAparam!$AC$3)-(AV13-1024)*SIN(EchelleFPAparam!$AC$3)*EchelleFPAparam!$C$3/EchelleFPAparam!$E$3))</f>
        <v>1537.0760027114823</v>
      </c>
      <c r="DY13" s="26">
        <f>(EchelleFPAparam!$S$3/($U13+H$53)*COS((AW13-EchelleFPAparam!$AE9)*EchelleFPAparam!$C$3/EchelleFPAparam!$E$3))*(SIN('Standard Settings'!$F8)+SIN('Standard Settings'!$F8+EchelleFPAparam!$M$3+EchelleFPAparam!$I$3*EchelleFPAparam!$B$6*COS(EchelleFPAparam!$AC$3)-(AW13-1024)*SIN(EchelleFPAparam!$AC$3)*EchelleFPAparam!$C$3/EchelleFPAparam!$E$3))</f>
        <v>1496.6431604722848</v>
      </c>
      <c r="DZ13" s="26">
        <f>(EchelleFPAparam!$S$3/($U13+I$53)*COS((AX13-EchelleFPAparam!$AE9)*EchelleFPAparam!$C$3/EchelleFPAparam!$E$3))*(SIN('Standard Settings'!$F8)+SIN('Standard Settings'!$F8+EchelleFPAparam!$M$3+EchelleFPAparam!$I$3*EchelleFPAparam!$B$6*COS(EchelleFPAparam!$AC$3)-(AX13-1024)*SIN(EchelleFPAparam!$AC$3)*EchelleFPAparam!$C$3/EchelleFPAparam!$E$3))</f>
        <v>1458.2741527351341</v>
      </c>
      <c r="EA13" s="26">
        <f>(EchelleFPAparam!$S$3/($U13+J$53)*COS((AY13-EchelleFPAparam!$AE9)*EchelleFPAparam!$C$3/EchelleFPAparam!$E$3))*(SIN('Standard Settings'!$F8)+SIN('Standard Settings'!$F8+EchelleFPAparam!$M$3+EchelleFPAparam!$I$3*EchelleFPAparam!$B$6*COS(EchelleFPAparam!$AC$3)-(AY13-1024)*SIN(EchelleFPAparam!$AC$3)*EchelleFPAparam!$C$3/EchelleFPAparam!$E$3))</f>
        <v>1421.3572260102653</v>
      </c>
      <c r="EB13" s="26">
        <f>(EchelleFPAparam!$S$3/($U13+K$53)*COS((AZ13-EchelleFPAparam!$AE9)*EchelleFPAparam!$C$3/EchelleFPAparam!$E$3))*(SIN('Standard Settings'!$F8)+SIN('Standard Settings'!$F8+EchelleFPAparam!$M$3+EchelleFPAparam!$I$3*EchelleFPAparam!$B$6*COS(EchelleFPAparam!$AC$3)-(AZ13-1024)*SIN(EchelleFPAparam!$AC$3)*EchelleFPAparam!$C$3/EchelleFPAparam!$E$3))</f>
        <v>1386.6899765953808</v>
      </c>
      <c r="EC13" s="26">
        <f>(EchelleFPAparam!$S$3/($U13+B$53)*COS((BA13-EchelleFPAparam!$AE9)*EchelleFPAparam!$C$3/EchelleFPAparam!$E$3))*(SIN('Standard Settings'!$F8)+SIN('Standard Settings'!$F8+EchelleFPAparam!$M$3+EchelleFPAparam!$J$3*EchelleFPAparam!$B$6*COS(EchelleFPAparam!$AC$3)-(BA13-1024)*SIN(EchelleFPAparam!$AC$3)*EchelleFPAparam!$C$3/EchelleFPAparam!$E$3))</f>
        <v>1777.6693092213914</v>
      </c>
      <c r="ED13" s="26">
        <f>(EchelleFPAparam!$S$3/($U13+C$53)*COS((BB13-EchelleFPAparam!$AE9)*EchelleFPAparam!$C$3/EchelleFPAparam!$E$3))*(SIN('Standard Settings'!$F8)+SIN('Standard Settings'!$F8+EchelleFPAparam!$M$3+EchelleFPAparam!$J$3*EchelleFPAparam!$B$6*COS(EchelleFPAparam!$AC$3)-(BB13-1024)*SIN(EchelleFPAparam!$AC$3)*EchelleFPAparam!$C$3/EchelleFPAparam!$E$3))</f>
        <v>1723.9163664235964</v>
      </c>
      <c r="EE13" s="26">
        <f>(EchelleFPAparam!$S$3/($U13+D$53)*COS((BC13-EchelleFPAparam!$AE9)*EchelleFPAparam!$C$3/EchelleFPAparam!$E$3))*(SIN('Standard Settings'!$F8)+SIN('Standard Settings'!$F8+EchelleFPAparam!$M$3+EchelleFPAparam!$J$3*EchelleFPAparam!$B$6*COS(EchelleFPAparam!$AC$3)-(BC13-1024)*SIN(EchelleFPAparam!$AC$3)*EchelleFPAparam!$C$3/EchelleFPAparam!$E$3))</f>
        <v>1673.299786357393</v>
      </c>
      <c r="EF13" s="26">
        <f>(EchelleFPAparam!$S$3/($U13+E$53)*COS((BD13-EchelleFPAparam!$AE9)*EchelleFPAparam!$C$3/EchelleFPAparam!$E$3))*(SIN('Standard Settings'!$F8)+SIN('Standard Settings'!$F8+EchelleFPAparam!$M$3+EchelleFPAparam!$J$3*EchelleFPAparam!$B$6*COS(EchelleFPAparam!$AC$3)-(BD13-1024)*SIN(EchelleFPAparam!$AC$3)*EchelleFPAparam!$C$3/EchelleFPAparam!$E$3))</f>
        <v>1625.554489950747</v>
      </c>
      <c r="EG13" s="26">
        <f>(EchelleFPAparam!$S$3/($U13+F$53)*COS((BE13-EchelleFPAparam!$AE9)*EchelleFPAparam!$C$3/EchelleFPAparam!$E$3))*(SIN('Standard Settings'!$F8)+SIN('Standard Settings'!$F8+EchelleFPAparam!$M$3+EchelleFPAparam!$J$3*EchelleFPAparam!$B$6*COS(EchelleFPAparam!$AC$3)-(BE13-1024)*SIN(EchelleFPAparam!$AC$3)*EchelleFPAparam!$C$3/EchelleFPAparam!$E$3))</f>
        <v>1580.4446102868753</v>
      </c>
      <c r="EH13" s="26">
        <f>(EchelleFPAparam!$S$3/($U13+G$53)*COS((BF13-EchelleFPAparam!$AE9)*EchelleFPAparam!$C$3/EchelleFPAparam!$E$3))*(SIN('Standard Settings'!$F8)+SIN('Standard Settings'!$F8+EchelleFPAparam!$M$3+EchelleFPAparam!$J$3*EchelleFPAparam!$B$6*COS(EchelleFPAparam!$AC$3)-(BF13-1024)*SIN(EchelleFPAparam!$AC$3)*EchelleFPAparam!$C$3/EchelleFPAparam!$E$3))</f>
        <v>1537.7587895385791</v>
      </c>
      <c r="EI13" s="26">
        <f>(EchelleFPAparam!$S$3/($U13+H$53)*COS((BG13-EchelleFPAparam!$AE9)*EchelleFPAparam!$C$3/EchelleFPAparam!$E$3))*(SIN('Standard Settings'!$F8)+SIN('Standard Settings'!$F8+EchelleFPAparam!$M$3+EchelleFPAparam!$J$3*EchelleFPAparam!$B$6*COS(EchelleFPAparam!$AC$3)-(BG13-1024)*SIN(EchelleFPAparam!$AC$3)*EchelleFPAparam!$C$3/EchelleFPAparam!$E$3))</f>
        <v>1497.3079373806884</v>
      </c>
      <c r="EJ13" s="26">
        <f>(EchelleFPAparam!$S$3/($U13+I$53)*COS((BH13-EchelleFPAparam!$AE9)*EchelleFPAparam!$C$3/EchelleFPAparam!$E$3))*(SIN('Standard Settings'!$F8)+SIN('Standard Settings'!$F8+EchelleFPAparam!$M$3+EchelleFPAparam!$J$3*EchelleFPAparam!$B$6*COS(EchelleFPAparam!$AC$3)-(BH13-1024)*SIN(EchelleFPAparam!$AC$3)*EchelleFPAparam!$C$3/EchelleFPAparam!$E$3))</f>
        <v>1458.9218116047552</v>
      </c>
      <c r="EK13" s="26">
        <f>(EchelleFPAparam!$S$3/($U13+J$53)*COS((BI13-EchelleFPAparam!$AE9)*EchelleFPAparam!$C$3/EchelleFPAparam!$E$3))*(SIN('Standard Settings'!$F8)+SIN('Standard Settings'!$F8+EchelleFPAparam!$M$3+EchelleFPAparam!$J$3*EchelleFPAparam!$B$6*COS(EchelleFPAparam!$AC$3)-(BI13-1024)*SIN(EchelleFPAparam!$AC$3)*EchelleFPAparam!$C$3/EchelleFPAparam!$E$3))</f>
        <v>1421.9893292116121</v>
      </c>
      <c r="EL13" s="26">
        <f>(EchelleFPAparam!$S$3/($U13+K$53)*COS((BJ13-EchelleFPAparam!$AE9)*EchelleFPAparam!$C$3/EchelleFPAparam!$E$3))*(SIN('Standard Settings'!$F8)+SIN('Standard Settings'!$F8+EchelleFPAparam!$M$3+EchelleFPAparam!$J$3*EchelleFPAparam!$B$6*COS(EchelleFPAparam!$AC$3)-(BJ13-1024)*SIN(EchelleFPAparam!$AC$3)*EchelleFPAparam!$C$3/EchelleFPAparam!$E$3))</f>
        <v>1387.3066626454754</v>
      </c>
      <c r="EM13" s="26">
        <f>(EchelleFPAparam!$S$3/($U13+B$53)*COS((BA13-EchelleFPAparam!$AE9)*EchelleFPAparam!$C$3/EchelleFPAparam!$E$3))*(SIN('Standard Settings'!$F8)+SIN('Standard Settings'!$F8+EchelleFPAparam!$M$3+EchelleFPAparam!$K$3*EchelleFPAparam!$B$6*COS(EchelleFPAparam!$AC$3)-(BA13-1024)*SIN(EchelleFPAparam!$AC$3)*EchelleFPAparam!$C$3/EchelleFPAparam!$E$3))</f>
        <v>1788.2899373698428</v>
      </c>
      <c r="EN13" s="26">
        <f>(EchelleFPAparam!$S$3/($U13+C$53)*COS((BB13-EchelleFPAparam!$AE9)*EchelleFPAparam!$C$3/EchelleFPAparam!$E$3))*(SIN('Standard Settings'!$F8)+SIN('Standard Settings'!$F8+EchelleFPAparam!$M$3+EchelleFPAparam!$K$3*EchelleFPAparam!$B$6*COS(EchelleFPAparam!$AC$3)-(BB13-1024)*SIN(EchelleFPAparam!$AC$3)*EchelleFPAparam!$C$3/EchelleFPAparam!$E$3))</f>
        <v>1734.2138724482202</v>
      </c>
      <c r="EO13" s="26">
        <f>(EchelleFPAparam!$S$3/($U13+D$53)*COS((BC13-EchelleFPAparam!$AE9)*EchelleFPAparam!$C$3/EchelleFPAparam!$E$3))*(SIN('Standard Settings'!$F8)+SIN('Standard Settings'!$F8+EchelleFPAparam!$M$3+EchelleFPAparam!$K$3*EchelleFPAparam!$B$6*COS(EchelleFPAparam!$AC$3)-(BC13-1024)*SIN(EchelleFPAparam!$AC$3)*EchelleFPAparam!$C$3/EchelleFPAparam!$E$3))</f>
        <v>1683.2931454445738</v>
      </c>
      <c r="EP13" s="26">
        <f>(EchelleFPAparam!$S$3/($U13+E$53)*COS((BD13-EchelleFPAparam!$AE9)*EchelleFPAparam!$C$3/EchelleFPAparam!$E$3))*(SIN('Standard Settings'!$F8)+SIN('Standard Settings'!$F8+EchelleFPAparam!$M$3+EchelleFPAparam!$K$3*EchelleFPAparam!$B$6*COS(EchelleFPAparam!$AC$3)-(BD13-1024)*SIN(EchelleFPAparam!$AC$3)*EchelleFPAparam!$C$3/EchelleFPAparam!$E$3))</f>
        <v>1635.2610660958828</v>
      </c>
      <c r="EQ13" s="26">
        <f>(EchelleFPAparam!$S$3/($U13+F$53)*COS((BE13-EchelleFPAparam!$AE9)*EchelleFPAparam!$C$3/EchelleFPAparam!$E$3))*(SIN('Standard Settings'!$F8)+SIN('Standard Settings'!$F8+EchelleFPAparam!$M$3+EchelleFPAparam!$K$3*EchelleFPAparam!$B$6*COS(EchelleFPAparam!$AC$3)-(BE13-1024)*SIN(EchelleFPAparam!$AC$3)*EchelleFPAparam!$C$3/EchelleFPAparam!$E$3))</f>
        <v>1589.8803246660623</v>
      </c>
      <c r="ER13" s="26">
        <f>(EchelleFPAparam!$S$3/($U13+G$53)*COS((BF13-EchelleFPAparam!$AE9)*EchelleFPAparam!$C$3/EchelleFPAparam!$E$3))*(SIN('Standard Settings'!$F8)+SIN('Standard Settings'!$F8+EchelleFPAparam!$M$3+EchelleFPAparam!$K$3*EchelleFPAparam!$B$6*COS(EchelleFPAparam!$AC$3)-(BF13-1024)*SIN(EchelleFPAparam!$AC$3)*EchelleFPAparam!$C$3/EchelleFPAparam!$E$3))</f>
        <v>1546.9382868509592</v>
      </c>
      <c r="ES13" s="26">
        <f>(EchelleFPAparam!$S$3/($U13+H$53)*COS((BG13-EchelleFPAparam!$AE9)*EchelleFPAparam!$C$3/EchelleFPAparam!$E$3))*(SIN('Standard Settings'!$F8)+SIN('Standard Settings'!$F8+EchelleFPAparam!$M$3+EchelleFPAparam!$K$3*EchelleFPAparam!$B$6*COS(EchelleFPAparam!$AC$3)-(BG13-1024)*SIN(EchelleFPAparam!$AC$3)*EchelleFPAparam!$C$3/EchelleFPAparam!$E$3))</f>
        <v>1506.2447049159359</v>
      </c>
      <c r="ET13" s="26">
        <f>(EchelleFPAparam!$S$3/($U13+I$53)*COS((BH13-EchelleFPAparam!$AE9)*EchelleFPAparam!$C$3/EchelleFPAparam!$E$3))*(SIN('Standard Settings'!$F8)+SIN('Standard Settings'!$F8+EchelleFPAparam!$M$3+EchelleFPAparam!$K$3*EchelleFPAparam!$B$6*COS(EchelleFPAparam!$AC$3)-(BH13-1024)*SIN(EchelleFPAparam!$AC$3)*EchelleFPAparam!$C$3/EchelleFPAparam!$E$3))</f>
        <v>1467.628285515063</v>
      </c>
      <c r="EU13" s="26">
        <f>(EchelleFPAparam!$S$3/($U13+J$53)*COS((BI13-EchelleFPAparam!$AE9)*EchelleFPAparam!$C$3/EchelleFPAparam!$E$3))*(SIN('Standard Settings'!$F8)+SIN('Standard Settings'!$F8+EchelleFPAparam!$M$3+EchelleFPAparam!$K$3*EchelleFPAparam!$B$6*COS(EchelleFPAparam!$AC$3)-(BI13-1024)*SIN(EchelleFPAparam!$AC$3)*EchelleFPAparam!$C$3/EchelleFPAparam!$E$3))</f>
        <v>1430.487027195988</v>
      </c>
      <c r="EV13" s="26">
        <f>(EchelleFPAparam!$S$3/($U13+K$53)*COS((BJ13-EchelleFPAparam!$AE9)*EchelleFPAparam!$C$3/EchelleFPAparam!$E$3))*(SIN('Standard Settings'!$F8)+SIN('Standard Settings'!$F8+EchelleFPAparam!$M$3+EchelleFPAparam!$K$3*EchelleFPAparam!$B$6*COS(EchelleFPAparam!$AC$3)-(BJ13-1024)*SIN(EchelleFPAparam!$AC$3)*EchelleFPAparam!$C$3/EchelleFPAparam!$E$3))</f>
        <v>1395.597099703403</v>
      </c>
      <c r="EW13" s="60">
        <f t="shared" si="40"/>
        <v>1438.7987451328829</v>
      </c>
      <c r="EX13" s="60">
        <f t="shared" si="20"/>
        <v>1788.2899373698428</v>
      </c>
      <c r="EY13" s="90">
        <v>0.39</v>
      </c>
      <c r="EZ13" s="90">
        <v>0.36</v>
      </c>
      <c r="FA13" s="50">
        <v>30000</v>
      </c>
      <c r="FB13" s="50">
        <v>5000</v>
      </c>
      <c r="FC13" s="50">
        <v>5000</v>
      </c>
      <c r="FD13" s="50">
        <v>10000</v>
      </c>
      <c r="FE13" s="95">
        <v>100</v>
      </c>
      <c r="FF13" s="50">
        <v>5000</v>
      </c>
      <c r="FG13" s="50">
        <v>435</v>
      </c>
      <c r="FH13" s="50">
        <f t="shared" si="27"/>
        <v>1250</v>
      </c>
      <c r="FI13" s="50">
        <f t="shared" si="28"/>
        <v>1250</v>
      </c>
      <c r="FJ13" s="50">
        <f t="shared" si="29"/>
        <v>2500</v>
      </c>
      <c r="FK13" s="95">
        <f t="shared" si="30"/>
        <v>25</v>
      </c>
      <c r="FL13" s="50">
        <f t="shared" si="31"/>
        <v>1250</v>
      </c>
      <c r="FM13" s="50">
        <f t="shared" si="32"/>
        <v>108.75</v>
      </c>
      <c r="FN13" s="50">
        <v>500</v>
      </c>
      <c r="FO13" s="91">
        <f>1/(F13*EchelleFPAparam!$Q$3)</f>
        <v>-7873.9987619545664</v>
      </c>
      <c r="FP13" s="91">
        <f t="shared" si="22"/>
        <v>-38.231628854534151</v>
      </c>
      <c r="FQ13" s="50">
        <v>-999999</v>
      </c>
      <c r="FR13" s="50">
        <v>-999999</v>
      </c>
      <c r="FS13" s="90">
        <v>1</v>
      </c>
      <c r="FT13" s="90">
        <v>330.459</v>
      </c>
      <c r="FU13" s="90">
        <v>1584.732</v>
      </c>
      <c r="FV13" s="50">
        <v>-999999</v>
      </c>
      <c r="FW13" s="50">
        <v>-999999</v>
      </c>
      <c r="FX13" s="50">
        <v>-999999</v>
      </c>
      <c r="FY13" s="90">
        <v>1</v>
      </c>
      <c r="FZ13" s="90">
        <v>1814.2349999999999</v>
      </c>
      <c r="GA13" s="90">
        <v>1119.6220000000001</v>
      </c>
      <c r="GB13" s="50">
        <v>-999999</v>
      </c>
      <c r="GC13" s="50">
        <v>-999999</v>
      </c>
      <c r="GD13" s="50">
        <v>-999999</v>
      </c>
      <c r="GE13" s="90">
        <v>2</v>
      </c>
      <c r="GF13" s="90">
        <v>830.03099999999995</v>
      </c>
      <c r="GG13" s="90">
        <v>1354.4690000000001</v>
      </c>
      <c r="GH13" s="50">
        <v>-999999</v>
      </c>
      <c r="GI13" s="50">
        <v>-999999</v>
      </c>
      <c r="GJ13" s="50">
        <v>-999999</v>
      </c>
      <c r="GK13" s="90">
        <v>2</v>
      </c>
      <c r="GL13" s="90">
        <v>1693.1690000000001</v>
      </c>
      <c r="GM13" s="90">
        <v>1357.62</v>
      </c>
      <c r="GN13" s="50">
        <v>-999999</v>
      </c>
      <c r="GO13" s="50">
        <v>-999999</v>
      </c>
      <c r="GP13" s="50">
        <v>-999999</v>
      </c>
      <c r="GQ13" s="90">
        <v>3</v>
      </c>
      <c r="GR13" s="90">
        <v>256.79199999999997</v>
      </c>
      <c r="GS13" s="90">
        <v>1111.1569999999999</v>
      </c>
      <c r="GT13" s="50">
        <v>-999999</v>
      </c>
      <c r="GU13" s="50">
        <v>-999999</v>
      </c>
      <c r="GV13" s="50">
        <v>-999999</v>
      </c>
      <c r="GW13" s="90">
        <v>3</v>
      </c>
      <c r="GX13" s="90">
        <v>1194.3</v>
      </c>
      <c r="GY13" s="90">
        <v>571.38800000000003</v>
      </c>
      <c r="GZ13" s="50">
        <v>-999999</v>
      </c>
      <c r="HA13" s="50">
        <v>-999999</v>
      </c>
      <c r="HB13" s="50">
        <v>-999999</v>
      </c>
      <c r="HC13" s="90">
        <v>3</v>
      </c>
      <c r="HD13" s="90">
        <v>1791.0329999999999</v>
      </c>
      <c r="HE13" s="90">
        <v>1350.8330000000001</v>
      </c>
      <c r="HF13" s="50">
        <v>-999999</v>
      </c>
      <c r="HG13" s="50">
        <v>-999999</v>
      </c>
      <c r="HH13" s="50">
        <v>-999999</v>
      </c>
      <c r="HI13" s="50">
        <v>-999999</v>
      </c>
      <c r="HJ13" s="50">
        <v>-999999</v>
      </c>
      <c r="HK13" s="50">
        <v>-999999</v>
      </c>
      <c r="HL13" s="50">
        <v>-999999</v>
      </c>
      <c r="HM13" s="50">
        <v>-999999</v>
      </c>
      <c r="HN13" s="50">
        <v>-999999</v>
      </c>
      <c r="HO13" s="50">
        <v>-999999</v>
      </c>
      <c r="HP13" s="50">
        <v>-999999</v>
      </c>
      <c r="HQ13" s="50">
        <v>-999999</v>
      </c>
      <c r="HR13" s="50">
        <v>-999999</v>
      </c>
      <c r="HS13" s="50">
        <v>-999999</v>
      </c>
      <c r="HT13" s="50">
        <v>-999999</v>
      </c>
      <c r="HU13" s="50">
        <v>-999999</v>
      </c>
      <c r="HV13" s="50">
        <v>-999999</v>
      </c>
      <c r="HW13" s="50">
        <v>-999999</v>
      </c>
      <c r="HX13" s="50">
        <v>-999999</v>
      </c>
      <c r="HY13" s="50"/>
      <c r="HZ13" s="50"/>
      <c r="IA13" s="50"/>
      <c r="IB13" s="50"/>
      <c r="IC13" s="50"/>
      <c r="ID13" s="50"/>
      <c r="IE13" s="50"/>
      <c r="IF13" s="50"/>
      <c r="IG13" s="50"/>
      <c r="IH13" s="50"/>
      <c r="II13" s="50"/>
      <c r="IJ13" s="50"/>
      <c r="IK13" s="50"/>
      <c r="IL13" s="50"/>
      <c r="IM13" s="50"/>
      <c r="IN13" s="50"/>
      <c r="IO13" s="50"/>
      <c r="IP13" s="50"/>
      <c r="IQ13" s="50"/>
      <c r="IR13" s="50"/>
      <c r="IS13" s="50"/>
      <c r="IT13" s="50"/>
      <c r="IU13" s="50"/>
      <c r="IV13" s="50"/>
      <c r="IW13" s="50"/>
      <c r="IX13" s="50"/>
      <c r="IY13" s="50"/>
      <c r="IZ13" s="50"/>
      <c r="JA13" s="50"/>
      <c r="JB13" s="50"/>
      <c r="JC13" s="50"/>
      <c r="JD13" s="50"/>
      <c r="JE13" s="50"/>
      <c r="JF13" s="50"/>
      <c r="JG13" s="50"/>
      <c r="JH13" s="50"/>
      <c r="JI13" s="50"/>
      <c r="JJ13" s="50"/>
      <c r="JK13" s="50"/>
      <c r="JL13" s="50"/>
      <c r="JM13" s="50"/>
      <c r="JN13" s="50"/>
      <c r="JO13" s="50"/>
      <c r="JP13" s="50"/>
      <c r="JQ13" s="50"/>
      <c r="JR13" s="50"/>
      <c r="JS13" s="50"/>
      <c r="JT13" s="50"/>
      <c r="JU13" s="50"/>
      <c r="JV13" s="50"/>
      <c r="JW13" s="52">
        <f t="shared" si="23"/>
        <v>2746.073860464589</v>
      </c>
      <c r="JX13" s="27">
        <f t="shared" si="24"/>
        <v>324337.60121671227</v>
      </c>
      <c r="JY13" s="107">
        <f>JW13*EchelleFPAparam!$Q$3</f>
        <v>-2.6156353520925209E-2</v>
      </c>
      <c r="KA13" s="19"/>
      <c r="KB13" s="19"/>
      <c r="KC13" s="19"/>
      <c r="KD13" s="19"/>
      <c r="KE13" s="19"/>
      <c r="KF13" s="19"/>
      <c r="KG13" s="19"/>
      <c r="KH13" s="19"/>
      <c r="KI13" s="19"/>
      <c r="KJ13" s="19"/>
      <c r="KK13" s="19"/>
      <c r="KL13" s="19"/>
      <c r="KM13" s="19"/>
      <c r="KW13" s="19"/>
      <c r="KX13" s="19"/>
      <c r="KY13" s="19"/>
      <c r="KZ13" s="19"/>
      <c r="LA13" s="19"/>
      <c r="LB13" s="19"/>
      <c r="LC13" s="19"/>
      <c r="LD13" s="19"/>
      <c r="LE13" s="19"/>
      <c r="LF13" s="19"/>
    </row>
    <row r="14" spans="1:318" x14ac:dyDescent="0.2">
      <c r="A14" s="53">
        <f t="shared" si="35"/>
        <v>8</v>
      </c>
      <c r="B14" s="96">
        <f t="shared" si="0"/>
        <v>1567.0994264851336</v>
      </c>
      <c r="C14" s="27" t="str">
        <f>'Standard Settings'!B9</f>
        <v>H/3/4</v>
      </c>
      <c r="D14" s="27">
        <f>'Standard Settings'!H9</f>
        <v>36</v>
      </c>
      <c r="E14" s="19">
        <f t="shared" si="1"/>
        <v>4.9482038712083121E-3</v>
      </c>
      <c r="F14" s="18">
        <f>((EchelleFPAparam!$S$3/('crmcfgWLEN.txt'!$U14+F$53))*(SIN('Standard Settings'!$F9+0.0005)+SIN('Standard Settings'!$F9+0.0005+EchelleFPAparam!$M$3))-(EchelleFPAparam!$S$3/('crmcfgWLEN.txt'!$U14+F$53))*(SIN('Standard Settings'!$F9-0.0005)+SIN('Standard Settings'!$F9-0.0005+EchelleFPAparam!$M$3)))*1000*EchelleFPAparam!$O$3/180</f>
        <v>13.606848994098726</v>
      </c>
      <c r="G14" s="20" t="str">
        <f>'Standard Settings'!C9</f>
        <v>H</v>
      </c>
      <c r="H14" s="46"/>
      <c r="I14" s="59" t="s">
        <v>693</v>
      </c>
      <c r="J14" s="57"/>
      <c r="K14" s="27" t="str">
        <f>'Standard Settings'!$D9</f>
        <v>HK</v>
      </c>
      <c r="L14" s="46"/>
      <c r="M14" s="12">
        <v>2.5</v>
      </c>
      <c r="N14" s="12">
        <v>2.5</v>
      </c>
      <c r="O14" s="27" t="str">
        <f>'Standard Settings'!$D9</f>
        <v>HK</v>
      </c>
      <c r="P14" s="46"/>
      <c r="Q14" s="27">
        <f>'Standard Settings'!$E9</f>
        <v>65.153649999999999</v>
      </c>
      <c r="R14" s="106">
        <f>'Standard Settings'!$J9</f>
        <v>550000</v>
      </c>
      <c r="S14" s="21">
        <f>'Standard Settings'!$G9</f>
        <v>32</v>
      </c>
      <c r="T14" s="21">
        <f>'Standard Settings'!$I9</f>
        <v>39</v>
      </c>
      <c r="U14" s="22">
        <f t="shared" si="25"/>
        <v>32</v>
      </c>
      <c r="V14" s="22">
        <f t="shared" si="26"/>
        <v>41</v>
      </c>
      <c r="W14" s="23">
        <f>IF(AND($U14-$S14+B$53&gt;=0,$U14-$T14+B$53&lt;=0),(EchelleFPAparam!$S$3/('crmcfgWLEN.txt'!$U14+B$53))*(SIN('Standard Settings'!$F9)+SIN('Standard Settings'!$F9+EchelleFPAparam!$M$3)),-1)</f>
        <v>1762.9868547957751</v>
      </c>
      <c r="X14" s="23">
        <f>IF(AND($U14-$S14+C$53&gt;=0,$U14-$T14+C$53&lt;=0),(EchelleFPAparam!$S$3/('crmcfgWLEN.txt'!$U14+C$53))*(SIN('Standard Settings'!$F9)+SIN('Standard Settings'!$F9+EchelleFPAparam!$M$3)),-1)</f>
        <v>1709.5630107110549</v>
      </c>
      <c r="Y14" s="23">
        <f>IF(AND($U14-$S14+D$53&gt;=0,$U14-$T14+D$53&lt;=0),(EchelleFPAparam!$S$3/('crmcfgWLEN.txt'!$U14+D$53))*(SIN('Standard Settings'!$F9)+SIN('Standard Settings'!$F9+EchelleFPAparam!$M$3)),-1)</f>
        <v>1659.2817456901414</v>
      </c>
      <c r="Z14" s="23">
        <f>IF(AND($U14-$S14+E$53&gt;=0,$U14-$T14+E$53&lt;=0),(EchelleFPAparam!$S$3/('crmcfgWLEN.txt'!$U14+E$53))*(SIN('Standard Settings'!$F9)+SIN('Standard Settings'!$F9+EchelleFPAparam!$M$3)),-1)</f>
        <v>1611.8736958132802</v>
      </c>
      <c r="AA14" s="23">
        <f>IF(AND($U14-$S14+F$53&gt;=0,$U14-$T14+F$53&lt;=0),(EchelleFPAparam!$S$3/('crmcfgWLEN.txt'!$U14+F$53))*(SIN('Standard Settings'!$F9)+SIN('Standard Settings'!$F9+EchelleFPAparam!$M$3)),-1)</f>
        <v>1567.0994264851336</v>
      </c>
      <c r="AB14" s="23">
        <f>IF(AND($U14-$S14+G$53&gt;=0,$U14-$T14+G$53&lt;=0),(EchelleFPAparam!$S$3/('crmcfgWLEN.txt'!$U14+G$53))*(SIN('Standard Settings'!$F9)+SIN('Standard Settings'!$F9+EchelleFPAparam!$M$3)),-1)</f>
        <v>1524.7453879314812</v>
      </c>
      <c r="AC14" s="23">
        <f>IF(AND($U14-$S14+H$53&gt;=0,$U14-$T14+H$53&lt;=0),(EchelleFPAparam!$S$3/('crmcfgWLEN.txt'!$U14+H$53))*(SIN('Standard Settings'!$F9)+SIN('Standard Settings'!$F9+EchelleFPAparam!$M$3)),-1)</f>
        <v>1484.6205093017054</v>
      </c>
      <c r="AD14" s="23">
        <f>IF(AND($U14-$S14+I$53&gt;=0,$U14-$T14+I$53&lt;=0),(EchelleFPAparam!$S$3/('crmcfgWLEN.txt'!$U14+I$53))*(SIN('Standard Settings'!$F9)+SIN('Standard Settings'!$F9+EchelleFPAparam!$M$3)),-1)</f>
        <v>1446.5533167555079</v>
      </c>
      <c r="AE14" s="23">
        <f>IF(AND($U14-$S14+J$53&gt;=0,$U14-$T14+J$53&lt;=0),(EchelleFPAparam!$S$3/('crmcfgWLEN.txt'!$U14+J$53))*(SIN('Standard Settings'!$F9)+SIN('Standard Settings'!$F9+EchelleFPAparam!$M$3)),-1)</f>
        <v>-1</v>
      </c>
      <c r="AF14" s="23">
        <f>IF(AND($U14-$S14+K$53&gt;=0,$U14-$T14+K$53&lt;=0),(EchelleFPAparam!$S$3/('crmcfgWLEN.txt'!$U14+K$53))*(SIN('Standard Settings'!$F9)+SIN('Standard Settings'!$F9+EchelleFPAparam!$M$3)),-1)</f>
        <v>-1</v>
      </c>
      <c r="AG14" s="112">
        <v>346.76642413738301</v>
      </c>
      <c r="AH14" s="112">
        <v>633.74602051826605</v>
      </c>
      <c r="AI14" s="112">
        <v>902.13620559081903</v>
      </c>
      <c r="AJ14" s="112">
        <v>1154.13090556305</v>
      </c>
      <c r="AK14" s="112">
        <v>1390.91065287928</v>
      </c>
      <c r="AL14" s="112">
        <v>1613.9040162011399</v>
      </c>
      <c r="AM14" s="112">
        <v>1826.34073318991</v>
      </c>
      <c r="AN14" s="112">
        <v>2030</v>
      </c>
      <c r="AO14" s="131">
        <v>-100.1</v>
      </c>
      <c r="AP14" s="131">
        <v>-100.1</v>
      </c>
      <c r="AQ14" s="112">
        <v>332.99760069780899</v>
      </c>
      <c r="AR14" s="112">
        <v>622.07343562732501</v>
      </c>
      <c r="AS14" s="112">
        <v>892.90746909232098</v>
      </c>
      <c r="AT14" s="112">
        <v>1146.5210486460201</v>
      </c>
      <c r="AU14" s="112">
        <v>1385.1738985581201</v>
      </c>
      <c r="AV14" s="112">
        <v>1609.4784744788899</v>
      </c>
      <c r="AW14" s="112">
        <v>1823.46904487604</v>
      </c>
      <c r="AX14" s="112">
        <v>2030</v>
      </c>
      <c r="AY14" s="130">
        <v>-100.1</v>
      </c>
      <c r="AZ14" s="130">
        <v>-100.1</v>
      </c>
      <c r="BA14" s="112">
        <v>320.05166181218101</v>
      </c>
      <c r="BB14" s="112">
        <v>611.29261974554902</v>
      </c>
      <c r="BC14" s="112">
        <v>884.28501031808298</v>
      </c>
      <c r="BD14" s="112">
        <v>1140.5252892794899</v>
      </c>
      <c r="BE14" s="112">
        <v>1381.5009708382299</v>
      </c>
      <c r="BF14" s="112">
        <v>1608.08218389698</v>
      </c>
      <c r="BG14" s="112">
        <v>1822.87545582436</v>
      </c>
      <c r="BH14" s="112">
        <v>2030</v>
      </c>
      <c r="BI14" s="132">
        <v>-100.1</v>
      </c>
      <c r="BJ14" s="132">
        <v>-100.1</v>
      </c>
      <c r="BK14" s="24">
        <f>EchelleFPAparam!$S$3/('crmcfgWLEN.txt'!$U14+B$53)*(SIN(EchelleFPAparam!$T$3-EchelleFPAparam!$M$3/2)+SIN('Standard Settings'!$F9+EchelleFPAparam!$M$3))</f>
        <v>1764.4966392202548</v>
      </c>
      <c r="BL14" s="24">
        <f>EchelleFPAparam!$S$3/('crmcfgWLEN.txt'!$U14+C$53)*(SIN(EchelleFPAparam!$T$3-EchelleFPAparam!$M$3/2)+SIN('Standard Settings'!$F9+EchelleFPAparam!$M$3))</f>
        <v>1711.0270440923684</v>
      </c>
      <c r="BM14" s="24">
        <f>EchelleFPAparam!$S$3/('crmcfgWLEN.txt'!$U14+D$53)*(SIN(EchelleFPAparam!$T$3-EchelleFPAparam!$M$3/2)+SIN('Standard Settings'!$F9+EchelleFPAparam!$M$3))</f>
        <v>1660.7027192661221</v>
      </c>
      <c r="BN14" s="24">
        <f>EchelleFPAparam!$S$3/('crmcfgWLEN.txt'!$U14+E$53)*(SIN(EchelleFPAparam!$T$3-EchelleFPAparam!$M$3/2)+SIN('Standard Settings'!$F9+EchelleFPAparam!$M$3))</f>
        <v>1613.2540701442331</v>
      </c>
      <c r="BO14" s="24">
        <f>EchelleFPAparam!$S$3/('crmcfgWLEN.txt'!$U14+F$53)*(SIN(EchelleFPAparam!$T$3-EchelleFPAparam!$M$3/2)+SIN('Standard Settings'!$F9+EchelleFPAparam!$M$3))</f>
        <v>1568.4414570846709</v>
      </c>
      <c r="BP14" s="24">
        <f>EchelleFPAparam!$S$3/('crmcfgWLEN.txt'!$U14+G$53)*(SIN(EchelleFPAparam!$T$3-EchelleFPAparam!$M$3/2)+SIN('Standard Settings'!$F9+EchelleFPAparam!$M$3))</f>
        <v>1526.0511474337338</v>
      </c>
      <c r="BQ14" s="24">
        <f>EchelleFPAparam!$S$3/('crmcfgWLEN.txt'!$U14+H$53)*(SIN(EchelleFPAparam!$T$3-EchelleFPAparam!$M$3/2)+SIN('Standard Settings'!$F9+EchelleFPAparam!$M$3))</f>
        <v>1485.8919067117936</v>
      </c>
      <c r="BR14" s="24">
        <f>EchelleFPAparam!$S$3/('crmcfgWLEN.txt'!$U14+I$53)*(SIN(EchelleFPAparam!$T$3-EchelleFPAparam!$M$3/2)+SIN('Standard Settings'!$F9+EchelleFPAparam!$M$3))</f>
        <v>1447.792114232004</v>
      </c>
      <c r="BS14" s="24">
        <f>EchelleFPAparam!$S$3/('crmcfgWLEN.txt'!$U14+J$53)*(SIN(EchelleFPAparam!$T$3-EchelleFPAparam!$M$3/2)+SIN('Standard Settings'!$F9+EchelleFPAparam!$M$3))</f>
        <v>1411.5973113762038</v>
      </c>
      <c r="BT14" s="24">
        <f>EchelleFPAparam!$S$3/('crmcfgWLEN.txt'!$U14+K$53)*(SIN(EchelleFPAparam!$T$3-EchelleFPAparam!$M$3/2)+SIN('Standard Settings'!$F9+EchelleFPAparam!$M$3))</f>
        <v>1377.1681086597112</v>
      </c>
      <c r="BU14" s="25">
        <f t="shared" si="33"/>
        <v>1740.3254523816211</v>
      </c>
      <c r="BV14" s="25">
        <f t="shared" si="2"/>
        <v>1688.2133501711369</v>
      </c>
      <c r="BW14" s="25">
        <f t="shared" si="3"/>
        <v>1639.1351514834453</v>
      </c>
      <c r="BX14" s="25">
        <f t="shared" si="4"/>
        <v>1592.8331325474708</v>
      </c>
      <c r="BY14" s="25">
        <f t="shared" si="5"/>
        <v>1549.0779823058476</v>
      </c>
      <c r="BZ14" s="25">
        <f t="shared" si="6"/>
        <v>1507.6649890309177</v>
      </c>
      <c r="CA14" s="25">
        <f t="shared" si="7"/>
        <v>1468.4108254563607</v>
      </c>
      <c r="CB14" s="25">
        <f t="shared" si="8"/>
        <v>1431.1508255626707</v>
      </c>
      <c r="CC14" s="25">
        <f t="shared" si="9"/>
        <v>1395.7366674281566</v>
      </c>
      <c r="CD14" s="25">
        <f t="shared" si="10"/>
        <v>1362.0343931799341</v>
      </c>
      <c r="CE14" s="25">
        <f t="shared" si="34"/>
        <v>1789.3487045613851</v>
      </c>
      <c r="CF14" s="25">
        <f t="shared" si="11"/>
        <v>1734.4657707237709</v>
      </c>
      <c r="CG14" s="25">
        <f t="shared" si="12"/>
        <v>1682.8454221896707</v>
      </c>
      <c r="CH14" s="25">
        <f t="shared" si="13"/>
        <v>1634.2054217045477</v>
      </c>
      <c r="CI14" s="25">
        <f t="shared" si="14"/>
        <v>1588.2951464148566</v>
      </c>
      <c r="CJ14" s="25">
        <f t="shared" si="15"/>
        <v>1544.8912850563727</v>
      </c>
      <c r="CK14" s="25">
        <f t="shared" si="16"/>
        <v>1503.7942188408513</v>
      </c>
      <c r="CL14" s="25">
        <f t="shared" si="17"/>
        <v>1464.8249626347333</v>
      </c>
      <c r="CM14" s="25">
        <f t="shared" si="18"/>
        <v>1427.822567828804</v>
      </c>
      <c r="CN14" s="25">
        <f t="shared" si="19"/>
        <v>1392.6419076334157</v>
      </c>
      <c r="CO14" s="26">
        <f>(EchelleFPAparam!$S$3/($U14+B$53)*COS((AG14-EchelleFPAparam!$AE10)*EchelleFPAparam!$C$3/EchelleFPAparam!$E$3))*(SIN('Standard Settings'!$F9)+SIN('Standard Settings'!$F9+EchelleFPAparam!$M$3+(EchelleFPAparam!$F$3*EchelleFPAparam!$B$6)*COS(EchelleFPAparam!$AC$3)-(AG14-1024)*SIN(EchelleFPAparam!$AC$3)*EchelleFPAparam!$C$3/EchelleFPAparam!$E$3))</f>
        <v>1744.1638588697995</v>
      </c>
      <c r="CP14" s="26">
        <f>(EchelleFPAparam!$S$3/($U14+C$53)*COS((AH14-EchelleFPAparam!$AE10)*EchelleFPAparam!$C$3/EchelleFPAparam!$E$3))*(SIN('Standard Settings'!$F9)+SIN('Standard Settings'!$F9+EchelleFPAparam!$M$3+(EchelleFPAparam!$F$3*EchelleFPAparam!$B$6)*COS(EchelleFPAparam!$AC$3)-(AH14-1024)*SIN(EchelleFPAparam!$AC$3)*EchelleFPAparam!$C$3/EchelleFPAparam!$E$3))</f>
        <v>1691.4216800952647</v>
      </c>
      <c r="CQ14" s="26">
        <f>(EchelleFPAparam!$S$3/($U14+D$53)*COS((AI14-EchelleFPAparam!$AE10)*EchelleFPAparam!$C$3/EchelleFPAparam!$E$3))*(SIN('Standard Settings'!$F9)+SIN('Standard Settings'!$F9+EchelleFPAparam!$M$3+(EchelleFPAparam!$F$3*EchelleFPAparam!$B$6)*COS(EchelleFPAparam!$AC$3)-(AI14-1024)*SIN(EchelleFPAparam!$AC$3)*EchelleFPAparam!$C$3/EchelleFPAparam!$E$3))</f>
        <v>1641.7576445190496</v>
      </c>
      <c r="CR14" s="26">
        <f>(EchelleFPAparam!$S$3/($U14+E$53)*COS((AJ14-EchelleFPAparam!$AE10)*EchelleFPAparam!$C$3/EchelleFPAparam!$E$3))*(SIN('Standard Settings'!$F9)+SIN('Standard Settings'!$F9+EchelleFPAparam!$M$3+(EchelleFPAparam!$F$3*EchelleFPAparam!$B$6)*COS(EchelleFPAparam!$AC$3)-(AJ14-1024)*SIN(EchelleFPAparam!$AC$3)*EchelleFPAparam!$C$3/EchelleFPAparam!$E$3))</f>
        <v>1594.9117666116858</v>
      </c>
      <c r="CS14" s="26">
        <f>(EchelleFPAparam!$S$3/($U14+F$53)*COS((AK14-EchelleFPAparam!$AE10)*EchelleFPAparam!$C$3/EchelleFPAparam!$E$3))*(SIN('Standard Settings'!$F9)+SIN('Standard Settings'!$F9+EchelleFPAparam!$M$3+(EchelleFPAparam!$F$3*EchelleFPAparam!$B$6)*COS(EchelleFPAparam!$AC$3)-(AK14-1024)*SIN(EchelleFPAparam!$AC$3)*EchelleFPAparam!$C$3/EchelleFPAparam!$E$3))</f>
        <v>1550.6521091450222</v>
      </c>
      <c r="CT14" s="26">
        <f>(EchelleFPAparam!$S$3/($U14+G$53)*COS((AL14-EchelleFPAparam!$AE10)*EchelleFPAparam!$C$3/EchelleFPAparam!$E$3))*(SIN('Standard Settings'!$F9)+SIN('Standard Settings'!$F9+EchelleFPAparam!$M$3+(EchelleFPAparam!$F$3*EchelleFPAparam!$B$6)*COS(EchelleFPAparam!$AC$3)-(AL14-1024)*SIN(EchelleFPAparam!$AC$3)*EchelleFPAparam!$C$3/EchelleFPAparam!$E$3))</f>
        <v>1508.7714401974565</v>
      </c>
      <c r="CU14" s="26">
        <f>(EchelleFPAparam!$S$3/($U14+H$53)*COS((AM14-EchelleFPAparam!$AE10)*EchelleFPAparam!$C$3/EchelleFPAparam!$E$3))*(SIN('Standard Settings'!$F9)+SIN('Standard Settings'!$F9+EchelleFPAparam!$M$3+(EchelleFPAparam!$F$3*EchelleFPAparam!$B$6)*COS(EchelleFPAparam!$AC$3)-(AM14-1024)*SIN(EchelleFPAparam!$AC$3)*EchelleFPAparam!$C$3/EchelleFPAparam!$E$3))</f>
        <v>1469.0840550304138</v>
      </c>
      <c r="CV14" s="26">
        <f>(EchelleFPAparam!$S$3/($U14+I$53)*COS((AN14-EchelleFPAparam!$AE10)*EchelleFPAparam!$C$3/EchelleFPAparam!$E$3))*(SIN('Standard Settings'!$F9)+SIN('Standard Settings'!$F9+EchelleFPAparam!$M$3+(EchelleFPAparam!$F$3*EchelleFPAparam!$B$6)*COS(EchelleFPAparam!$AC$3)-(AN14-1024)*SIN(EchelleFPAparam!$AC$3)*EchelleFPAparam!$C$3/EchelleFPAparam!$E$3))</f>
        <v>1431.4226325380616</v>
      </c>
      <c r="CW14" s="26">
        <f>(EchelleFPAparam!$S$3/($U14+J$53)*COS((AO14-EchelleFPAparam!$AE10)*EchelleFPAparam!$C$3/EchelleFPAparam!$E$3))*(SIN('Standard Settings'!$F9)+SIN('Standard Settings'!$F9+EchelleFPAparam!$M$3+(EchelleFPAparam!$F$3*EchelleFPAparam!$B$6)*COS(EchelleFPAparam!$AC$3)-(AO14-1024)*SIN(EchelleFPAparam!$AC$3)*EchelleFPAparam!$C$3/EchelleFPAparam!$E$3))</f>
        <v>1395.1557171686516</v>
      </c>
      <c r="CX14" s="26">
        <f>(EchelleFPAparam!$S$3/($U14+K$53)*COS((AP14-EchelleFPAparam!$AE10)*EchelleFPAparam!$C$3/EchelleFPAparam!$E$3))*(SIN('Standard Settings'!$F9)+SIN('Standard Settings'!$F9+EchelleFPAparam!$M$3+(EchelleFPAparam!$F$3*EchelleFPAparam!$B$6)*COS(EchelleFPAparam!$AC$3)-(AP14-1024)*SIN(EchelleFPAparam!$AC$3)*EchelleFPAparam!$C$3/EchelleFPAparam!$E$3))</f>
        <v>1361.1275289450259</v>
      </c>
      <c r="CY14" s="26">
        <f>(EchelleFPAparam!$S$3/($U14+B$53)*COS((AG14-EchelleFPAparam!$AE10)*EchelleFPAparam!$C$3/EchelleFPAparam!$E$3))*(SIN('Standard Settings'!$F9)+SIN('Standard Settings'!$F9+EchelleFPAparam!$M$3+EchelleFPAparam!$G$3*EchelleFPAparam!$B$6*COS(EchelleFPAparam!$AC$3)-(AG14-1024)*SIN(EchelleFPAparam!$AC$3)*EchelleFPAparam!$C$3/EchelleFPAparam!$E$3))</f>
        <v>1756.129421736536</v>
      </c>
      <c r="CZ14" s="26">
        <f>(EchelleFPAparam!$S$3/($U14+C$53)*COS((AH14-EchelleFPAparam!$AE10)*EchelleFPAparam!$C$3/EchelleFPAparam!$E$3))*(SIN('Standard Settings'!$F9)+SIN('Standard Settings'!$F9+EchelleFPAparam!$M$3+EchelleFPAparam!$G$3*EchelleFPAparam!$B$6*COS(EchelleFPAparam!$AC$3)-(AH14-1024)*SIN(EchelleFPAparam!$AC$3)*EchelleFPAparam!$C$3/EchelleFPAparam!$E$3))</f>
        <v>1703.0234734661944</v>
      </c>
      <c r="DA14" s="26">
        <f>(EchelleFPAparam!$S$3/($U14+D$53)*COS((AI14-EchelleFPAparam!$AE10)*EchelleFPAparam!$C$3/EchelleFPAparam!$E$3))*(SIN('Standard Settings'!$F9)+SIN('Standard Settings'!$F9+EchelleFPAparam!$M$3+EchelleFPAparam!$G$3*EchelleFPAparam!$B$6*COS(EchelleFPAparam!$AC$3)-(AI14-1024)*SIN(EchelleFPAparam!$AC$3)*EchelleFPAparam!$C$3/EchelleFPAparam!$E$3))</f>
        <v>1653.0170214643188</v>
      </c>
      <c r="DB14" s="26">
        <f>(EchelleFPAparam!$S$3/($U14+E$53)*COS((AJ14-EchelleFPAparam!$AE10)*EchelleFPAparam!$C$3/EchelleFPAparam!$E$3))*(SIN('Standard Settings'!$F9)+SIN('Standard Settings'!$F9+EchelleFPAparam!$M$3+EchelleFPAparam!$G$3*EchelleFPAparam!$B$6*COS(EchelleFPAparam!$AC$3)-(AJ14-1024)*SIN(EchelleFPAparam!$AC$3)*EchelleFPAparam!$C$3/EchelleFPAparam!$E$3))</f>
        <v>1605.8482624759001</v>
      </c>
      <c r="DC14" s="26">
        <f>(EchelleFPAparam!$S$3/($U14+F$53)*COS((AK14-EchelleFPAparam!$AE10)*EchelleFPAparam!$C$3/EchelleFPAparam!$E$3))*(SIN('Standard Settings'!$F9)+SIN('Standard Settings'!$F9+EchelleFPAparam!$M$3+EchelleFPAparam!$G$3*EchelleFPAparam!$B$6*COS(EchelleFPAparam!$AC$3)-(AK14-1024)*SIN(EchelleFPAparam!$AC$3)*EchelleFPAparam!$C$3/EchelleFPAparam!$E$3))</f>
        <v>1561.2836440207345</v>
      </c>
      <c r="DD14" s="26">
        <f>(EchelleFPAparam!$S$3/($U14+G$53)*COS((AL14-EchelleFPAparam!$AE10)*EchelleFPAparam!$C$3/EchelleFPAparam!$E$3))*(SIN('Standard Settings'!$F9)+SIN('Standard Settings'!$F9+EchelleFPAparam!$M$3+EchelleFPAparam!$G$3*EchelleFPAparam!$B$6*COS(EchelleFPAparam!$AC$3)-(AL14-1024)*SIN(EchelleFPAparam!$AC$3)*EchelleFPAparam!$C$3/EchelleFPAparam!$E$3))</f>
        <v>1519.1144895051191</v>
      </c>
      <c r="DE14" s="26">
        <f>(EchelleFPAparam!$S$3/($U14+H$53)*COS((AM14-EchelleFPAparam!$AE10)*EchelleFPAparam!$C$3/EchelleFPAparam!$E$3))*(SIN('Standard Settings'!$F9)+SIN('Standard Settings'!$F9+EchelleFPAparam!$M$3+EchelleFPAparam!$G$3*EchelleFPAparam!$B$6*COS(EchelleFPAparam!$AC$3)-(AM14-1024)*SIN(EchelleFPAparam!$AC$3)*EchelleFPAparam!$C$3/EchelleFPAparam!$E$3))</f>
        <v>1479.1537890365662</v>
      </c>
      <c r="DF14" s="26">
        <f>(EchelleFPAparam!$S$3/($U14+I$53)*COS((AN14-EchelleFPAparam!$AE10)*EchelleFPAparam!$C$3/EchelleFPAparam!$E$3))*(SIN('Standard Settings'!$F9)+SIN('Standard Settings'!$F9+EchelleFPAparam!$M$3+EchelleFPAparam!$G$3*EchelleFPAparam!$B$6*COS(EchelleFPAparam!$AC$3)-(AN14-1024)*SIN(EchelleFPAparam!$AC$3)*EchelleFPAparam!$C$3/EchelleFPAparam!$E$3))</f>
        <v>1441.2330539613361</v>
      </c>
      <c r="DG14" s="26">
        <f>(EchelleFPAparam!$S$3/($U14+J$53)*COS((AO14-EchelleFPAparam!$AE10)*EchelleFPAparam!$C$3/EchelleFPAparam!$E$3))*(SIN('Standard Settings'!$F9)+SIN('Standard Settings'!$F9+EchelleFPAparam!$M$3+EchelleFPAparam!$G$3*EchelleFPAparam!$B$6*COS(EchelleFPAparam!$AC$3)-(AO14-1024)*SIN(EchelleFPAparam!$AC$3)*EchelleFPAparam!$C$3/EchelleFPAparam!$E$3))</f>
        <v>1404.7294562214431</v>
      </c>
      <c r="DH14" s="26">
        <f>(EchelleFPAparam!$S$3/($U14+K$53)*COS((AP14-EchelleFPAparam!$AE10)*EchelleFPAparam!$C$3/EchelleFPAparam!$E$3))*(SIN('Standard Settings'!$F9)+SIN('Standard Settings'!$F9+EchelleFPAparam!$M$3+EchelleFPAparam!$G$3*EchelleFPAparam!$B$6*COS(EchelleFPAparam!$AC$3)-(AP14-1024)*SIN(EchelleFPAparam!$AC$3)*EchelleFPAparam!$C$3/EchelleFPAparam!$E$3))</f>
        <v>1370.4677621672615</v>
      </c>
      <c r="DI14" s="26">
        <f>(EchelleFPAparam!$S$3/($U14+B$53)*COS((AQ14-EchelleFPAparam!$AE10)*EchelleFPAparam!$C$3/EchelleFPAparam!$E$3))*(SIN('Standard Settings'!$F9)+SIN('Standard Settings'!$F9+EchelleFPAparam!$M$3+EchelleFPAparam!$H$3*EchelleFPAparam!$B$6*COS(EchelleFPAparam!$AC$3)-(AQ14-1024)*SIN(EchelleFPAparam!$AC$3)*EchelleFPAparam!$C$3/EchelleFPAparam!$E$3))</f>
        <v>1756.9461577380562</v>
      </c>
      <c r="DJ14" s="26">
        <f>(EchelleFPAparam!$S$3/($U14+C$53)*COS((AR14-EchelleFPAparam!$AE10)*EchelleFPAparam!$C$3/EchelleFPAparam!$E$3))*(SIN('Standard Settings'!$F9)+SIN('Standard Settings'!$F9+EchelleFPAparam!$M$3+EchelleFPAparam!$H$3*EchelleFPAparam!$B$6*COS(EchelleFPAparam!$AC$3)-(AR14-1024)*SIN(EchelleFPAparam!$AC$3)*EchelleFPAparam!$C$3/EchelleFPAparam!$E$3))</f>
        <v>1703.817066974224</v>
      </c>
      <c r="DK14" s="26">
        <f>(EchelleFPAparam!$S$3/($U14+D$53)*COS((AS14-EchelleFPAparam!$AE10)*EchelleFPAparam!$C$3/EchelleFPAparam!$E$3))*(SIN('Standard Settings'!$F9)+SIN('Standard Settings'!$F9+EchelleFPAparam!$M$3+EchelleFPAparam!$H$3*EchelleFPAparam!$B$6*COS(EchelleFPAparam!$AC$3)-(AS14-1024)*SIN(EchelleFPAparam!$AC$3)*EchelleFPAparam!$C$3/EchelleFPAparam!$E$3))</f>
        <v>1653.7886027618904</v>
      </c>
      <c r="DL14" s="26">
        <f>(EchelleFPAparam!$S$3/($U14+E$53)*COS((AT14-EchelleFPAparam!$AE10)*EchelleFPAparam!$C$3/EchelleFPAparam!$E$3))*(SIN('Standard Settings'!$F9)+SIN('Standard Settings'!$F9+EchelleFPAparam!$M$3+EchelleFPAparam!$H$3*EchelleFPAparam!$B$6*COS(EchelleFPAparam!$AC$3)-(AT14-1024)*SIN(EchelleFPAparam!$AC$3)*EchelleFPAparam!$C$3/EchelleFPAparam!$E$3))</f>
        <v>1606.5985872601691</v>
      </c>
      <c r="DM14" s="26">
        <f>(EchelleFPAparam!$S$3/($U14+F$53)*COS((AU14-EchelleFPAparam!$AE10)*EchelleFPAparam!$C$3/EchelleFPAparam!$E$3))*(SIN('Standard Settings'!$F9)+SIN('Standard Settings'!$F9+EchelleFPAparam!$M$3+EchelleFPAparam!$H$3*EchelleFPAparam!$B$6*COS(EchelleFPAparam!$AC$3)-(AU14-1024)*SIN(EchelleFPAparam!$AC$3)*EchelleFPAparam!$C$3/EchelleFPAparam!$E$3))</f>
        <v>1562.013729746147</v>
      </c>
      <c r="DN14" s="26">
        <f>(EchelleFPAparam!$S$3/($U14+G$53)*COS((AV14-EchelleFPAparam!$AE10)*EchelleFPAparam!$C$3/EchelleFPAparam!$E$3))*(SIN('Standard Settings'!$F9)+SIN('Standard Settings'!$F9+EchelleFPAparam!$M$3+EchelleFPAparam!$H$3*EchelleFPAparam!$B$6*COS(EchelleFPAparam!$AC$3)-(AV14-1024)*SIN(EchelleFPAparam!$AC$3)*EchelleFPAparam!$C$3/EchelleFPAparam!$E$3))</f>
        <v>1519.8251697945377</v>
      </c>
      <c r="DO14" s="26">
        <f>(EchelleFPAparam!$S$3/($U14+H$53)*COS((AW14-EchelleFPAparam!$AE10)*EchelleFPAparam!$C$3/EchelleFPAparam!$E$3))*(SIN('Standard Settings'!$F9)+SIN('Standard Settings'!$F9+EchelleFPAparam!$M$3+EchelleFPAparam!$H$3*EchelleFPAparam!$B$6*COS(EchelleFPAparam!$AC$3)-(AW14-1024)*SIN(EchelleFPAparam!$AC$3)*EchelleFPAparam!$C$3/EchelleFPAparam!$E$3))</f>
        <v>1479.8459674343546</v>
      </c>
      <c r="DP14" s="26">
        <f>(EchelleFPAparam!$S$3/($U14+I$53)*COS((AX14-EchelleFPAparam!$AE10)*EchelleFPAparam!$C$3/EchelleFPAparam!$E$3))*(SIN('Standard Settings'!$F9)+SIN('Standard Settings'!$F9+EchelleFPAparam!$M$3+EchelleFPAparam!$H$3*EchelleFPAparam!$B$6*COS(EchelleFPAparam!$AC$3)-(AX14-1024)*SIN(EchelleFPAparam!$AC$3)*EchelleFPAparam!$C$3/EchelleFPAparam!$E$3))</f>
        <v>1441.9075535487643</v>
      </c>
      <c r="DQ14" s="26">
        <f>(EchelleFPAparam!$S$3/($U14+J$53)*COS((AY14-EchelleFPAparam!$AE10)*EchelleFPAparam!$C$3/EchelleFPAparam!$E$3))*(SIN('Standard Settings'!$F9)+SIN('Standard Settings'!$F9+EchelleFPAparam!$M$3+EchelleFPAparam!$H$3*EchelleFPAparam!$B$6*COS(EchelleFPAparam!$AC$3)-(AY14-1024)*SIN(EchelleFPAparam!$AC$3)*EchelleFPAparam!$C$3/EchelleFPAparam!$E$3))</f>
        <v>1405.3877052106682</v>
      </c>
      <c r="DR14" s="26">
        <f>(EchelleFPAparam!$S$3/($U14+K$53)*COS((AZ14-EchelleFPAparam!$AE10)*EchelleFPAparam!$C$3/EchelleFPAparam!$E$3))*(SIN('Standard Settings'!$F9)+SIN('Standard Settings'!$F9+EchelleFPAparam!$M$3+EchelleFPAparam!$H$3*EchelleFPAparam!$B$6*COS(EchelleFPAparam!$AC$3)-(AZ14-1024)*SIN(EchelleFPAparam!$AC$3)*EchelleFPAparam!$C$3/EchelleFPAparam!$E$3))</f>
        <v>1371.1099563030909</v>
      </c>
      <c r="DS14" s="26">
        <f>(EchelleFPAparam!$S$3/($U14+B$53)*COS((AQ14-EchelleFPAparam!$AE10)*EchelleFPAparam!$C$3/EchelleFPAparam!$E$3))*(SIN('Standard Settings'!$F9)+SIN('Standard Settings'!$F9+EchelleFPAparam!$M$3+EchelleFPAparam!$I$3*EchelleFPAparam!$B$6*COS(EchelleFPAparam!$AC$3)-(AQ14-1024)*SIN(EchelleFPAparam!$AC$3)*EchelleFPAparam!$C$3/EchelleFPAparam!$E$3))</f>
        <v>1768.3520760003817</v>
      </c>
      <c r="DT14" s="26">
        <f>(EchelleFPAparam!$S$3/($U14+C$53)*COS((AR14-EchelleFPAparam!$AE10)*EchelleFPAparam!$C$3/EchelleFPAparam!$E$3))*(SIN('Standard Settings'!$F9)+SIN('Standard Settings'!$F9+EchelleFPAparam!$M$3+EchelleFPAparam!$I$3*EchelleFPAparam!$B$6*COS(EchelleFPAparam!$AC$3)-(AR14-1024)*SIN(EchelleFPAparam!$AC$3)*EchelleFPAparam!$C$3/EchelleFPAparam!$E$3))</f>
        <v>1714.8761240235995</v>
      </c>
      <c r="DU14" s="26">
        <f>(EchelleFPAparam!$S$3/($U14+D$53)*COS((AS14-EchelleFPAparam!$AE10)*EchelleFPAparam!$C$3/EchelleFPAparam!$E$3))*(SIN('Standard Settings'!$F9)+SIN('Standard Settings'!$F9+EchelleFPAparam!$M$3+EchelleFPAparam!$I$3*EchelleFPAparam!$B$6*COS(EchelleFPAparam!$AC$3)-(AS14-1024)*SIN(EchelleFPAparam!$AC$3)*EchelleFPAparam!$C$3/EchelleFPAparam!$E$3))</f>
        <v>1664.5211618491687</v>
      </c>
      <c r="DV14" s="26">
        <f>(EchelleFPAparam!$S$3/($U14+E$53)*COS((AT14-EchelleFPAparam!$AE10)*EchelleFPAparam!$C$3/EchelleFPAparam!$E$3))*(SIN('Standard Settings'!$F9)+SIN('Standard Settings'!$F9+EchelleFPAparam!$M$3+EchelleFPAparam!$I$3*EchelleFPAparam!$B$6*COS(EchelleFPAparam!$AC$3)-(AT14-1024)*SIN(EchelleFPAparam!$AC$3)*EchelleFPAparam!$C$3/EchelleFPAparam!$E$3))</f>
        <v>1617.0232830921543</v>
      </c>
      <c r="DW14" s="26">
        <f>(EchelleFPAparam!$S$3/($U14+F$53)*COS((AU14-EchelleFPAparam!$AE10)*EchelleFPAparam!$C$3/EchelleFPAparam!$E$3))*(SIN('Standard Settings'!$F9)+SIN('Standard Settings'!$F9+EchelleFPAparam!$M$3+EchelleFPAparam!$I$3*EchelleFPAparam!$B$6*COS(EchelleFPAparam!$AC$3)-(AU14-1024)*SIN(EchelleFPAparam!$AC$3)*EchelleFPAparam!$C$3/EchelleFPAparam!$E$3))</f>
        <v>1572.1476512743816</v>
      </c>
      <c r="DX14" s="26">
        <f>(EchelleFPAparam!$S$3/($U14+G$53)*COS((AV14-EchelleFPAparam!$AE10)*EchelleFPAparam!$C$3/EchelleFPAparam!$E$3))*(SIN('Standard Settings'!$F9)+SIN('Standard Settings'!$F9+EchelleFPAparam!$M$3+EchelleFPAparam!$I$3*EchelleFPAparam!$B$6*COS(EchelleFPAparam!$AC$3)-(AV14-1024)*SIN(EchelleFPAparam!$AC$3)*EchelleFPAparam!$C$3/EchelleFPAparam!$E$3))</f>
        <v>1529.6840321024986</v>
      </c>
      <c r="DY14" s="26">
        <f>(EchelleFPAparam!$S$3/($U14+H$53)*COS((AW14-EchelleFPAparam!$AE10)*EchelleFPAparam!$C$3/EchelleFPAparam!$E$3))*(SIN('Standard Settings'!$F9)+SIN('Standard Settings'!$F9+EchelleFPAparam!$M$3+EchelleFPAparam!$I$3*EchelleFPAparam!$B$6*COS(EchelleFPAparam!$AC$3)-(AW14-1024)*SIN(EchelleFPAparam!$AC$3)*EchelleFPAparam!$C$3/EchelleFPAparam!$E$3))</f>
        <v>1489.4442358504596</v>
      </c>
      <c r="DZ14" s="26">
        <f>(EchelleFPAparam!$S$3/($U14+I$53)*COS((AX14-EchelleFPAparam!$AE10)*EchelleFPAparam!$C$3/EchelleFPAparam!$E$3))*(SIN('Standard Settings'!$F9)+SIN('Standard Settings'!$F9+EchelleFPAparam!$M$3+EchelleFPAparam!$I$3*EchelleFPAparam!$B$6*COS(EchelleFPAparam!$AC$3)-(AX14-1024)*SIN(EchelleFPAparam!$AC$3)*EchelleFPAparam!$C$3/EchelleFPAparam!$E$3))</f>
        <v>1451.2585733556746</v>
      </c>
      <c r="EA14" s="26">
        <f>(EchelleFPAparam!$S$3/($U14+J$53)*COS((AY14-EchelleFPAparam!$AE10)*EchelleFPAparam!$C$3/EchelleFPAparam!$E$3))*(SIN('Standard Settings'!$F9)+SIN('Standard Settings'!$F9+EchelleFPAparam!$M$3+EchelleFPAparam!$I$3*EchelleFPAparam!$B$6*COS(EchelleFPAparam!$AC$3)-(AY14-1024)*SIN(EchelleFPAparam!$AC$3)*EchelleFPAparam!$C$3/EchelleFPAparam!$E$3))</f>
        <v>1414.5137542036375</v>
      </c>
      <c r="EB14" s="26">
        <f>(EchelleFPAparam!$S$3/($U14+K$53)*COS((AZ14-EchelleFPAparam!$AE10)*EchelleFPAparam!$C$3/EchelleFPAparam!$E$3))*(SIN('Standard Settings'!$F9)+SIN('Standard Settings'!$F9+EchelleFPAparam!$M$3+EchelleFPAparam!$I$3*EchelleFPAparam!$B$6*COS(EchelleFPAparam!$AC$3)-(AZ14-1024)*SIN(EchelleFPAparam!$AC$3)*EchelleFPAparam!$C$3/EchelleFPAparam!$E$3))</f>
        <v>1380.0134187352562</v>
      </c>
      <c r="EC14" s="26">
        <f>(EchelleFPAparam!$S$3/($U14+B$53)*COS((BA14-EchelleFPAparam!$AE10)*EchelleFPAparam!$C$3/EchelleFPAparam!$E$3))*(SIN('Standard Settings'!$F9)+SIN('Standard Settings'!$F9+EchelleFPAparam!$M$3+EchelleFPAparam!$J$3*EchelleFPAparam!$B$6*COS(EchelleFPAparam!$AC$3)-(BA14-1024)*SIN(EchelleFPAparam!$AC$3)*EchelleFPAparam!$C$3/EchelleFPAparam!$E$3))</f>
        <v>1769.1520953329941</v>
      </c>
      <c r="ED14" s="26">
        <f>(EchelleFPAparam!$S$3/($U14+C$53)*COS((BB14-EchelleFPAparam!$AE10)*EchelleFPAparam!$C$3/EchelleFPAparam!$E$3))*(SIN('Standard Settings'!$F9)+SIN('Standard Settings'!$F9+EchelleFPAparam!$M$3+EchelleFPAparam!$J$3*EchelleFPAparam!$B$6*COS(EchelleFPAparam!$AC$3)-(BB14-1024)*SIN(EchelleFPAparam!$AC$3)*EchelleFPAparam!$C$3/EchelleFPAparam!$E$3))</f>
        <v>1715.653476665618</v>
      </c>
      <c r="EE14" s="26">
        <f>(EchelleFPAparam!$S$3/($U14+D$53)*COS((BC14-EchelleFPAparam!$AE10)*EchelleFPAparam!$C$3/EchelleFPAparam!$E$3))*(SIN('Standard Settings'!$F9)+SIN('Standard Settings'!$F9+EchelleFPAparam!$M$3+EchelleFPAparam!$J$3*EchelleFPAparam!$B$6*COS(EchelleFPAparam!$AC$3)-(BC14-1024)*SIN(EchelleFPAparam!$AC$3)*EchelleFPAparam!$C$3/EchelleFPAparam!$E$3))</f>
        <v>1665.2768430790154</v>
      </c>
      <c r="EF14" s="26">
        <f>(EchelleFPAparam!$S$3/($U14+E$53)*COS((BD14-EchelleFPAparam!$AE10)*EchelleFPAparam!$C$3/EchelleFPAparam!$E$3))*(SIN('Standard Settings'!$F9)+SIN('Standard Settings'!$F9+EchelleFPAparam!$M$3+EchelleFPAparam!$J$3*EchelleFPAparam!$B$6*COS(EchelleFPAparam!$AC$3)-(BD14-1024)*SIN(EchelleFPAparam!$AC$3)*EchelleFPAparam!$C$3/EchelleFPAparam!$E$3))</f>
        <v>1617.7583327255859</v>
      </c>
      <c r="EG14" s="26">
        <f>(EchelleFPAparam!$S$3/($U14+F$53)*COS((BE14-EchelleFPAparam!$AE10)*EchelleFPAparam!$C$3/EchelleFPAparam!$E$3))*(SIN('Standard Settings'!$F9)+SIN('Standard Settings'!$F9+EchelleFPAparam!$M$3+EchelleFPAparam!$J$3*EchelleFPAparam!$B$6*COS(EchelleFPAparam!$AC$3)-(BE14-1024)*SIN(EchelleFPAparam!$AC$3)*EchelleFPAparam!$C$3/EchelleFPAparam!$E$3))</f>
        <v>1572.8628597511008</v>
      </c>
      <c r="EH14" s="26">
        <f>(EchelleFPAparam!$S$3/($U14+G$53)*COS((BF14-EchelleFPAparam!$AE10)*EchelleFPAparam!$C$3/EchelleFPAparam!$E$3))*(SIN('Standard Settings'!$F9)+SIN('Standard Settings'!$F9+EchelleFPAparam!$M$3+EchelleFPAparam!$J$3*EchelleFPAparam!$B$6*COS(EchelleFPAparam!$AC$3)-(BF14-1024)*SIN(EchelleFPAparam!$AC$3)*EchelleFPAparam!$C$3/EchelleFPAparam!$E$3))</f>
        <v>1530.3802216280444</v>
      </c>
      <c r="EI14" s="26">
        <f>(EchelleFPAparam!$S$3/($U14+H$53)*COS((BG14-EchelleFPAparam!$AE10)*EchelleFPAparam!$C$3/EchelleFPAparam!$E$3))*(SIN('Standard Settings'!$F9)+SIN('Standard Settings'!$F9+EchelleFPAparam!$M$3+EchelleFPAparam!$J$3*EchelleFPAparam!$B$6*COS(EchelleFPAparam!$AC$3)-(BG14-1024)*SIN(EchelleFPAparam!$AC$3)*EchelleFPAparam!$C$3/EchelleFPAparam!$E$3))</f>
        <v>1490.1221221090309</v>
      </c>
      <c r="EJ14" s="26">
        <f>(EchelleFPAparam!$S$3/($U14+I$53)*COS((BH14-EchelleFPAparam!$AE10)*EchelleFPAparam!$C$3/EchelleFPAparam!$E$3))*(SIN('Standard Settings'!$F9)+SIN('Standard Settings'!$F9+EchelleFPAparam!$M$3+EchelleFPAparam!$J$3*EchelleFPAparam!$B$6*COS(EchelleFPAparam!$AC$3)-(BH14-1024)*SIN(EchelleFPAparam!$AC$3)*EchelleFPAparam!$C$3/EchelleFPAparam!$E$3))</f>
        <v>1451.9190224840945</v>
      </c>
      <c r="EK14" s="26">
        <f>(EchelleFPAparam!$S$3/($U14+J$53)*COS((BI14-EchelleFPAparam!$AE10)*EchelleFPAparam!$C$3/EchelleFPAparam!$E$3))*(SIN('Standard Settings'!$F9)+SIN('Standard Settings'!$F9+EchelleFPAparam!$M$3+EchelleFPAparam!$J$3*EchelleFPAparam!$B$6*COS(EchelleFPAparam!$AC$3)-(BI14-1024)*SIN(EchelleFPAparam!$AC$3)*EchelleFPAparam!$C$3/EchelleFPAparam!$E$3))</f>
        <v>1415.1583378818448</v>
      </c>
      <c r="EL14" s="26">
        <f>(EchelleFPAparam!$S$3/($U14+K$53)*COS((BJ14-EchelleFPAparam!$AE10)*EchelleFPAparam!$C$3/EchelleFPAparam!$E$3))*(SIN('Standard Settings'!$F9)+SIN('Standard Settings'!$F9+EchelleFPAparam!$M$3+EchelleFPAparam!$J$3*EchelleFPAparam!$B$6*COS(EchelleFPAparam!$AC$3)-(BJ14-1024)*SIN(EchelleFPAparam!$AC$3)*EchelleFPAparam!$C$3/EchelleFPAparam!$E$3))</f>
        <v>1380.6422808603363</v>
      </c>
      <c r="EM14" s="26">
        <f>(EchelleFPAparam!$S$3/($U14+B$53)*COS((BA14-EchelleFPAparam!$AE10)*EchelleFPAparam!$C$3/EchelleFPAparam!$E$3))*(SIN('Standard Settings'!$F9)+SIN('Standard Settings'!$F9+EchelleFPAparam!$M$3+EchelleFPAparam!$K$3*EchelleFPAparam!$B$6*COS(EchelleFPAparam!$AC$3)-(BA14-1024)*SIN(EchelleFPAparam!$AC$3)*EchelleFPAparam!$C$3/EchelleFPAparam!$E$3))</f>
        <v>1779.9893646570486</v>
      </c>
      <c r="EN14" s="26">
        <f>(EchelleFPAparam!$S$3/($U14+C$53)*COS((BB14-EchelleFPAparam!$AE10)*EchelleFPAparam!$C$3/EchelleFPAparam!$E$3))*(SIN('Standard Settings'!$F9)+SIN('Standard Settings'!$F9+EchelleFPAparam!$M$3+EchelleFPAparam!$K$3*EchelleFPAparam!$B$6*COS(EchelleFPAparam!$AC$3)-(BB14-1024)*SIN(EchelleFPAparam!$AC$3)*EchelleFPAparam!$C$3/EchelleFPAparam!$E$3))</f>
        <v>1726.1610648276408</v>
      </c>
      <c r="EO14" s="26">
        <f>(EchelleFPAparam!$S$3/($U14+D$53)*COS((BC14-EchelleFPAparam!$AE10)*EchelleFPAparam!$C$3/EchelleFPAparam!$E$3))*(SIN('Standard Settings'!$F9)+SIN('Standard Settings'!$F9+EchelleFPAparam!$M$3+EchelleFPAparam!$K$3*EchelleFPAparam!$B$6*COS(EchelleFPAparam!$AC$3)-(BC14-1024)*SIN(EchelleFPAparam!$AC$3)*EchelleFPAparam!$C$3/EchelleFPAparam!$E$3))</f>
        <v>1675.4741093765758</v>
      </c>
      <c r="EP14" s="26">
        <f>(EchelleFPAparam!$S$3/($U14+E$53)*COS((BD14-EchelleFPAparam!$AE10)*EchelleFPAparam!$C$3/EchelleFPAparam!$E$3))*(SIN('Standard Settings'!$F9)+SIN('Standard Settings'!$F9+EchelleFPAparam!$M$3+EchelleFPAparam!$K$3*EchelleFPAparam!$B$6*COS(EchelleFPAparam!$AC$3)-(BD14-1024)*SIN(EchelleFPAparam!$AC$3)*EchelleFPAparam!$C$3/EchelleFPAparam!$E$3))</f>
        <v>1627.6629905326363</v>
      </c>
      <c r="EQ14" s="26">
        <f>(EchelleFPAparam!$S$3/($U14+F$53)*COS((BE14-EchelleFPAparam!$AE10)*EchelleFPAparam!$C$3/EchelleFPAparam!$E$3))*(SIN('Standard Settings'!$F9)+SIN('Standard Settings'!$F9+EchelleFPAparam!$M$3+EchelleFPAparam!$K$3*EchelleFPAparam!$B$6*COS(EchelleFPAparam!$AC$3)-(BE14-1024)*SIN(EchelleFPAparam!$AC$3)*EchelleFPAparam!$C$3/EchelleFPAparam!$E$3))</f>
        <v>1582.4911561124291</v>
      </c>
      <c r="ER14" s="26">
        <f>(EchelleFPAparam!$S$3/($U14+G$53)*COS((BF14-EchelleFPAparam!$AE10)*EchelleFPAparam!$C$3/EchelleFPAparam!$E$3))*(SIN('Standard Settings'!$F9)+SIN('Standard Settings'!$F9+EchelleFPAparam!$M$3+EchelleFPAparam!$K$3*EchelleFPAparam!$B$6*COS(EchelleFPAparam!$AC$3)-(BF14-1024)*SIN(EchelleFPAparam!$AC$3)*EchelleFPAparam!$C$3/EchelleFPAparam!$E$3))</f>
        <v>1539.7470962274567</v>
      </c>
      <c r="ES14" s="26">
        <f>(EchelleFPAparam!$S$3/($U14+H$53)*COS((BG14-EchelleFPAparam!$AE10)*EchelleFPAparam!$C$3/EchelleFPAparam!$E$3))*(SIN('Standard Settings'!$F9)+SIN('Standard Settings'!$F9+EchelleFPAparam!$M$3+EchelleFPAparam!$K$3*EchelleFPAparam!$B$6*COS(EchelleFPAparam!$AC$3)-(BG14-1024)*SIN(EchelleFPAparam!$AC$3)*EchelleFPAparam!$C$3/EchelleFPAparam!$E$3))</f>
        <v>1499.2413333482177</v>
      </c>
      <c r="ET14" s="26">
        <f>(EchelleFPAparam!$S$3/($U14+I$53)*COS((BH14-EchelleFPAparam!$AE10)*EchelleFPAparam!$C$3/EchelleFPAparam!$E$3))*(SIN('Standard Settings'!$F9)+SIN('Standard Settings'!$F9+EchelleFPAparam!$M$3+EchelleFPAparam!$K$3*EchelleFPAparam!$B$6*COS(EchelleFPAparam!$AC$3)-(BH14-1024)*SIN(EchelleFPAparam!$AC$3)*EchelleFPAparam!$C$3/EchelleFPAparam!$E$3))</f>
        <v>1460.8032565962089</v>
      </c>
      <c r="EU14" s="26">
        <f>(EchelleFPAparam!$S$3/($U14+J$53)*COS((BI14-EchelleFPAparam!$AE10)*EchelleFPAparam!$C$3/EchelleFPAparam!$E$3))*(SIN('Standard Settings'!$F9)+SIN('Standard Settings'!$F9+EchelleFPAparam!$M$3+EchelleFPAparam!$K$3*EchelleFPAparam!$B$6*COS(EchelleFPAparam!$AC$3)-(BI14-1024)*SIN(EchelleFPAparam!$AC$3)*EchelleFPAparam!$C$3/EchelleFPAparam!$E$3))</f>
        <v>1423.8294916382827</v>
      </c>
      <c r="EV14" s="26">
        <f>(EchelleFPAparam!$S$3/($U14+K$53)*COS((BJ14-EchelleFPAparam!$AE10)*EchelleFPAparam!$C$3/EchelleFPAparam!$E$3))*(SIN('Standard Settings'!$F9)+SIN('Standard Settings'!$F9+EchelleFPAparam!$M$3+EchelleFPAparam!$K$3*EchelleFPAparam!$B$6*COS(EchelleFPAparam!$AC$3)-(BJ14-1024)*SIN(EchelleFPAparam!$AC$3)*EchelleFPAparam!$C$3/EchelleFPAparam!$E$3))</f>
        <v>1389.1019430617393</v>
      </c>
      <c r="EW14" s="60">
        <f t="shared" si="40"/>
        <v>1431.4226325380616</v>
      </c>
      <c r="EX14" s="60">
        <f t="shared" si="20"/>
        <v>1779.9893646570486</v>
      </c>
      <c r="EY14" s="90">
        <v>0.39</v>
      </c>
      <c r="EZ14" s="90">
        <v>0.36</v>
      </c>
      <c r="FA14" s="50">
        <v>30000</v>
      </c>
      <c r="FB14" s="50">
        <v>5000</v>
      </c>
      <c r="FC14" s="50">
        <v>5000</v>
      </c>
      <c r="FD14" s="50">
        <v>10000</v>
      </c>
      <c r="FE14" s="95">
        <v>100</v>
      </c>
      <c r="FF14" s="50">
        <v>5000</v>
      </c>
      <c r="FG14" s="50">
        <v>435</v>
      </c>
      <c r="FH14" s="50">
        <f t="shared" si="27"/>
        <v>1250</v>
      </c>
      <c r="FI14" s="50">
        <f t="shared" si="28"/>
        <v>1250</v>
      </c>
      <c r="FJ14" s="50">
        <f t="shared" si="29"/>
        <v>2500</v>
      </c>
      <c r="FK14" s="95">
        <f t="shared" si="30"/>
        <v>25</v>
      </c>
      <c r="FL14" s="50">
        <f t="shared" si="31"/>
        <v>1250</v>
      </c>
      <c r="FM14" s="50">
        <f t="shared" si="32"/>
        <v>108.75</v>
      </c>
      <c r="FN14" s="50">
        <v>500</v>
      </c>
      <c r="FO14" s="91">
        <f>1/(F14*EchelleFPAparam!$Q$3)</f>
        <v>-7715.7376175742547</v>
      </c>
      <c r="FP14" s="91">
        <f t="shared" si="22"/>
        <v>-38.179042748508529</v>
      </c>
      <c r="FQ14" s="50">
        <v>-999999</v>
      </c>
      <c r="FR14" s="50">
        <v>-999999</v>
      </c>
      <c r="FS14" s="90">
        <v>1</v>
      </c>
      <c r="FT14" s="90">
        <v>674.29600000000005</v>
      </c>
      <c r="FU14" s="90">
        <v>1836.049</v>
      </c>
      <c r="FV14" s="50">
        <v>-999999</v>
      </c>
      <c r="FW14" s="50">
        <v>-999999</v>
      </c>
      <c r="FX14" s="50">
        <v>-999999</v>
      </c>
      <c r="FY14" s="90">
        <v>2</v>
      </c>
      <c r="FZ14" s="90">
        <v>1181.7429999999999</v>
      </c>
      <c r="GA14" s="90">
        <v>1158.825</v>
      </c>
      <c r="GB14" s="50">
        <v>-999999</v>
      </c>
      <c r="GC14" s="50">
        <v>-999999</v>
      </c>
      <c r="GD14" s="50">
        <v>-999999</v>
      </c>
      <c r="GE14" s="50">
        <v>-999999</v>
      </c>
      <c r="GF14" s="50">
        <v>-999999</v>
      </c>
      <c r="GG14" s="50">
        <v>-999999</v>
      </c>
      <c r="GH14" s="50">
        <v>-999999</v>
      </c>
      <c r="GI14" s="50">
        <v>-999999</v>
      </c>
      <c r="GJ14" s="50">
        <v>-999999</v>
      </c>
      <c r="GK14" s="50">
        <v>-999999</v>
      </c>
      <c r="GL14" s="50">
        <v>-999999</v>
      </c>
      <c r="GM14" s="50">
        <v>-999999</v>
      </c>
      <c r="GN14" s="50">
        <v>-999999</v>
      </c>
      <c r="GO14" s="50">
        <v>-999999</v>
      </c>
      <c r="GP14" s="50">
        <v>-999999</v>
      </c>
      <c r="GQ14" s="50">
        <v>-999999</v>
      </c>
      <c r="GR14" s="50">
        <v>-999999</v>
      </c>
      <c r="GS14" s="50">
        <v>-999999</v>
      </c>
      <c r="GT14" s="50">
        <v>-999999</v>
      </c>
      <c r="GU14" s="50">
        <v>-999999</v>
      </c>
      <c r="GV14" s="50">
        <v>-999999</v>
      </c>
      <c r="GW14" s="50">
        <v>-999999</v>
      </c>
      <c r="GX14" s="50">
        <v>-999999</v>
      </c>
      <c r="GY14" s="50">
        <v>-999999</v>
      </c>
      <c r="GZ14" s="50">
        <v>-999999</v>
      </c>
      <c r="HA14" s="50">
        <v>-999999</v>
      </c>
      <c r="HB14" s="50">
        <v>-999999</v>
      </c>
      <c r="HC14" s="50">
        <v>-999999</v>
      </c>
      <c r="HD14" s="50">
        <v>-999999</v>
      </c>
      <c r="HE14" s="50">
        <v>-999999</v>
      </c>
      <c r="HF14" s="50">
        <v>-999999</v>
      </c>
      <c r="HG14" s="50">
        <v>-999999</v>
      </c>
      <c r="HH14" s="50">
        <v>-999999</v>
      </c>
      <c r="HI14" s="50">
        <v>-999999</v>
      </c>
      <c r="HJ14" s="50">
        <v>-999999</v>
      </c>
      <c r="HK14" s="50">
        <v>-999999</v>
      </c>
      <c r="HL14" s="50">
        <v>-999999</v>
      </c>
      <c r="HM14" s="50">
        <v>-999999</v>
      </c>
      <c r="HN14" s="50">
        <v>-999999</v>
      </c>
      <c r="HO14" s="50">
        <v>-999999</v>
      </c>
      <c r="HP14" s="50">
        <v>-999999</v>
      </c>
      <c r="HQ14" s="50">
        <v>-999999</v>
      </c>
      <c r="HR14" s="50">
        <v>-999999</v>
      </c>
      <c r="HS14" s="50">
        <v>-999999</v>
      </c>
      <c r="HT14" s="50">
        <v>-999999</v>
      </c>
      <c r="HU14" s="50">
        <v>-999999</v>
      </c>
      <c r="HV14" s="50">
        <v>-999999</v>
      </c>
      <c r="HW14" s="50">
        <v>-999999</v>
      </c>
      <c r="HX14" s="50">
        <v>-999999</v>
      </c>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2">
        <f t="shared" si="23"/>
        <v>2749.8561797891407</v>
      </c>
      <c r="JX14" s="27">
        <f t="shared" si="24"/>
        <v>316700.6589205995</v>
      </c>
      <c r="JY14" s="107">
        <f>JW14*EchelleFPAparam!$Q$3</f>
        <v>-2.6192380112491562E-2</v>
      </c>
      <c r="KA14" s="19"/>
      <c r="KB14" s="19"/>
      <c r="KC14" s="19"/>
      <c r="KD14" s="19"/>
      <c r="KE14" s="19"/>
      <c r="KF14" s="19"/>
      <c r="KG14" s="19"/>
      <c r="KH14" s="19"/>
      <c r="KI14" s="19"/>
      <c r="KJ14" s="19"/>
      <c r="KK14" s="19"/>
      <c r="KL14" s="19"/>
      <c r="KM14" s="19"/>
      <c r="KW14" s="19"/>
      <c r="KX14" s="19"/>
      <c r="KY14" s="19"/>
      <c r="KZ14" s="19"/>
      <c r="LA14" s="19"/>
      <c r="LB14" s="19"/>
      <c r="LC14" s="19"/>
      <c r="LD14" s="19"/>
      <c r="LE14" s="19"/>
      <c r="LF14" s="19"/>
    </row>
    <row r="15" spans="1:318" x14ac:dyDescent="0.2">
      <c r="A15" s="53">
        <f t="shared" si="35"/>
        <v>9</v>
      </c>
      <c r="B15" s="96">
        <f t="shared" si="0"/>
        <v>1559.2452847945824</v>
      </c>
      <c r="C15" s="27" t="str">
        <f>'Standard Settings'!B10</f>
        <v>H/4/4</v>
      </c>
      <c r="D15" s="27">
        <f>'Standard Settings'!H10</f>
        <v>36</v>
      </c>
      <c r="E15" s="19">
        <f t="shared" si="1"/>
        <v>5.040485969424191E-3</v>
      </c>
      <c r="F15" s="18">
        <f>((EchelleFPAparam!$S$3/('crmcfgWLEN.txt'!$U15+F$53))*(SIN('Standard Settings'!$F10+0.0005)+SIN('Standard Settings'!$F10+0.0005+EchelleFPAparam!$M$3))-(EchelleFPAparam!$S$3/('crmcfgWLEN.txt'!$U15+F$53))*(SIN('Standard Settings'!$F10-0.0005)+SIN('Standard Settings'!$F10-0.0005+EchelleFPAparam!$M$3)))*1000*EchelleFPAparam!$O$3/180</f>
        <v>13.878982133250743</v>
      </c>
      <c r="G15" s="20" t="str">
        <f>'Standard Settings'!C10</f>
        <v>H</v>
      </c>
      <c r="H15" s="46"/>
      <c r="I15" s="59" t="s">
        <v>693</v>
      </c>
      <c r="J15" s="57"/>
      <c r="K15" s="27" t="str">
        <f>'Standard Settings'!$D10</f>
        <v>HK</v>
      </c>
      <c r="L15" s="46"/>
      <c r="M15" s="12">
        <v>2.5</v>
      </c>
      <c r="N15" s="12">
        <v>2.5</v>
      </c>
      <c r="O15" s="27" t="str">
        <f>'Standard Settings'!$D10</f>
        <v>HK</v>
      </c>
      <c r="P15" s="46"/>
      <c r="Q15" s="27">
        <f>'Standard Settings'!$E10</f>
        <v>64.582149999999999</v>
      </c>
      <c r="R15" s="106">
        <f>'Standard Settings'!$J10</f>
        <v>610000</v>
      </c>
      <c r="S15" s="21">
        <f>'Standard Settings'!$G10</f>
        <v>32</v>
      </c>
      <c r="T15" s="21">
        <f>'Standard Settings'!$I10</f>
        <v>39</v>
      </c>
      <c r="U15" s="22">
        <f t="shared" si="25"/>
        <v>32</v>
      </c>
      <c r="V15" s="22">
        <f t="shared" si="26"/>
        <v>41</v>
      </c>
      <c r="W15" s="23">
        <f>IF(AND($U15-$S15+B$53&gt;=0,$U15-$T15+B$53&lt;=0),(EchelleFPAparam!$S$3/('crmcfgWLEN.txt'!$U15+B$53))*(SIN('Standard Settings'!$F10)+SIN('Standard Settings'!$F10+EchelleFPAparam!$M$3)),-1)</f>
        <v>1754.1509453939052</v>
      </c>
      <c r="X15" s="23">
        <f>IF(AND($U15-$S15+C$53&gt;=0,$U15-$T15+C$53&lt;=0),(EchelleFPAparam!$S$3/('crmcfgWLEN.txt'!$U15+C$53))*(SIN('Standard Settings'!$F10)+SIN('Standard Settings'!$F10+EchelleFPAparam!$M$3)),-1)</f>
        <v>1700.9948561395445</v>
      </c>
      <c r="Y15" s="23">
        <f>IF(AND($U15-$S15+D$53&gt;=0,$U15-$T15+D$53&lt;=0),(EchelleFPAparam!$S$3/('crmcfgWLEN.txt'!$U15+D$53))*(SIN('Standard Settings'!$F10)+SIN('Standard Settings'!$F10+EchelleFPAparam!$M$3)),-1)</f>
        <v>1650.9655956648519</v>
      </c>
      <c r="Z15" s="23">
        <f>IF(AND($U15-$S15+E$53&gt;=0,$U15-$T15+E$53&lt;=0),(EchelleFPAparam!$S$3/('crmcfgWLEN.txt'!$U15+E$53))*(SIN('Standard Settings'!$F10)+SIN('Standard Settings'!$F10+EchelleFPAparam!$M$3)),-1)</f>
        <v>1603.7951500744277</v>
      </c>
      <c r="AA15" s="23">
        <f>IF(AND($U15-$S15+F$53&gt;=0,$U15-$T15+F$53&lt;=0),(EchelleFPAparam!$S$3/('crmcfgWLEN.txt'!$U15+F$53))*(SIN('Standard Settings'!$F10)+SIN('Standard Settings'!$F10+EchelleFPAparam!$M$3)),-1)</f>
        <v>1559.2452847945824</v>
      </c>
      <c r="AB15" s="23">
        <f>IF(AND($U15-$S15+G$53&gt;=0,$U15-$T15+G$53&lt;=0),(EchelleFPAparam!$S$3/('crmcfgWLEN.txt'!$U15+G$53))*(SIN('Standard Settings'!$F10)+SIN('Standard Settings'!$F10+EchelleFPAparam!$M$3)),-1)</f>
        <v>1517.1035203406748</v>
      </c>
      <c r="AC15" s="23">
        <f>IF(AND($U15-$S15+H$53&gt;=0,$U15-$T15+H$53&lt;=0),(EchelleFPAparam!$S$3/('crmcfgWLEN.txt'!$U15+H$53))*(SIN('Standard Settings'!$F10)+SIN('Standard Settings'!$F10+EchelleFPAparam!$M$3)),-1)</f>
        <v>1477.1797434896043</v>
      </c>
      <c r="AD15" s="23">
        <f>IF(AND($U15-$S15+I$53&gt;=0,$U15-$T15+I$53&lt;=0),(EchelleFPAparam!$S$3/('crmcfgWLEN.txt'!$U15+I$53))*(SIN('Standard Settings'!$F10)+SIN('Standard Settings'!$F10+EchelleFPAparam!$M$3)),-1)</f>
        <v>1439.3033398103837</v>
      </c>
      <c r="AE15" s="23">
        <f>IF(AND($U15-$S15+J$53&gt;=0,$U15-$T15+J$53&lt;=0),(EchelleFPAparam!$S$3/('crmcfgWLEN.txt'!$U15+J$53))*(SIN('Standard Settings'!$F10)+SIN('Standard Settings'!$F10+EchelleFPAparam!$M$3)),-1)</f>
        <v>-1</v>
      </c>
      <c r="AF15" s="23">
        <f>IF(AND($U15-$S15+K$53&gt;=0,$U15-$T15+K$53&lt;=0),(EchelleFPAparam!$S$3/('crmcfgWLEN.txt'!$U15+K$53))*(SIN('Standard Settings'!$F10)+SIN('Standard Settings'!$F10+EchelleFPAparam!$M$3)),-1)</f>
        <v>-1</v>
      </c>
      <c r="AG15" s="112">
        <v>397.29645816375802</v>
      </c>
      <c r="AH15" s="112">
        <v>682.66153076102103</v>
      </c>
      <c r="AI15" s="112">
        <v>949.33755137124399</v>
      </c>
      <c r="AJ15" s="112">
        <v>1200.05875991725</v>
      </c>
      <c r="AK15" s="112">
        <v>1435.2298646458601</v>
      </c>
      <c r="AL15" s="112">
        <v>1657.45128439938</v>
      </c>
      <c r="AM15" s="112">
        <v>1868.86999522733</v>
      </c>
      <c r="AN15" s="112">
        <v>2070</v>
      </c>
      <c r="AO15" s="131">
        <v>-100.1</v>
      </c>
      <c r="AP15" s="131">
        <v>-100.1</v>
      </c>
      <c r="AQ15" s="112">
        <v>382.58517054841099</v>
      </c>
      <c r="AR15" s="112">
        <v>669.99831373144104</v>
      </c>
      <c r="AS15" s="112">
        <v>939.25751192870098</v>
      </c>
      <c r="AT15" s="112">
        <v>1191.4348030811</v>
      </c>
      <c r="AU15" s="112">
        <v>1428.69270621537</v>
      </c>
      <c r="AV15" s="112">
        <v>1651.75181744467</v>
      </c>
      <c r="AW15" s="112">
        <v>1865.0089710443001</v>
      </c>
      <c r="AX15" s="112">
        <v>2070</v>
      </c>
      <c r="AY15" s="130">
        <v>-100.1</v>
      </c>
      <c r="AZ15" s="130">
        <v>-100.1</v>
      </c>
      <c r="BA15" s="112">
        <v>368.668739216463</v>
      </c>
      <c r="BB15" s="112">
        <v>658.45735138529096</v>
      </c>
      <c r="BC15" s="112">
        <v>929.67453087304</v>
      </c>
      <c r="BD15" s="112">
        <v>1184.40220738266</v>
      </c>
      <c r="BE15" s="112">
        <v>1424.12999497293</v>
      </c>
      <c r="BF15" s="112">
        <v>1649.6627759267501</v>
      </c>
      <c r="BG15" s="112">
        <v>1863.2871129970999</v>
      </c>
      <c r="BH15" s="112">
        <v>2070</v>
      </c>
      <c r="BI15" s="132">
        <v>-100.1</v>
      </c>
      <c r="BJ15" s="132">
        <v>-100.1</v>
      </c>
      <c r="BK15" s="24">
        <f>EchelleFPAparam!$S$3/('crmcfgWLEN.txt'!$U15+B$53)*(SIN(EchelleFPAparam!$T$3-EchelleFPAparam!$M$3/2)+SIN('Standard Settings'!$F10+EchelleFPAparam!$M$3))</f>
        <v>1759.8331648184264</v>
      </c>
      <c r="BL15" s="24">
        <f>EchelleFPAparam!$S$3/('crmcfgWLEN.txt'!$U15+C$53)*(SIN(EchelleFPAparam!$T$3-EchelleFPAparam!$M$3/2)+SIN('Standard Settings'!$F10+EchelleFPAparam!$M$3))</f>
        <v>1706.5048870966559</v>
      </c>
      <c r="BM15" s="24">
        <f>EchelleFPAparam!$S$3/('crmcfgWLEN.txt'!$U15+D$53)*(SIN(EchelleFPAparam!$T$3-EchelleFPAparam!$M$3/2)+SIN('Standard Settings'!$F10+EchelleFPAparam!$M$3))</f>
        <v>1656.3135668879306</v>
      </c>
      <c r="BN15" s="24">
        <f>EchelleFPAparam!$S$3/('crmcfgWLEN.txt'!$U15+E$53)*(SIN(EchelleFPAparam!$T$3-EchelleFPAparam!$M$3/2)+SIN('Standard Settings'!$F10+EchelleFPAparam!$M$3))</f>
        <v>1608.9903221197042</v>
      </c>
      <c r="BO15" s="24">
        <f>EchelleFPAparam!$S$3/('crmcfgWLEN.txt'!$U15+F$53)*(SIN(EchelleFPAparam!$T$3-EchelleFPAparam!$M$3/2)+SIN('Standard Settings'!$F10+EchelleFPAparam!$M$3))</f>
        <v>1564.2961465052679</v>
      </c>
      <c r="BP15" s="24">
        <f>EchelleFPAparam!$S$3/('crmcfgWLEN.txt'!$U15+G$53)*(SIN(EchelleFPAparam!$T$3-EchelleFPAparam!$M$3/2)+SIN('Standard Settings'!$F10+EchelleFPAparam!$M$3))</f>
        <v>1522.0178722753958</v>
      </c>
      <c r="BQ15" s="24">
        <f>EchelleFPAparam!$S$3/('crmcfgWLEN.txt'!$U15+H$53)*(SIN(EchelleFPAparam!$T$3-EchelleFPAparam!$M$3/2)+SIN('Standard Settings'!$F10+EchelleFPAparam!$M$3))</f>
        <v>1481.9647703734117</v>
      </c>
      <c r="BR15" s="24">
        <f>EchelleFPAparam!$S$3/('crmcfgWLEN.txt'!$U15+I$53)*(SIN(EchelleFPAparam!$T$3-EchelleFPAparam!$M$3/2)+SIN('Standard Settings'!$F10+EchelleFPAparam!$M$3))</f>
        <v>1443.9656736971704</v>
      </c>
      <c r="BS15" s="24">
        <f>EchelleFPAparam!$S$3/('crmcfgWLEN.txt'!$U15+J$53)*(SIN(EchelleFPAparam!$T$3-EchelleFPAparam!$M$3/2)+SIN('Standard Settings'!$F10+EchelleFPAparam!$M$3))</f>
        <v>1407.8665318547412</v>
      </c>
      <c r="BT15" s="24">
        <f>EchelleFPAparam!$S$3/('crmcfgWLEN.txt'!$U15+K$53)*(SIN(EchelleFPAparam!$T$3-EchelleFPAparam!$M$3/2)+SIN('Standard Settings'!$F10+EchelleFPAparam!$M$3))</f>
        <v>1373.528323760723</v>
      </c>
      <c r="BU15" s="25">
        <f t="shared" si="33"/>
        <v>1735.7258611907766</v>
      </c>
      <c r="BV15" s="25">
        <f t="shared" si="2"/>
        <v>1683.751488602034</v>
      </c>
      <c r="BW15" s="25">
        <f t="shared" si="3"/>
        <v>1634.8030010841912</v>
      </c>
      <c r="BX15" s="25">
        <f t="shared" si="4"/>
        <v>1588.6233560169233</v>
      </c>
      <c r="BY15" s="25">
        <f t="shared" si="5"/>
        <v>1544.9838484002644</v>
      </c>
      <c r="BZ15" s="25">
        <f t="shared" si="6"/>
        <v>1503.6803075491862</v>
      </c>
      <c r="CA15" s="25">
        <f t="shared" si="7"/>
        <v>1464.5298907219599</v>
      </c>
      <c r="CB15" s="25">
        <f t="shared" si="8"/>
        <v>1427.3683671029501</v>
      </c>
      <c r="CC15" s="25">
        <f t="shared" si="9"/>
        <v>1392.0478067777217</v>
      </c>
      <c r="CD15" s="25">
        <f t="shared" si="10"/>
        <v>1358.4346059171985</v>
      </c>
      <c r="CE15" s="25">
        <f t="shared" si="34"/>
        <v>1784.6195474215028</v>
      </c>
      <c r="CF15" s="25">
        <f t="shared" si="11"/>
        <v>1729.8816663719526</v>
      </c>
      <c r="CG15" s="25">
        <f t="shared" si="12"/>
        <v>1678.3977477797698</v>
      </c>
      <c r="CH15" s="25">
        <f t="shared" si="13"/>
        <v>1629.8863003290508</v>
      </c>
      <c r="CI15" s="25">
        <f t="shared" si="14"/>
        <v>1584.0973635496384</v>
      </c>
      <c r="CJ15" s="25">
        <f t="shared" si="15"/>
        <v>1540.8082163775612</v>
      </c>
      <c r="CK15" s="25">
        <f t="shared" si="16"/>
        <v>1499.8197676068262</v>
      </c>
      <c r="CL15" s="25">
        <f t="shared" si="17"/>
        <v>1460.953505152431</v>
      </c>
      <c r="CM15" s="25">
        <f t="shared" si="18"/>
        <v>1424.0489057841062</v>
      </c>
      <c r="CN15" s="25">
        <f t="shared" si="19"/>
        <v>1388.9612262748885</v>
      </c>
      <c r="CO15" s="26">
        <f>(EchelleFPAparam!$S$3/($U15+B$53)*COS((AG15-EchelleFPAparam!$AE11)*EchelleFPAparam!$C$3/EchelleFPAparam!$E$3))*(SIN('Standard Settings'!$F10)+SIN('Standard Settings'!$F10+EchelleFPAparam!$M$3+(EchelleFPAparam!$F$3*EchelleFPAparam!$B$6)*COS(EchelleFPAparam!$AC$3)-(AG15-1024)*SIN(EchelleFPAparam!$AC$3)*EchelleFPAparam!$C$3/EchelleFPAparam!$E$3))</f>
        <v>1735.01824798692</v>
      </c>
      <c r="CP15" s="26">
        <f>(EchelleFPAparam!$S$3/($U15+C$53)*COS((AH15-EchelleFPAparam!$AE11)*EchelleFPAparam!$C$3/EchelleFPAparam!$E$3))*(SIN('Standard Settings'!$F10)+SIN('Standard Settings'!$F10+EchelleFPAparam!$M$3+(EchelleFPAparam!$F$3*EchelleFPAparam!$B$6)*COS(EchelleFPAparam!$AC$3)-(AH15-1024)*SIN(EchelleFPAparam!$AC$3)*EchelleFPAparam!$C$3/EchelleFPAparam!$E$3))</f>
        <v>1682.5494894376759</v>
      </c>
      <c r="CQ15" s="26">
        <f>(EchelleFPAparam!$S$3/($U15+D$53)*COS((AI15-EchelleFPAparam!$AE11)*EchelleFPAparam!$C$3/EchelleFPAparam!$E$3))*(SIN('Standard Settings'!$F10)+SIN('Standard Settings'!$F10+EchelleFPAparam!$M$3+(EchelleFPAparam!$F$3*EchelleFPAparam!$B$6)*COS(EchelleFPAparam!$AC$3)-(AI15-1024)*SIN(EchelleFPAparam!$AC$3)*EchelleFPAparam!$C$3/EchelleFPAparam!$E$3))</f>
        <v>1633.1432534908165</v>
      </c>
      <c r="CR15" s="26">
        <f>(EchelleFPAparam!$S$3/($U15+E$53)*COS((AJ15-EchelleFPAparam!$AE11)*EchelleFPAparam!$C$3/EchelleFPAparam!$E$3))*(SIN('Standard Settings'!$F10)+SIN('Standard Settings'!$F10+EchelleFPAparam!$M$3+(EchelleFPAparam!$F$3*EchelleFPAparam!$B$6)*COS(EchelleFPAparam!$AC$3)-(AJ15-1024)*SIN(EchelleFPAparam!$AC$3)*EchelleFPAparam!$C$3/EchelleFPAparam!$E$3))</f>
        <v>1586.5409655356045</v>
      </c>
      <c r="CS15" s="26">
        <f>(EchelleFPAparam!$S$3/($U15+F$53)*COS((AK15-EchelleFPAparam!$AE11)*EchelleFPAparam!$C$3/EchelleFPAparam!$E$3))*(SIN('Standard Settings'!$F10)+SIN('Standard Settings'!$F10+EchelleFPAparam!$M$3+(EchelleFPAparam!$F$3*EchelleFPAparam!$B$6)*COS(EchelleFPAparam!$AC$3)-(AK15-1024)*SIN(EchelleFPAparam!$AC$3)*EchelleFPAparam!$C$3/EchelleFPAparam!$E$3))</f>
        <v>1542.5116466364782</v>
      </c>
      <c r="CT15" s="26">
        <f>(EchelleFPAparam!$S$3/($U15+G$53)*COS((AL15-EchelleFPAparam!$AE11)*EchelleFPAparam!$C$3/EchelleFPAparam!$E$3))*(SIN('Standard Settings'!$F10)+SIN('Standard Settings'!$F10+EchelleFPAparam!$M$3+(EchelleFPAparam!$F$3*EchelleFPAparam!$B$6)*COS(EchelleFPAparam!$AC$3)-(AL15-1024)*SIN(EchelleFPAparam!$AC$3)*EchelleFPAparam!$C$3/EchelleFPAparam!$E$3))</f>
        <v>1500.8492675979628</v>
      </c>
      <c r="CU15" s="26">
        <f>(EchelleFPAparam!$S$3/($U15+H$53)*COS((AM15-EchelleFPAparam!$AE11)*EchelleFPAparam!$C$3/EchelleFPAparam!$E$3))*(SIN('Standard Settings'!$F10)+SIN('Standard Settings'!$F10+EchelleFPAparam!$M$3+(EchelleFPAparam!$F$3*EchelleFPAparam!$B$6)*COS(EchelleFPAparam!$AC$3)-(AM15-1024)*SIN(EchelleFPAparam!$AC$3)*EchelleFPAparam!$C$3/EchelleFPAparam!$E$3))</f>
        <v>1461.3688648338493</v>
      </c>
      <c r="CV15" s="26">
        <f>(EchelleFPAparam!$S$3/($U15+I$53)*COS((AN15-EchelleFPAparam!$AE11)*EchelleFPAparam!$C$3/EchelleFPAparam!$E$3))*(SIN('Standard Settings'!$F10)+SIN('Standard Settings'!$F10+EchelleFPAparam!$M$3+(EchelleFPAparam!$F$3*EchelleFPAparam!$B$6)*COS(EchelleFPAparam!$AC$3)-(AN15-1024)*SIN(EchelleFPAparam!$AC$3)*EchelleFPAparam!$C$3/EchelleFPAparam!$E$3))</f>
        <v>1423.9039819116977</v>
      </c>
      <c r="CW15" s="26">
        <f>(EchelleFPAparam!$S$3/($U15+J$53)*COS((AO15-EchelleFPAparam!$AE11)*EchelleFPAparam!$C$3/EchelleFPAparam!$E$3))*(SIN('Standard Settings'!$F10)+SIN('Standard Settings'!$F10+EchelleFPAparam!$M$3+(EchelleFPAparam!$F$3*EchelleFPAparam!$B$6)*COS(EchelleFPAparam!$AC$3)-(AO15-1024)*SIN(EchelleFPAparam!$AC$3)*EchelleFPAparam!$C$3/EchelleFPAparam!$E$3))</f>
        <v>1387.8216428562071</v>
      </c>
      <c r="CX15" s="26">
        <f>(EchelleFPAparam!$S$3/($U15+K$53)*COS((AP15-EchelleFPAparam!$AE11)*EchelleFPAparam!$C$3/EchelleFPAparam!$E$3))*(SIN('Standard Settings'!$F10)+SIN('Standard Settings'!$F10+EchelleFPAparam!$M$3+(EchelleFPAparam!$F$3*EchelleFPAparam!$B$6)*COS(EchelleFPAparam!$AC$3)-(AP15-1024)*SIN(EchelleFPAparam!$AC$3)*EchelleFPAparam!$C$3/EchelleFPAparam!$E$3))</f>
        <v>1353.9723344938607</v>
      </c>
      <c r="CY15" s="26">
        <f>(EchelleFPAparam!$S$3/($U15+B$53)*COS((AG15-EchelleFPAparam!$AE11)*EchelleFPAparam!$C$3/EchelleFPAparam!$E$3))*(SIN('Standard Settings'!$F10)+SIN('Standard Settings'!$F10+EchelleFPAparam!$M$3+EchelleFPAparam!$G$3*EchelleFPAparam!$B$6*COS(EchelleFPAparam!$AC$3)-(AG15-1024)*SIN(EchelleFPAparam!$AC$3)*EchelleFPAparam!$C$3/EchelleFPAparam!$E$3))</f>
        <v>1747.1933288518592</v>
      </c>
      <c r="CZ15" s="26">
        <f>(EchelleFPAparam!$S$3/($U15+C$53)*COS((AH15-EchelleFPAparam!$AE11)*EchelleFPAparam!$C$3/EchelleFPAparam!$E$3))*(SIN('Standard Settings'!$F10)+SIN('Standard Settings'!$F10+EchelleFPAparam!$M$3+EchelleFPAparam!$G$3*EchelleFPAparam!$B$6*COS(EchelleFPAparam!$AC$3)-(AH15-1024)*SIN(EchelleFPAparam!$AC$3)*EchelleFPAparam!$C$3/EchelleFPAparam!$E$3))</f>
        <v>1694.3544527026336</v>
      </c>
      <c r="DA15" s="26">
        <f>(EchelleFPAparam!$S$3/($U15+D$53)*COS((AI15-EchelleFPAparam!$AE11)*EchelleFPAparam!$C$3/EchelleFPAparam!$E$3))*(SIN('Standard Settings'!$F10)+SIN('Standard Settings'!$F10+EchelleFPAparam!$M$3+EchelleFPAparam!$G$3*EchelleFPAparam!$B$6*COS(EchelleFPAparam!$AC$3)-(AI15-1024)*SIN(EchelleFPAparam!$AC$3)*EchelleFPAparam!$C$3/EchelleFPAparam!$E$3))</f>
        <v>1644.5998258204656</v>
      </c>
      <c r="DB15" s="26">
        <f>(EchelleFPAparam!$S$3/($U15+E$53)*COS((AJ15-EchelleFPAparam!$AE11)*EchelleFPAparam!$C$3/EchelleFPAparam!$E$3))*(SIN('Standard Settings'!$F10)+SIN('Standard Settings'!$F10+EchelleFPAparam!$M$3+EchelleFPAparam!$G$3*EchelleFPAparam!$B$6*COS(EchelleFPAparam!$AC$3)-(AJ15-1024)*SIN(EchelleFPAparam!$AC$3)*EchelleFPAparam!$C$3/EchelleFPAparam!$E$3))</f>
        <v>1597.6690214984469</v>
      </c>
      <c r="DC15" s="26">
        <f>(EchelleFPAparam!$S$3/($U15+F$53)*COS((AK15-EchelleFPAparam!$AE11)*EchelleFPAparam!$C$3/EchelleFPAparam!$E$3))*(SIN('Standard Settings'!$F10)+SIN('Standard Settings'!$F10+EchelleFPAparam!$M$3+EchelleFPAparam!$G$3*EchelleFPAparam!$B$6*COS(EchelleFPAparam!$AC$3)-(AK15-1024)*SIN(EchelleFPAparam!$AC$3)*EchelleFPAparam!$C$3/EchelleFPAparam!$E$3))</f>
        <v>1553.3294209568724</v>
      </c>
      <c r="DD15" s="26">
        <f>(EchelleFPAparam!$S$3/($U15+G$53)*COS((AL15-EchelleFPAparam!$AE11)*EchelleFPAparam!$C$3/EchelleFPAparam!$E$3))*(SIN('Standard Settings'!$F10)+SIN('Standard Settings'!$F10+EchelleFPAparam!$M$3+EchelleFPAparam!$G$3*EchelleFPAparam!$B$6*COS(EchelleFPAparam!$AC$3)-(AL15-1024)*SIN(EchelleFPAparam!$AC$3)*EchelleFPAparam!$C$3/EchelleFPAparam!$E$3))</f>
        <v>1511.3735190254947</v>
      </c>
      <c r="DE15" s="26">
        <f>(EchelleFPAparam!$S$3/($U15+H$53)*COS((AM15-EchelleFPAparam!$AE11)*EchelleFPAparam!$C$3/EchelleFPAparam!$E$3))*(SIN('Standard Settings'!$F10)+SIN('Standard Settings'!$F10+EchelleFPAparam!$M$3+EchelleFPAparam!$G$3*EchelleFPAparam!$B$6*COS(EchelleFPAparam!$AC$3)-(AM15-1024)*SIN(EchelleFPAparam!$AC$3)*EchelleFPAparam!$C$3/EchelleFPAparam!$E$3))</f>
        <v>1471.6150298011862</v>
      </c>
      <c r="DF15" s="26">
        <f>(EchelleFPAparam!$S$3/($U15+I$53)*COS((AN15-EchelleFPAparam!$AE11)*EchelleFPAparam!$C$3/EchelleFPAparam!$E$3))*(SIN('Standard Settings'!$F10)+SIN('Standard Settings'!$F10+EchelleFPAparam!$M$3+EchelleFPAparam!$G$3*EchelleFPAparam!$B$6*COS(EchelleFPAparam!$AC$3)-(AN15-1024)*SIN(EchelleFPAparam!$AC$3)*EchelleFPAparam!$C$3/EchelleFPAparam!$E$3))</f>
        <v>1433.8863162463722</v>
      </c>
      <c r="DG15" s="26">
        <f>(EchelleFPAparam!$S$3/($U15+J$53)*COS((AO15-EchelleFPAparam!$AE11)*EchelleFPAparam!$C$3/EchelleFPAparam!$E$3))*(SIN('Standard Settings'!$F10)+SIN('Standard Settings'!$F10+EchelleFPAparam!$M$3+EchelleFPAparam!$G$3*EchelleFPAparam!$B$6*COS(EchelleFPAparam!$AC$3)-(AO15-1024)*SIN(EchelleFPAparam!$AC$3)*EchelleFPAparam!$C$3/EchelleFPAparam!$E$3))</f>
        <v>1397.5631290715482</v>
      </c>
      <c r="DH15" s="26">
        <f>(EchelleFPAparam!$S$3/($U15+K$53)*COS((AP15-EchelleFPAparam!$AE11)*EchelleFPAparam!$C$3/EchelleFPAparam!$E$3))*(SIN('Standard Settings'!$F10)+SIN('Standard Settings'!$F10+EchelleFPAparam!$M$3+EchelleFPAparam!$G$3*EchelleFPAparam!$B$6*COS(EchelleFPAparam!$AC$3)-(AP15-1024)*SIN(EchelleFPAparam!$AC$3)*EchelleFPAparam!$C$3/EchelleFPAparam!$E$3))</f>
        <v>1363.4762234844372</v>
      </c>
      <c r="DI15" s="26">
        <f>(EchelleFPAparam!$S$3/($U15+B$53)*COS((AQ15-EchelleFPAparam!$AE11)*EchelleFPAparam!$C$3/EchelleFPAparam!$E$3))*(SIN('Standard Settings'!$F10)+SIN('Standard Settings'!$F10+EchelleFPAparam!$M$3+EchelleFPAparam!$H$3*EchelleFPAparam!$B$6*COS(EchelleFPAparam!$AC$3)-(AQ15-1024)*SIN(EchelleFPAparam!$AC$3)*EchelleFPAparam!$C$3/EchelleFPAparam!$E$3))</f>
        <v>1748.0246850061487</v>
      </c>
      <c r="DJ15" s="26">
        <f>(EchelleFPAparam!$S$3/($U15+C$53)*COS((AR15-EchelleFPAparam!$AE11)*EchelleFPAparam!$C$3/EchelleFPAparam!$E$3))*(SIN('Standard Settings'!$F10)+SIN('Standard Settings'!$F10+EchelleFPAparam!$M$3+EchelleFPAparam!$H$3*EchelleFPAparam!$B$6*COS(EchelleFPAparam!$AC$3)-(AR15-1024)*SIN(EchelleFPAparam!$AC$3)*EchelleFPAparam!$C$3/EchelleFPAparam!$E$3))</f>
        <v>1695.1622398775178</v>
      </c>
      <c r="DK15" s="26">
        <f>(EchelleFPAparam!$S$3/($U15+D$53)*COS((AS15-EchelleFPAparam!$AE11)*EchelleFPAparam!$C$3/EchelleFPAparam!$E$3))*(SIN('Standard Settings'!$F10)+SIN('Standard Settings'!$F10+EchelleFPAparam!$M$3+EchelleFPAparam!$H$3*EchelleFPAparam!$B$6*COS(EchelleFPAparam!$AC$3)-(AS15-1024)*SIN(EchelleFPAparam!$AC$3)*EchelleFPAparam!$C$3/EchelleFPAparam!$E$3))</f>
        <v>1645.385251452833</v>
      </c>
      <c r="DL15" s="26">
        <f>(EchelleFPAparam!$S$3/($U15+E$53)*COS((AT15-EchelleFPAparam!$AE11)*EchelleFPAparam!$C$3/EchelleFPAparam!$E$3))*(SIN('Standard Settings'!$F10)+SIN('Standard Settings'!$F10+EchelleFPAparam!$M$3+EchelleFPAparam!$H$3*EchelleFPAparam!$B$6*COS(EchelleFPAparam!$AC$3)-(AT15-1024)*SIN(EchelleFPAparam!$AC$3)*EchelleFPAparam!$C$3/EchelleFPAparam!$E$3))</f>
        <v>1598.4327912282304</v>
      </c>
      <c r="DM15" s="26">
        <f>(EchelleFPAparam!$S$3/($U15+F$53)*COS((AU15-EchelleFPAparam!$AE11)*EchelleFPAparam!$C$3/EchelleFPAparam!$E$3))*(SIN('Standard Settings'!$F10)+SIN('Standard Settings'!$F10+EchelleFPAparam!$M$3+EchelleFPAparam!$H$3*EchelleFPAparam!$B$6*COS(EchelleFPAparam!$AC$3)-(AU15-1024)*SIN(EchelleFPAparam!$AC$3)*EchelleFPAparam!$C$3/EchelleFPAparam!$E$3))</f>
        <v>1554.0726430414677</v>
      </c>
      <c r="DN15" s="26">
        <f>(EchelleFPAparam!$S$3/($U15+G$53)*COS((AV15-EchelleFPAparam!$AE11)*EchelleFPAparam!$C$3/EchelleFPAparam!$E$3))*(SIN('Standard Settings'!$F10)+SIN('Standard Settings'!$F10+EchelleFPAparam!$M$3+EchelleFPAparam!$H$3*EchelleFPAparam!$B$6*COS(EchelleFPAparam!$AC$3)-(AV15-1024)*SIN(EchelleFPAparam!$AC$3)*EchelleFPAparam!$C$3/EchelleFPAparam!$E$3))</f>
        <v>1512.0969625735815</v>
      </c>
      <c r="DO15" s="26">
        <f>(EchelleFPAparam!$S$3/($U15+H$53)*COS((AW15-EchelleFPAparam!$AE11)*EchelleFPAparam!$C$3/EchelleFPAparam!$E$3))*(SIN('Standard Settings'!$F10)+SIN('Standard Settings'!$F10+EchelleFPAparam!$M$3+EchelleFPAparam!$H$3*EchelleFPAparam!$B$6*COS(EchelleFPAparam!$AC$3)-(AW15-1024)*SIN(EchelleFPAparam!$AC$3)*EchelleFPAparam!$C$3/EchelleFPAparam!$E$3))</f>
        <v>1472.3196933417396</v>
      </c>
      <c r="DP15" s="26">
        <f>(EchelleFPAparam!$S$3/($U15+I$53)*COS((AX15-EchelleFPAparam!$AE11)*EchelleFPAparam!$C$3/EchelleFPAparam!$E$3))*(SIN('Standard Settings'!$F10)+SIN('Standard Settings'!$F10+EchelleFPAparam!$M$3+EchelleFPAparam!$H$3*EchelleFPAparam!$B$6*COS(EchelleFPAparam!$AC$3)-(AX15-1024)*SIN(EchelleFPAparam!$AC$3)*EchelleFPAparam!$C$3/EchelleFPAparam!$E$3))</f>
        <v>1434.5730081986203</v>
      </c>
      <c r="DQ15" s="26">
        <f>(EchelleFPAparam!$S$3/($U15+J$53)*COS((AY15-EchelleFPAparam!$AE11)*EchelleFPAparam!$C$3/EchelleFPAparam!$E$3))*(SIN('Standard Settings'!$F10)+SIN('Standard Settings'!$F10+EchelleFPAparam!$M$3+EchelleFPAparam!$H$3*EchelleFPAparam!$B$6*COS(EchelleFPAparam!$AC$3)-(AY15-1024)*SIN(EchelleFPAparam!$AC$3)*EchelleFPAparam!$C$3/EchelleFPAparam!$E$3))</f>
        <v>1398.2332750494786</v>
      </c>
      <c r="DR15" s="26">
        <f>(EchelleFPAparam!$S$3/($U15+K$53)*COS((AZ15-EchelleFPAparam!$AE11)*EchelleFPAparam!$C$3/EchelleFPAparam!$E$3))*(SIN('Standard Settings'!$F10)+SIN('Standard Settings'!$F10+EchelleFPAparam!$M$3+EchelleFPAparam!$H$3*EchelleFPAparam!$B$6*COS(EchelleFPAparam!$AC$3)-(AZ15-1024)*SIN(EchelleFPAparam!$AC$3)*EchelleFPAparam!$C$3/EchelleFPAparam!$E$3))</f>
        <v>1364.1300244385156</v>
      </c>
      <c r="DS15" s="26">
        <f>(EchelleFPAparam!$S$3/($U15+B$53)*COS((AQ15-EchelleFPAparam!$AE11)*EchelleFPAparam!$C$3/EchelleFPAparam!$E$3))*(SIN('Standard Settings'!$F10)+SIN('Standard Settings'!$F10+EchelleFPAparam!$M$3+EchelleFPAparam!$I$3*EchelleFPAparam!$B$6*COS(EchelleFPAparam!$AC$3)-(AQ15-1024)*SIN(EchelleFPAparam!$AC$3)*EchelleFPAparam!$C$3/EchelleFPAparam!$E$3))</f>
        <v>1759.6432156344297</v>
      </c>
      <c r="DT15" s="26">
        <f>(EchelleFPAparam!$S$3/($U15+C$53)*COS((AR15-EchelleFPAparam!$AE11)*EchelleFPAparam!$C$3/EchelleFPAparam!$E$3))*(SIN('Standard Settings'!$F10)+SIN('Standard Settings'!$F10+EchelleFPAparam!$M$3+EchelleFPAparam!$I$3*EchelleFPAparam!$B$6*COS(EchelleFPAparam!$AC$3)-(AR15-1024)*SIN(EchelleFPAparam!$AC$3)*EchelleFPAparam!$C$3/EchelleFPAparam!$E$3))</f>
        <v>1706.4274691491078</v>
      </c>
      <c r="DU15" s="26">
        <f>(EchelleFPAparam!$S$3/($U15+D$53)*COS((AS15-EchelleFPAparam!$AE11)*EchelleFPAparam!$C$3/EchelleFPAparam!$E$3))*(SIN('Standard Settings'!$F10)+SIN('Standard Settings'!$F10+EchelleFPAparam!$M$3+EchelleFPAparam!$I$3*EchelleFPAparam!$B$6*COS(EchelleFPAparam!$AC$3)-(AS15-1024)*SIN(EchelleFPAparam!$AC$3)*EchelleFPAparam!$C$3/EchelleFPAparam!$E$3))</f>
        <v>1656.3179205740969</v>
      </c>
      <c r="DV15" s="26">
        <f>(EchelleFPAparam!$S$3/($U15+E$53)*COS((AT15-EchelleFPAparam!$AE11)*EchelleFPAparam!$C$3/EchelleFPAparam!$E$3))*(SIN('Standard Settings'!$F10)+SIN('Standard Settings'!$F10+EchelleFPAparam!$M$3+EchelleFPAparam!$I$3*EchelleFPAparam!$B$6*COS(EchelleFPAparam!$AC$3)-(AT15-1024)*SIN(EchelleFPAparam!$AC$3)*EchelleFPAparam!$C$3/EchelleFPAparam!$E$3))</f>
        <v>1609.0518803529346</v>
      </c>
      <c r="DW15" s="26">
        <f>(EchelleFPAparam!$S$3/($U15+F$53)*COS((AU15-EchelleFPAparam!$AE11)*EchelleFPAparam!$C$3/EchelleFPAparam!$E$3))*(SIN('Standard Settings'!$F10)+SIN('Standard Settings'!$F10+EchelleFPAparam!$M$3+EchelleFPAparam!$I$3*EchelleFPAparam!$B$6*COS(EchelleFPAparam!$AC$3)-(AU15-1024)*SIN(EchelleFPAparam!$AC$3)*EchelleFPAparam!$C$3/EchelleFPAparam!$E$3))</f>
        <v>1564.3955583068484</v>
      </c>
      <c r="DX15" s="26">
        <f>(EchelleFPAparam!$S$3/($U15+G$53)*COS((AV15-EchelleFPAparam!$AE11)*EchelleFPAparam!$C$3/EchelleFPAparam!$E$3))*(SIN('Standard Settings'!$F10)+SIN('Standard Settings'!$F10+EchelleFPAparam!$M$3+EchelleFPAparam!$I$3*EchelleFPAparam!$B$6*COS(EchelleFPAparam!$AC$3)-(AV15-1024)*SIN(EchelleFPAparam!$AC$3)*EchelleFPAparam!$C$3/EchelleFPAparam!$E$3))</f>
        <v>1522.1397100728764</v>
      </c>
      <c r="DY15" s="26">
        <f>(EchelleFPAparam!$S$3/($U15+H$53)*COS((AW15-EchelleFPAparam!$AE11)*EchelleFPAparam!$C$3/EchelleFPAparam!$E$3))*(SIN('Standard Settings'!$F10)+SIN('Standard Settings'!$F10+EchelleFPAparam!$M$3+EchelleFPAparam!$I$3*EchelleFPAparam!$B$6*COS(EchelleFPAparam!$AC$3)-(AW15-1024)*SIN(EchelleFPAparam!$AC$3)*EchelleFPAparam!$C$3/EchelleFPAparam!$E$3))</f>
        <v>1482.0970043062082</v>
      </c>
      <c r="DZ15" s="26">
        <f>(EchelleFPAparam!$S$3/($U15+I$53)*COS((AX15-EchelleFPAparam!$AE11)*EchelleFPAparam!$C$3/EchelleFPAparam!$E$3))*(SIN('Standard Settings'!$F10)+SIN('Standard Settings'!$F10+EchelleFPAparam!$M$3+EchelleFPAparam!$I$3*EchelleFPAparam!$B$6*COS(EchelleFPAparam!$AC$3)-(AX15-1024)*SIN(EchelleFPAparam!$AC$3)*EchelleFPAparam!$C$3/EchelleFPAparam!$E$3))</f>
        <v>1444.098480438611</v>
      </c>
      <c r="EA15" s="26">
        <f>(EchelleFPAparam!$S$3/($U15+J$53)*COS((AY15-EchelleFPAparam!$AE11)*EchelleFPAparam!$C$3/EchelleFPAparam!$E$3))*(SIN('Standard Settings'!$F10)+SIN('Standard Settings'!$F10+EchelleFPAparam!$M$3+EchelleFPAparam!$I$3*EchelleFPAparam!$B$6*COS(EchelleFPAparam!$AC$3)-(AY15-1024)*SIN(EchelleFPAparam!$AC$3)*EchelleFPAparam!$C$3/EchelleFPAparam!$E$3))</f>
        <v>1407.5295510671938</v>
      </c>
      <c r="EB15" s="26">
        <f>(EchelleFPAparam!$S$3/($U15+K$53)*COS((AZ15-EchelleFPAparam!$AE11)*EchelleFPAparam!$C$3/EchelleFPAparam!$E$3))*(SIN('Standard Settings'!$F10)+SIN('Standard Settings'!$F10+EchelleFPAparam!$M$3+EchelleFPAparam!$I$3*EchelleFPAparam!$B$6*COS(EchelleFPAparam!$AC$3)-(AZ15-1024)*SIN(EchelleFPAparam!$AC$3)*EchelleFPAparam!$C$3/EchelleFPAparam!$E$3))</f>
        <v>1373.1995620167743</v>
      </c>
      <c r="EC15" s="26">
        <f>(EchelleFPAparam!$S$3/($U15+B$53)*COS((BA15-EchelleFPAparam!$AE11)*EchelleFPAparam!$C$3/EchelleFPAparam!$E$3))*(SIN('Standard Settings'!$F10)+SIN('Standard Settings'!$F10+EchelleFPAparam!$M$3+EchelleFPAparam!$J$3*EchelleFPAparam!$B$6*COS(EchelleFPAparam!$AC$3)-(BA15-1024)*SIN(EchelleFPAparam!$AC$3)*EchelleFPAparam!$C$3/EchelleFPAparam!$E$3))</f>
        <v>1760.4584805252682</v>
      </c>
      <c r="ED15" s="26">
        <f>(EchelleFPAparam!$S$3/($U15+C$53)*COS((BB15-EchelleFPAparam!$AE11)*EchelleFPAparam!$C$3/EchelleFPAparam!$E$3))*(SIN('Standard Settings'!$F10)+SIN('Standard Settings'!$F10+EchelleFPAparam!$M$3+EchelleFPAparam!$J$3*EchelleFPAparam!$B$6*COS(EchelleFPAparam!$AC$3)-(BB15-1024)*SIN(EchelleFPAparam!$AC$3)*EchelleFPAparam!$C$3/EchelleFPAparam!$E$3))</f>
        <v>1707.2197129699614</v>
      </c>
      <c r="EE15" s="26">
        <f>(EchelleFPAparam!$S$3/($U15+D$53)*COS((BC15-EchelleFPAparam!$AE11)*EchelleFPAparam!$C$3/EchelleFPAparam!$E$3))*(SIN('Standard Settings'!$F10)+SIN('Standard Settings'!$F10+EchelleFPAparam!$M$3+EchelleFPAparam!$J$3*EchelleFPAparam!$B$6*COS(EchelleFPAparam!$AC$3)-(BC15-1024)*SIN(EchelleFPAparam!$AC$3)*EchelleFPAparam!$C$3/EchelleFPAparam!$E$3))</f>
        <v>1657.0880229479715</v>
      </c>
      <c r="EF15" s="26">
        <f>(EchelleFPAparam!$S$3/($U15+E$53)*COS((BD15-EchelleFPAparam!$AE11)*EchelleFPAparam!$C$3/EchelleFPAparam!$E$3))*(SIN('Standard Settings'!$F10)+SIN('Standard Settings'!$F10+EchelleFPAparam!$M$3+EchelleFPAparam!$J$3*EchelleFPAparam!$B$6*COS(EchelleFPAparam!$AC$3)-(BD15-1024)*SIN(EchelleFPAparam!$AC$3)*EchelleFPAparam!$C$3/EchelleFPAparam!$E$3))</f>
        <v>1609.8009523398721</v>
      </c>
      <c r="EG15" s="26">
        <f>(EchelleFPAparam!$S$3/($U15+F$53)*COS((BE15-EchelleFPAparam!$AE11)*EchelleFPAparam!$C$3/EchelleFPAparam!$E$3))*(SIN('Standard Settings'!$F10)+SIN('Standard Settings'!$F10+EchelleFPAparam!$M$3+EchelleFPAparam!$J$3*EchelleFPAparam!$B$6*COS(EchelleFPAparam!$AC$3)-(BE15-1024)*SIN(EchelleFPAparam!$AC$3)*EchelleFPAparam!$C$3/EchelleFPAparam!$E$3))</f>
        <v>1565.1244543988803</v>
      </c>
      <c r="EH15" s="26">
        <f>(EchelleFPAparam!$S$3/($U15+G$53)*COS((BF15-EchelleFPAparam!$AE11)*EchelleFPAparam!$C$3/EchelleFPAparam!$E$3))*(SIN('Standard Settings'!$F10)+SIN('Standard Settings'!$F10+EchelleFPAparam!$M$3+EchelleFPAparam!$J$3*EchelleFPAparam!$B$6*COS(EchelleFPAparam!$AC$3)-(BF15-1024)*SIN(EchelleFPAparam!$AC$3)*EchelleFPAparam!$C$3/EchelleFPAparam!$E$3))</f>
        <v>1522.8492604033308</v>
      </c>
      <c r="EI15" s="26">
        <f>(EchelleFPAparam!$S$3/($U15+H$53)*COS((BG15-EchelleFPAparam!$AE11)*EchelleFPAparam!$C$3/EchelleFPAparam!$E$3))*(SIN('Standard Settings'!$F10)+SIN('Standard Settings'!$F10+EchelleFPAparam!$M$3+EchelleFPAparam!$J$3*EchelleFPAparam!$B$6*COS(EchelleFPAparam!$AC$3)-(BG15-1024)*SIN(EchelleFPAparam!$AC$3)*EchelleFPAparam!$C$3/EchelleFPAparam!$E$3))</f>
        <v>1482.7879070936963</v>
      </c>
      <c r="EJ15" s="26">
        <f>(EchelleFPAparam!$S$3/($U15+I$53)*COS((BH15-EchelleFPAparam!$AE11)*EchelleFPAparam!$C$3/EchelleFPAparam!$E$3))*(SIN('Standard Settings'!$F10)+SIN('Standard Settings'!$F10+EchelleFPAparam!$M$3+EchelleFPAparam!$J$3*EchelleFPAparam!$B$6*COS(EchelleFPAparam!$AC$3)-(BH15-1024)*SIN(EchelleFPAparam!$AC$3)*EchelleFPAparam!$C$3/EchelleFPAparam!$E$3))</f>
        <v>1444.77165404581</v>
      </c>
      <c r="EK15" s="26">
        <f>(EchelleFPAparam!$S$3/($U15+J$53)*COS((BI15-EchelleFPAparam!$AE11)*EchelleFPAparam!$C$3/EchelleFPAparam!$E$3))*(SIN('Standard Settings'!$F10)+SIN('Standard Settings'!$F10+EchelleFPAparam!$M$3+EchelleFPAparam!$J$3*EchelleFPAparam!$B$6*COS(EchelleFPAparam!$AC$3)-(BI15-1024)*SIN(EchelleFPAparam!$AC$3)*EchelleFPAparam!$C$3/EchelleFPAparam!$E$3))</f>
        <v>1408.1865510920129</v>
      </c>
      <c r="EL15" s="26">
        <f>(EchelleFPAparam!$S$3/($U15+K$53)*COS((BJ15-EchelleFPAparam!$AE11)*EchelleFPAparam!$C$3/EchelleFPAparam!$E$3))*(SIN('Standard Settings'!$F10)+SIN('Standard Settings'!$F10+EchelleFPAparam!$M$3+EchelleFPAparam!$J$3*EchelleFPAparam!$B$6*COS(EchelleFPAparam!$AC$3)-(BJ15-1024)*SIN(EchelleFPAparam!$AC$3)*EchelleFPAparam!$C$3/EchelleFPAparam!$E$3))</f>
        <v>1373.8405376507442</v>
      </c>
      <c r="EM15" s="26">
        <f>(EchelleFPAparam!$S$3/($U15+B$53)*COS((BA15-EchelleFPAparam!$AE11)*EchelleFPAparam!$C$3/EchelleFPAparam!$E$3))*(SIN('Standard Settings'!$F10)+SIN('Standard Settings'!$F10+EchelleFPAparam!$M$3+EchelleFPAparam!$K$3*EchelleFPAparam!$B$6*COS(EchelleFPAparam!$AC$3)-(BA15-1024)*SIN(EchelleFPAparam!$AC$3)*EchelleFPAparam!$C$3/EchelleFPAparam!$E$3))</f>
        <v>1771.5113147368204</v>
      </c>
      <c r="EN15" s="26">
        <f>(EchelleFPAparam!$S$3/($U15+C$53)*COS((BB15-EchelleFPAparam!$AE11)*EchelleFPAparam!$C$3/EchelleFPAparam!$E$3))*(SIN('Standard Settings'!$F10)+SIN('Standard Settings'!$F10+EchelleFPAparam!$M$3+EchelleFPAparam!$K$3*EchelleFPAparam!$B$6*COS(EchelleFPAparam!$AC$3)-(BB15-1024)*SIN(EchelleFPAparam!$AC$3)*EchelleFPAparam!$C$3/EchelleFPAparam!$E$3))</f>
        <v>1717.9363369421699</v>
      </c>
      <c r="EO15" s="26">
        <f>(EchelleFPAparam!$S$3/($U15+D$53)*COS((BC15-EchelleFPAparam!$AE11)*EchelleFPAparam!$C$3/EchelleFPAparam!$E$3))*(SIN('Standard Settings'!$F10)+SIN('Standard Settings'!$F10+EchelleFPAparam!$M$3+EchelleFPAparam!$K$3*EchelleFPAparam!$B$6*COS(EchelleFPAparam!$AC$3)-(BC15-1024)*SIN(EchelleFPAparam!$AC$3)*EchelleFPAparam!$C$3/EchelleFPAparam!$E$3))</f>
        <v>1667.4881807925926</v>
      </c>
      <c r="EP15" s="26">
        <f>(EchelleFPAparam!$S$3/($U15+E$53)*COS((BD15-EchelleFPAparam!$AE11)*EchelleFPAparam!$C$3/EchelleFPAparam!$E$3))*(SIN('Standard Settings'!$F10)+SIN('Standard Settings'!$F10+EchelleFPAparam!$M$3+EchelleFPAparam!$K$3*EchelleFPAparam!$B$6*COS(EchelleFPAparam!$AC$3)-(BD15-1024)*SIN(EchelleFPAparam!$AC$3)*EchelleFPAparam!$C$3/EchelleFPAparam!$E$3))</f>
        <v>1619.9027068867586</v>
      </c>
      <c r="EQ15" s="26">
        <f>(EchelleFPAparam!$S$3/($U15+F$53)*COS((BE15-EchelleFPAparam!$AE11)*EchelleFPAparam!$C$3/EchelleFPAparam!$E$3))*(SIN('Standard Settings'!$F10)+SIN('Standard Settings'!$F10+EchelleFPAparam!$M$3+EchelleFPAparam!$K$3*EchelleFPAparam!$B$6*COS(EchelleFPAparam!$AC$3)-(BE15-1024)*SIN(EchelleFPAparam!$AC$3)*EchelleFPAparam!$C$3/EchelleFPAparam!$E$3))</f>
        <v>1574.944372937935</v>
      </c>
      <c r="ER15" s="26">
        <f>(EchelleFPAparam!$S$3/($U15+G$53)*COS((BF15-EchelleFPAparam!$AE11)*EchelleFPAparam!$C$3/EchelleFPAparam!$E$3))*(SIN('Standard Settings'!$F10)+SIN('Standard Settings'!$F10+EchelleFPAparam!$M$3+EchelleFPAparam!$K$3*EchelleFPAparam!$B$6*COS(EchelleFPAparam!$AC$3)-(BF15-1024)*SIN(EchelleFPAparam!$AC$3)*EchelleFPAparam!$C$3/EchelleFPAparam!$E$3))</f>
        <v>1532.4025771820047</v>
      </c>
      <c r="ES15" s="26">
        <f>(EchelleFPAparam!$S$3/($U15+H$53)*COS((BG15-EchelleFPAparam!$AE11)*EchelleFPAparam!$C$3/EchelleFPAparam!$E$3))*(SIN('Standard Settings'!$F10)+SIN('Standard Settings'!$F10+EchelleFPAparam!$M$3+EchelleFPAparam!$K$3*EchelleFPAparam!$B$6*COS(EchelleFPAparam!$AC$3)-(BG15-1024)*SIN(EchelleFPAparam!$AC$3)*EchelleFPAparam!$C$3/EchelleFPAparam!$E$3))</f>
        <v>1492.088653537875</v>
      </c>
      <c r="ET15" s="26">
        <f>(EchelleFPAparam!$S$3/($U15+I$53)*COS((BH15-EchelleFPAparam!$AE11)*EchelleFPAparam!$C$3/EchelleFPAparam!$E$3))*(SIN('Standard Settings'!$F10)+SIN('Standard Settings'!$F10+EchelleFPAparam!$M$3+EchelleFPAparam!$K$3*EchelleFPAparam!$B$6*COS(EchelleFPAparam!$AC$3)-(BH15-1024)*SIN(EchelleFPAparam!$AC$3)*EchelleFPAparam!$C$3/EchelleFPAparam!$E$3))</f>
        <v>1453.83276346763</v>
      </c>
      <c r="EU15" s="26">
        <f>(EchelleFPAparam!$S$3/($U15+J$53)*COS((BI15-EchelleFPAparam!$AE11)*EchelleFPAparam!$C$3/EchelleFPAparam!$E$3))*(SIN('Standard Settings'!$F10)+SIN('Standard Settings'!$F10+EchelleFPAparam!$M$3+EchelleFPAparam!$K$3*EchelleFPAparam!$B$6*COS(EchelleFPAparam!$AC$3)-(BI15-1024)*SIN(EchelleFPAparam!$AC$3)*EchelleFPAparam!$C$3/EchelleFPAparam!$E$3))</f>
        <v>1417.0302979191108</v>
      </c>
      <c r="EV15" s="26">
        <f>(EchelleFPAparam!$S$3/($U15+K$53)*COS((BJ15-EchelleFPAparam!$AE11)*EchelleFPAparam!$C$3/EchelleFPAparam!$E$3))*(SIN('Standard Settings'!$F10)+SIN('Standard Settings'!$F10+EchelleFPAparam!$M$3+EchelleFPAparam!$K$3*EchelleFPAparam!$B$6*COS(EchelleFPAparam!$AC$3)-(BJ15-1024)*SIN(EchelleFPAparam!$AC$3)*EchelleFPAparam!$C$3/EchelleFPAparam!$E$3))</f>
        <v>1382.468583335718</v>
      </c>
      <c r="EW15" s="60">
        <f t="shared" si="40"/>
        <v>1423.9039819116977</v>
      </c>
      <c r="EX15" s="60">
        <f t="shared" si="20"/>
        <v>1771.5113147368204</v>
      </c>
      <c r="EY15" s="90">
        <v>0.39</v>
      </c>
      <c r="EZ15" s="90">
        <v>0.36</v>
      </c>
      <c r="FA15" s="50">
        <v>30000</v>
      </c>
      <c r="FB15" s="50">
        <v>5000</v>
      </c>
      <c r="FC15" s="50">
        <v>5000</v>
      </c>
      <c r="FD15" s="50">
        <v>10000</v>
      </c>
      <c r="FE15" s="95">
        <v>100</v>
      </c>
      <c r="FF15" s="50">
        <v>5000</v>
      </c>
      <c r="FG15" s="50">
        <v>440</v>
      </c>
      <c r="FH15" s="50">
        <f t="shared" si="27"/>
        <v>1250</v>
      </c>
      <c r="FI15" s="50">
        <f t="shared" si="28"/>
        <v>1250</v>
      </c>
      <c r="FJ15" s="50">
        <f t="shared" si="29"/>
        <v>2500</v>
      </c>
      <c r="FK15" s="95">
        <f t="shared" si="30"/>
        <v>25</v>
      </c>
      <c r="FL15" s="50">
        <f t="shared" si="31"/>
        <v>1250</v>
      </c>
      <c r="FM15" s="50">
        <f t="shared" si="32"/>
        <v>110</v>
      </c>
      <c r="FN15" s="50">
        <v>500</v>
      </c>
      <c r="FO15" s="91">
        <f>1/(F15*EchelleFPAparam!$Q$3)</f>
        <v>-7564.450737990097</v>
      </c>
      <c r="FP15" s="91">
        <f t="shared" si="22"/>
        <v>-38.128507811239551</v>
      </c>
      <c r="FQ15" s="50">
        <v>-999999</v>
      </c>
      <c r="FR15" s="50">
        <v>-999999</v>
      </c>
      <c r="FS15" s="90">
        <v>1</v>
      </c>
      <c r="FT15" s="90">
        <v>908.83299999999997</v>
      </c>
      <c r="FU15" s="90">
        <v>407.125</v>
      </c>
      <c r="FV15" s="50">
        <v>-999999</v>
      </c>
      <c r="FW15" s="50">
        <v>-999999</v>
      </c>
      <c r="FX15" s="50">
        <v>-999999</v>
      </c>
      <c r="FY15" s="90">
        <v>1</v>
      </c>
      <c r="FZ15" s="90">
        <v>390.875</v>
      </c>
      <c r="GA15" s="90">
        <v>1216.884</v>
      </c>
      <c r="GB15" s="50">
        <v>-999999</v>
      </c>
      <c r="GC15" s="50">
        <v>-999999</v>
      </c>
      <c r="GD15" s="50">
        <v>-999999</v>
      </c>
      <c r="GE15" s="90">
        <v>1</v>
      </c>
      <c r="GF15" s="90">
        <v>1744.9639999999999</v>
      </c>
      <c r="GG15" s="90">
        <v>410.53800000000001</v>
      </c>
      <c r="GH15" s="50">
        <v>-999999</v>
      </c>
      <c r="GI15" s="50">
        <v>-999999</v>
      </c>
      <c r="GJ15" s="50">
        <v>-999999</v>
      </c>
      <c r="GK15" s="90">
        <v>2</v>
      </c>
      <c r="GL15" s="90">
        <v>842.64700000000005</v>
      </c>
      <c r="GM15" s="90">
        <v>1885.05</v>
      </c>
      <c r="GN15" s="50">
        <v>-999999</v>
      </c>
      <c r="GO15" s="50">
        <v>-999999</v>
      </c>
      <c r="GP15" s="50">
        <v>-999999</v>
      </c>
      <c r="GQ15" s="90">
        <v>3</v>
      </c>
      <c r="GR15" s="90">
        <v>285.238</v>
      </c>
      <c r="GS15" s="90">
        <v>678.178</v>
      </c>
      <c r="GT15" s="50">
        <v>-999999</v>
      </c>
      <c r="GU15" s="50">
        <v>-999999</v>
      </c>
      <c r="GV15" s="50">
        <v>-999999</v>
      </c>
      <c r="GW15" s="90">
        <v>3</v>
      </c>
      <c r="GX15" s="90">
        <v>1825.472</v>
      </c>
      <c r="GY15" s="90">
        <v>1433.761</v>
      </c>
      <c r="GZ15" s="50">
        <v>-999999</v>
      </c>
      <c r="HA15" s="50">
        <v>-999999</v>
      </c>
      <c r="HB15" s="50">
        <v>-999999</v>
      </c>
      <c r="HC15" s="50">
        <v>-999999</v>
      </c>
      <c r="HD15" s="50">
        <v>-999999</v>
      </c>
      <c r="HE15" s="50">
        <v>-999999</v>
      </c>
      <c r="HF15" s="50">
        <v>-999999</v>
      </c>
      <c r="HG15" s="50">
        <v>-999999</v>
      </c>
      <c r="HH15" s="50">
        <v>-999999</v>
      </c>
      <c r="HI15" s="50">
        <v>-999999</v>
      </c>
      <c r="HJ15" s="50">
        <v>-999999</v>
      </c>
      <c r="HK15" s="50">
        <v>-999999</v>
      </c>
      <c r="HL15" s="50">
        <v>-999999</v>
      </c>
      <c r="HM15" s="50">
        <v>-999999</v>
      </c>
      <c r="HN15" s="50">
        <v>-999999</v>
      </c>
      <c r="HO15" s="50">
        <v>-999999</v>
      </c>
      <c r="HP15" s="50">
        <v>-999999</v>
      </c>
      <c r="HQ15" s="50">
        <v>-999999</v>
      </c>
      <c r="HR15" s="50">
        <v>-999999</v>
      </c>
      <c r="HS15" s="50">
        <v>-999999</v>
      </c>
      <c r="HT15" s="50">
        <v>-999999</v>
      </c>
      <c r="HU15" s="50">
        <v>-999999</v>
      </c>
      <c r="HV15" s="50">
        <v>-999999</v>
      </c>
      <c r="HW15" s="50">
        <v>-999999</v>
      </c>
      <c r="HX15" s="50">
        <v>-999999</v>
      </c>
      <c r="HY15" s="50"/>
      <c r="HZ15" s="50"/>
      <c r="IA15" s="50"/>
      <c r="IB15" s="50"/>
      <c r="IC15" s="50"/>
      <c r="ID15" s="50"/>
      <c r="IE15" s="50"/>
      <c r="IF15" s="50"/>
      <c r="IG15" s="50"/>
      <c r="IH15" s="50"/>
      <c r="II15" s="50"/>
      <c r="IJ15" s="50"/>
      <c r="IK15" s="50"/>
      <c r="IL15" s="50"/>
      <c r="IM15" s="50"/>
      <c r="IN15" s="50"/>
      <c r="IO15" s="50"/>
      <c r="IP15" s="50"/>
      <c r="IQ15" s="50"/>
      <c r="IR15" s="50"/>
      <c r="IS15" s="50"/>
      <c r="IT15" s="50"/>
      <c r="IU15" s="50"/>
      <c r="IV15" s="50"/>
      <c r="IW15" s="50"/>
      <c r="IX15" s="50"/>
      <c r="IY15" s="50"/>
      <c r="IZ15" s="50"/>
      <c r="JA15" s="50"/>
      <c r="JB15" s="50"/>
      <c r="JC15" s="50"/>
      <c r="JD15" s="50"/>
      <c r="JE15" s="50"/>
      <c r="JF15" s="50"/>
      <c r="JG15" s="50"/>
      <c r="JH15" s="50"/>
      <c r="JI15" s="50"/>
      <c r="JJ15" s="50"/>
      <c r="JK15" s="50"/>
      <c r="JL15" s="50"/>
      <c r="JM15" s="50"/>
      <c r="JN15" s="50"/>
      <c r="JO15" s="50"/>
      <c r="JP15" s="50"/>
      <c r="JQ15" s="50"/>
      <c r="JR15" s="50"/>
      <c r="JS15" s="50"/>
      <c r="JT15" s="50"/>
      <c r="JU15" s="50"/>
      <c r="JV15" s="50"/>
      <c r="JW15" s="52">
        <f t="shared" si="23"/>
        <v>2753.5007968361101</v>
      </c>
      <c r="JX15" s="27">
        <f t="shared" si="24"/>
        <v>309344.23669722182</v>
      </c>
      <c r="JY15" s="107">
        <f>JW15*EchelleFPAparam!$Q$3</f>
        <v>-2.6227095089863948E-2</v>
      </c>
      <c r="KA15" s="19"/>
      <c r="KB15" s="19"/>
      <c r="KC15" s="19"/>
      <c r="KD15" s="19"/>
      <c r="KE15" s="19"/>
      <c r="KF15" s="19"/>
      <c r="KG15" s="19"/>
      <c r="KH15" s="19"/>
      <c r="KI15" s="19"/>
      <c r="KJ15" s="19"/>
      <c r="KK15" s="19"/>
      <c r="KL15" s="19"/>
      <c r="KM15" s="19"/>
      <c r="KW15" s="19"/>
      <c r="KX15" s="19"/>
      <c r="KY15" s="19"/>
      <c r="KZ15" s="19"/>
      <c r="LA15" s="19"/>
      <c r="LB15" s="19"/>
      <c r="LC15" s="19"/>
      <c r="LD15" s="19"/>
      <c r="LE15" s="19"/>
      <c r="LF15" s="19"/>
    </row>
    <row r="16" spans="1:318" x14ac:dyDescent="0.2">
      <c r="A16" s="53">
        <f t="shared" si="35"/>
        <v>10</v>
      </c>
      <c r="B16" s="96">
        <f t="shared" si="0"/>
        <v>2200.9571121033268</v>
      </c>
      <c r="C16" s="27" t="str">
        <f>'Standard Settings'!B11</f>
        <v>K/1/4</v>
      </c>
      <c r="D16" s="27">
        <f>'Standard Settings'!H11</f>
        <v>26</v>
      </c>
      <c r="E16" s="19">
        <f t="shared" si="1"/>
        <v>6.4671303627286125E-3</v>
      </c>
      <c r="F16" s="18">
        <f>((EchelleFPAparam!$S$3/('crmcfgWLEN.txt'!$U16+F$53))*(SIN('Standard Settings'!$F11+0.0005)+SIN('Standard Settings'!$F11+0.0005+EchelleFPAparam!$M$3))-(EchelleFPAparam!$S$3/('crmcfgWLEN.txt'!$U16+F$53))*(SIN('Standard Settings'!$F11-0.0005)+SIN('Standard Settings'!$F11-0.0005+EchelleFPAparam!$M$3)))*1000*EchelleFPAparam!$O$3/180</f>
        <v>17.706266909394824</v>
      </c>
      <c r="G16" s="20" t="str">
        <f>'Standard Settings'!C11</f>
        <v>K</v>
      </c>
      <c r="H16" s="46"/>
      <c r="I16" s="59" t="s">
        <v>361</v>
      </c>
      <c r="J16" s="57"/>
      <c r="K16" s="27" t="str">
        <f>'Standard Settings'!$D11</f>
        <v>HK</v>
      </c>
      <c r="L16" s="46"/>
      <c r="M16" s="12">
        <v>2.5</v>
      </c>
      <c r="N16" s="12">
        <v>2.5</v>
      </c>
      <c r="O16" s="27" t="str">
        <f>'Standard Settings'!$D11</f>
        <v>HK</v>
      </c>
      <c r="P16" s="46"/>
      <c r="Q16" s="27">
        <f>'Standard Settings'!$E11</f>
        <v>66.856950000000012</v>
      </c>
      <c r="R16" s="106">
        <f>'Standard Settings'!$J11</f>
        <v>370000</v>
      </c>
      <c r="S16" s="21">
        <f>'Standard Settings'!$G11</f>
        <v>23</v>
      </c>
      <c r="T16" s="21">
        <f>'Standard Settings'!$I11</f>
        <v>29</v>
      </c>
      <c r="U16" s="22">
        <f t="shared" si="25"/>
        <v>22</v>
      </c>
      <c r="V16" s="22">
        <f t="shared" si="26"/>
        <v>31</v>
      </c>
      <c r="W16" s="23">
        <f>IF(AND($U16-$S16+B$53&gt;=0,$U16-$T16+B$53&lt;=0),(EchelleFPAparam!$S$3/('crmcfgWLEN.txt'!$U16+B$53))*(SIN('Standard Settings'!$F11)+SIN('Standard Settings'!$F11+EchelleFPAparam!$M$3)),-1)</f>
        <v>-1</v>
      </c>
      <c r="X16" s="23">
        <f>IF(AND($U16-$S16+C$53&gt;=0,$U16-$T16+C$53&lt;=0),(EchelleFPAparam!$S$3/('crmcfgWLEN.txt'!$U16+C$53))*(SIN('Standard Settings'!$F11)+SIN('Standard Settings'!$F11+EchelleFPAparam!$M$3)),-1)</f>
        <v>2488.0384745515867</v>
      </c>
      <c r="Y16" s="23">
        <f>IF(AND($U16-$S16+D$53&gt;=0,$U16-$T16+D$53&lt;=0),(EchelleFPAparam!$S$3/('crmcfgWLEN.txt'!$U16+D$53))*(SIN('Standard Settings'!$F11)+SIN('Standard Settings'!$F11+EchelleFPAparam!$M$3)),-1)</f>
        <v>2384.3702047786037</v>
      </c>
      <c r="Z16" s="23">
        <f>IF(AND($U16-$S16+E$53&gt;=0,$U16-$T16+E$53&lt;=0),(EchelleFPAparam!$S$3/('crmcfgWLEN.txt'!$U16+E$53))*(SIN('Standard Settings'!$F11)+SIN('Standard Settings'!$F11+EchelleFPAparam!$M$3)),-1)</f>
        <v>2288.9953965874597</v>
      </c>
      <c r="AA16" s="23">
        <f>IF(AND($U16-$S16+F$53&gt;=0,$U16-$T16+F$53&lt;=0),(EchelleFPAparam!$S$3/('crmcfgWLEN.txt'!$U16+F$53))*(SIN('Standard Settings'!$F11)+SIN('Standard Settings'!$F11+EchelleFPAparam!$M$3)),-1)</f>
        <v>2200.9571121033268</v>
      </c>
      <c r="AB16" s="23">
        <f>IF(AND($U16-$S16+G$53&gt;=0,$U16-$T16+G$53&lt;=0),(EchelleFPAparam!$S$3/('crmcfgWLEN.txt'!$U16+G$53))*(SIN('Standard Settings'!$F11)+SIN('Standard Settings'!$F11+EchelleFPAparam!$M$3)),-1)</f>
        <v>2119.4401820254257</v>
      </c>
      <c r="AC16" s="23">
        <f>IF(AND($U16-$S16+H$53&gt;=0,$U16-$T16+H$53&lt;=0),(EchelleFPAparam!$S$3/('crmcfgWLEN.txt'!$U16+H$53))*(SIN('Standard Settings'!$F11)+SIN('Standard Settings'!$F11+EchelleFPAparam!$M$3)),-1)</f>
        <v>2043.7458898102318</v>
      </c>
      <c r="AD16" s="23">
        <f>IF(AND($U16-$S16+I$53&gt;=0,$U16-$T16+I$53&lt;=0),(EchelleFPAparam!$S$3/('crmcfgWLEN.txt'!$U16+I$53))*(SIN('Standard Settings'!$F11)+SIN('Standard Settings'!$F11+EchelleFPAparam!$M$3)),-1)</f>
        <v>1973.2718936098788</v>
      </c>
      <c r="AE16" s="23">
        <f>IF(AND($U16-$S16+J$53&gt;=0,$U16-$T16+J$53&lt;=0),(EchelleFPAparam!$S$3/('crmcfgWLEN.txt'!$U16+J$53))*(SIN('Standard Settings'!$F11)+SIN('Standard Settings'!$F11+EchelleFPAparam!$M$3)),-1)</f>
        <v>-1</v>
      </c>
      <c r="AF16" s="23">
        <f>IF(AND($U16-$S16+K$53&gt;=0,$U16-$T16+K$53&lt;=0),(EchelleFPAparam!$S$3/('crmcfgWLEN.txt'!$U16+K$53))*(SIN('Standard Settings'!$F11)+SIN('Standard Settings'!$F11+EchelleFPAparam!$M$3)),-1)</f>
        <v>-1</v>
      </c>
      <c r="AG16" s="131">
        <v>-100.1</v>
      </c>
      <c r="AH16" s="112">
        <v>77.887762508425894</v>
      </c>
      <c r="AI16" s="112">
        <v>441.92063394936099</v>
      </c>
      <c r="AJ16" s="112">
        <v>774.25166456872898</v>
      </c>
      <c r="AK16" s="112">
        <v>1079.89450570798</v>
      </c>
      <c r="AL16" s="112">
        <v>1361.39174220665</v>
      </c>
      <c r="AM16" s="112">
        <v>1621.81233587516</v>
      </c>
      <c r="AN16" s="112">
        <v>1864.84267795701</v>
      </c>
      <c r="AO16" s="131">
        <v>-100.1</v>
      </c>
      <c r="AP16" s="131">
        <v>-100.1</v>
      </c>
      <c r="AQ16" s="130">
        <v>-100.1</v>
      </c>
      <c r="AR16" s="112">
        <v>73.196473394203394</v>
      </c>
      <c r="AS16" s="112">
        <v>439.80048476025399</v>
      </c>
      <c r="AT16" s="112">
        <v>774.16488431915502</v>
      </c>
      <c r="AU16" s="112">
        <v>1082.3826056130499</v>
      </c>
      <c r="AV16" s="112">
        <v>1365.65419060565</v>
      </c>
      <c r="AW16" s="112">
        <v>1627.6249462441101</v>
      </c>
      <c r="AX16" s="112">
        <v>1872.2080782518999</v>
      </c>
      <c r="AY16" s="130">
        <v>-100.1</v>
      </c>
      <c r="AZ16" s="130">
        <v>-100.1</v>
      </c>
      <c r="BA16" s="132">
        <v>-100.1</v>
      </c>
      <c r="BB16" s="112">
        <v>68.446213738077702</v>
      </c>
      <c r="BC16" s="112">
        <v>438.383982206491</v>
      </c>
      <c r="BD16" s="112">
        <v>775.53432923381297</v>
      </c>
      <c r="BE16" s="112">
        <v>1085.53378949433</v>
      </c>
      <c r="BF16" s="112">
        <v>1371.3589113795099</v>
      </c>
      <c r="BG16" s="112">
        <v>1635.4641812837499</v>
      </c>
      <c r="BH16" s="112">
        <v>1881.1609028079399</v>
      </c>
      <c r="BI16" s="132">
        <v>-100.1</v>
      </c>
      <c r="BJ16" s="132">
        <v>-100.1</v>
      </c>
      <c r="BK16" s="24">
        <f>EchelleFPAparam!$S$3/('crmcfgWLEN.txt'!$U16+B$53)*(SIN(EchelleFPAparam!$T$3-EchelleFPAparam!$M$3/2)+SIN('Standard Settings'!$F11+EchelleFPAparam!$M$3))</f>
        <v>2586.0086320792166</v>
      </c>
      <c r="BL16" s="24">
        <f>EchelleFPAparam!$S$3/('crmcfgWLEN.txt'!$U16+C$53)*(SIN(EchelleFPAparam!$T$3-EchelleFPAparam!$M$3/2)+SIN('Standard Settings'!$F11+EchelleFPAparam!$M$3))</f>
        <v>2473.5734741627284</v>
      </c>
      <c r="BM16" s="24">
        <f>EchelleFPAparam!$S$3/('crmcfgWLEN.txt'!$U16+D$53)*(SIN(EchelleFPAparam!$T$3-EchelleFPAparam!$M$3/2)+SIN('Standard Settings'!$F11+EchelleFPAparam!$M$3))</f>
        <v>2370.5079127392814</v>
      </c>
      <c r="BN16" s="24">
        <f>EchelleFPAparam!$S$3/('crmcfgWLEN.txt'!$U16+E$53)*(SIN(EchelleFPAparam!$T$3-EchelleFPAparam!$M$3/2)+SIN('Standard Settings'!$F11+EchelleFPAparam!$M$3))</f>
        <v>2275.6875962297104</v>
      </c>
      <c r="BO16" s="24">
        <f>EchelleFPAparam!$S$3/('crmcfgWLEN.txt'!$U16+F$53)*(SIN(EchelleFPAparam!$T$3-EchelleFPAparam!$M$3/2)+SIN('Standard Settings'!$F11+EchelleFPAparam!$M$3))</f>
        <v>2188.1611502208752</v>
      </c>
      <c r="BP16" s="24">
        <f>EchelleFPAparam!$S$3/('crmcfgWLEN.txt'!$U16+G$53)*(SIN(EchelleFPAparam!$T$3-EchelleFPAparam!$M$3/2)+SIN('Standard Settings'!$F11+EchelleFPAparam!$M$3))</f>
        <v>2107.1181446571391</v>
      </c>
      <c r="BQ16" s="24">
        <f>EchelleFPAparam!$S$3/('crmcfgWLEN.txt'!$U16+H$53)*(SIN(EchelleFPAparam!$T$3-EchelleFPAparam!$M$3/2)+SIN('Standard Settings'!$F11+EchelleFPAparam!$M$3))</f>
        <v>2031.8639252050984</v>
      </c>
      <c r="BR16" s="24">
        <f>EchelleFPAparam!$S$3/('crmcfgWLEN.txt'!$U16+I$53)*(SIN(EchelleFPAparam!$T$3-EchelleFPAparam!$M$3/2)+SIN('Standard Settings'!$F11+EchelleFPAparam!$M$3))</f>
        <v>1961.799651922164</v>
      </c>
      <c r="BS16" s="24">
        <f>EchelleFPAparam!$S$3/('crmcfgWLEN.txt'!$U16+J$53)*(SIN(EchelleFPAparam!$T$3-EchelleFPAparam!$M$3/2)+SIN('Standard Settings'!$F11+EchelleFPAparam!$M$3))</f>
        <v>1896.406330191425</v>
      </c>
      <c r="BT16" s="24">
        <f>EchelleFPAparam!$S$3/('crmcfgWLEN.txt'!$U16+K$53)*(SIN(EchelleFPAparam!$T$3-EchelleFPAparam!$M$3/2)+SIN('Standard Settings'!$F11+EchelleFPAparam!$M$3))</f>
        <v>1835.2319324433147</v>
      </c>
      <c r="BU16" s="25">
        <f t="shared" si="33"/>
        <v>2537.2160163796088</v>
      </c>
      <c r="BV16" s="25">
        <f t="shared" si="2"/>
        <v>2428.5994109961334</v>
      </c>
      <c r="BW16" s="25">
        <f t="shared" si="3"/>
        <v>2328.9200546210482</v>
      </c>
      <c r="BX16" s="25">
        <f t="shared" si="4"/>
        <v>2237.1166200224275</v>
      </c>
      <c r="BY16" s="25">
        <f t="shared" si="5"/>
        <v>2152.289655954959</v>
      </c>
      <c r="BZ16" s="25">
        <f t="shared" si="6"/>
        <v>2073.6718249006763</v>
      </c>
      <c r="CA16" s="25">
        <f t="shared" si="7"/>
        <v>2000.6044802019433</v>
      </c>
      <c r="CB16" s="25">
        <f t="shared" si="8"/>
        <v>1932.5190601024301</v>
      </c>
      <c r="CC16" s="25">
        <f t="shared" si="9"/>
        <v>1868.9221804785059</v>
      </c>
      <c r="CD16" s="25">
        <f t="shared" si="10"/>
        <v>1809.3835953666483</v>
      </c>
      <c r="CE16" s="25">
        <f t="shared" si="34"/>
        <v>2636.7146836886127</v>
      </c>
      <c r="CF16" s="25">
        <f t="shared" si="11"/>
        <v>2520.2446717884404</v>
      </c>
      <c r="CG16" s="25">
        <f t="shared" si="12"/>
        <v>2413.6080566072683</v>
      </c>
      <c r="CH16" s="25">
        <f t="shared" si="13"/>
        <v>2315.6119400232142</v>
      </c>
      <c r="CI16" s="25">
        <f t="shared" si="14"/>
        <v>2225.2486273432628</v>
      </c>
      <c r="CJ16" s="25">
        <f t="shared" si="15"/>
        <v>2141.6610650613543</v>
      </c>
      <c r="CK16" s="25">
        <f t="shared" si="16"/>
        <v>2064.1157335416874</v>
      </c>
      <c r="CL16" s="25">
        <f t="shared" si="17"/>
        <v>1991.9811850286587</v>
      </c>
      <c r="CM16" s="25">
        <f t="shared" si="18"/>
        <v>1924.7109022838345</v>
      </c>
      <c r="CN16" s="25">
        <f t="shared" si="19"/>
        <v>1861.8294966816238</v>
      </c>
      <c r="CO16" s="26">
        <f>(EchelleFPAparam!$S$3/($U16+B$53)*COS((AG16-EchelleFPAparam!$AE12)*EchelleFPAparam!$C$3/EchelleFPAparam!$E$3))*(SIN('Standard Settings'!$F11)+SIN('Standard Settings'!$F11+EchelleFPAparam!$M$3+(EchelleFPAparam!$F$3*EchelleFPAparam!$B$6)*COS(EchelleFPAparam!$AC$3)-(AG16-1024)*SIN(EchelleFPAparam!$AC$3)*EchelleFPAparam!$C$3/EchelleFPAparam!$E$3))</f>
        <v>2574.887422518791</v>
      </c>
      <c r="CP16" s="26">
        <f>(EchelleFPAparam!$S$3/($U16+C$53)*COS((AH16-EchelleFPAparam!$AE12)*EchelleFPAparam!$C$3/EchelleFPAparam!$E$3))*(SIN('Standard Settings'!$F11)+SIN('Standard Settings'!$F11+EchelleFPAparam!$M$3+(EchelleFPAparam!$F$3*EchelleFPAparam!$B$6)*COS(EchelleFPAparam!$AC$3)-(AH16-1024)*SIN(EchelleFPAparam!$AC$3)*EchelleFPAparam!$C$3/EchelleFPAparam!$E$3))</f>
        <v>2463.0651338749008</v>
      </c>
      <c r="CQ16" s="26">
        <f>(EchelleFPAparam!$S$3/($U16+D$53)*COS((AI16-EchelleFPAparam!$AE12)*EchelleFPAparam!$C$3/EchelleFPAparam!$E$3))*(SIN('Standard Settings'!$F11)+SIN('Standard Settings'!$F11+EchelleFPAparam!$M$3+(EchelleFPAparam!$F$3*EchelleFPAparam!$B$6)*COS(EchelleFPAparam!$AC$3)-(AI16-1024)*SIN(EchelleFPAparam!$AC$3)*EchelleFPAparam!$C$3/EchelleFPAparam!$E$3))</f>
        <v>2360.6579233796624</v>
      </c>
      <c r="CR16" s="26">
        <f>(EchelleFPAparam!$S$3/($U16+E$53)*COS((AJ16-EchelleFPAparam!$AE12)*EchelleFPAparam!$C$3/EchelleFPAparam!$E$3))*(SIN('Standard Settings'!$F11)+SIN('Standard Settings'!$F11+EchelleFPAparam!$M$3+(EchelleFPAparam!$F$3*EchelleFPAparam!$B$6)*COS(EchelleFPAparam!$AC$3)-(AJ16-1024)*SIN(EchelleFPAparam!$AC$3)*EchelleFPAparam!$C$3/EchelleFPAparam!$E$3))</f>
        <v>2266.3876872123205</v>
      </c>
      <c r="CS16" s="26">
        <f>(EchelleFPAparam!$S$3/($U16+F$53)*COS((AK16-EchelleFPAparam!$AE12)*EchelleFPAparam!$C$3/EchelleFPAparam!$E$3))*(SIN('Standard Settings'!$F11)+SIN('Standard Settings'!$F11+EchelleFPAparam!$M$3+(EchelleFPAparam!$F$3*EchelleFPAparam!$B$6)*COS(EchelleFPAparam!$AC$3)-(AK16-1024)*SIN(EchelleFPAparam!$AC$3)*EchelleFPAparam!$C$3/EchelleFPAparam!$E$3))</f>
        <v>2179.3268394276479</v>
      </c>
      <c r="CT16" s="26">
        <f>(EchelleFPAparam!$S$3/($U16+G$53)*COS((AL16-EchelleFPAparam!$AE12)*EchelleFPAparam!$C$3/EchelleFPAparam!$E$3))*(SIN('Standard Settings'!$F11)+SIN('Standard Settings'!$F11+EchelleFPAparam!$M$3+(EchelleFPAparam!$F$3*EchelleFPAparam!$B$6)*COS(EchelleFPAparam!$AC$3)-(AL16-1024)*SIN(EchelleFPAparam!$AC$3)*EchelleFPAparam!$C$3/EchelleFPAparam!$E$3))</f>
        <v>2098.6821504803434</v>
      </c>
      <c r="CU16" s="26">
        <f>(EchelleFPAparam!$S$3/($U16+H$53)*COS((AM16-EchelleFPAparam!$AE12)*EchelleFPAparam!$C$3/EchelleFPAparam!$E$3))*(SIN('Standard Settings'!$F11)+SIN('Standard Settings'!$F11+EchelleFPAparam!$M$3+(EchelleFPAparam!$F$3*EchelleFPAparam!$B$6)*COS(EchelleFPAparam!$AC$3)-(AM16-1024)*SIN(EchelleFPAparam!$AC$3)*EchelleFPAparam!$C$3/EchelleFPAparam!$E$3))</f>
        <v>2023.7724183520904</v>
      </c>
      <c r="CV16" s="26">
        <f>(EchelleFPAparam!$S$3/($U16+I$53)*COS((AN16-EchelleFPAparam!$AE12)*EchelleFPAparam!$C$3/EchelleFPAparam!$E$3))*(SIN('Standard Settings'!$F11)+SIN('Standard Settings'!$F11+EchelleFPAparam!$M$3+(EchelleFPAparam!$F$3*EchelleFPAparam!$B$6)*COS(EchelleFPAparam!$AC$3)-(AN16-1024)*SIN(EchelleFPAparam!$AC$3)*EchelleFPAparam!$C$3/EchelleFPAparam!$E$3))</f>
        <v>1954.0091428386615</v>
      </c>
      <c r="CW16" s="26">
        <f>(EchelleFPAparam!$S$3/($U16+J$53)*COS((AO16-EchelleFPAparam!$AE12)*EchelleFPAparam!$C$3/EchelleFPAparam!$E$3))*(SIN('Standard Settings'!$F11)+SIN('Standard Settings'!$F11+EchelleFPAparam!$M$3+(EchelleFPAparam!$F$3*EchelleFPAparam!$B$6)*COS(EchelleFPAparam!$AC$3)-(AO16-1024)*SIN(EchelleFPAparam!$AC$3)*EchelleFPAparam!$C$3/EchelleFPAparam!$E$3))</f>
        <v>1888.2507765137798</v>
      </c>
      <c r="CX16" s="26">
        <f>(EchelleFPAparam!$S$3/($U16+K$53)*COS((AP16-EchelleFPAparam!$AE12)*EchelleFPAparam!$C$3/EchelleFPAparam!$E$3))*(SIN('Standard Settings'!$F11)+SIN('Standard Settings'!$F11+EchelleFPAparam!$M$3+(EchelleFPAparam!$F$3*EchelleFPAparam!$B$6)*COS(EchelleFPAparam!$AC$3)-(AP16-1024)*SIN(EchelleFPAparam!$AC$3)*EchelleFPAparam!$C$3/EchelleFPAparam!$E$3))</f>
        <v>1827.3394611423676</v>
      </c>
      <c r="CY16" s="26">
        <f>(EchelleFPAparam!$S$3/($U16+B$53)*COS((AG16-EchelleFPAparam!$AE12)*EchelleFPAparam!$C$3/EchelleFPAparam!$E$3))*(SIN('Standard Settings'!$F11)+SIN('Standard Settings'!$F11+EchelleFPAparam!$M$3+EchelleFPAparam!$G$3*EchelleFPAparam!$B$6*COS(EchelleFPAparam!$AC$3)-(AG16-1024)*SIN(EchelleFPAparam!$AC$3)*EchelleFPAparam!$C$3/EchelleFPAparam!$E$3))</f>
        <v>2591.3750606209665</v>
      </c>
      <c r="CZ16" s="26">
        <f>(EchelleFPAparam!$S$3/($U16+C$53)*COS((AH16-EchelleFPAparam!$AE12)*EchelleFPAparam!$C$3/EchelleFPAparam!$E$3))*(SIN('Standard Settings'!$F11)+SIN('Standard Settings'!$F11+EchelleFPAparam!$M$3+EchelleFPAparam!$G$3*EchelleFPAparam!$B$6*COS(EchelleFPAparam!$AC$3)-(AH16-1024)*SIN(EchelleFPAparam!$AC$3)*EchelleFPAparam!$C$3/EchelleFPAparam!$E$3))</f>
        <v>2478.83502326695</v>
      </c>
      <c r="DA16" s="26">
        <f>(EchelleFPAparam!$S$3/($U16+D$53)*COS((AI16-EchelleFPAparam!$AE12)*EchelleFPAparam!$C$3/EchelleFPAparam!$E$3))*(SIN('Standard Settings'!$F11)+SIN('Standard Settings'!$F11+EchelleFPAparam!$M$3+EchelleFPAparam!$G$3*EchelleFPAparam!$B$6*COS(EchelleFPAparam!$AC$3)-(AI16-1024)*SIN(EchelleFPAparam!$AC$3)*EchelleFPAparam!$C$3/EchelleFPAparam!$E$3))</f>
        <v>2375.7687682983369</v>
      </c>
      <c r="DB16" s="26">
        <f>(EchelleFPAparam!$S$3/($U16+E$53)*COS((AJ16-EchelleFPAparam!$AE12)*EchelleFPAparam!$C$3/EchelleFPAparam!$E$3))*(SIN('Standard Settings'!$F11)+SIN('Standard Settings'!$F11+EchelleFPAparam!$M$3+EchelleFPAparam!$G$3*EchelleFPAparam!$B$6*COS(EchelleFPAparam!$AC$3)-(AJ16-1024)*SIN(EchelleFPAparam!$AC$3)*EchelleFPAparam!$C$3/EchelleFPAparam!$E$3))</f>
        <v>2280.8921372446098</v>
      </c>
      <c r="DC16" s="26">
        <f>(EchelleFPAparam!$S$3/($U16+F$53)*COS((AK16-EchelleFPAparam!$AE12)*EchelleFPAparam!$C$3/EchelleFPAparam!$E$3))*(SIN('Standard Settings'!$F11)+SIN('Standard Settings'!$F11+EchelleFPAparam!$M$3+EchelleFPAparam!$G$3*EchelleFPAparam!$B$6*COS(EchelleFPAparam!$AC$3)-(AK16-1024)*SIN(EchelleFPAparam!$AC$3)*EchelleFPAparam!$C$3/EchelleFPAparam!$E$3))</f>
        <v>2193.2714987870563</v>
      </c>
      <c r="DD16" s="26">
        <f>(EchelleFPAparam!$S$3/($U16+G$53)*COS((AL16-EchelleFPAparam!$AE12)*EchelleFPAparam!$C$3/EchelleFPAparam!$E$3))*(SIN('Standard Settings'!$F11)+SIN('Standard Settings'!$F11+EchelleFPAparam!$M$3+EchelleFPAparam!$G$3*EchelleFPAparam!$B$6*COS(EchelleFPAparam!$AC$3)-(AL16-1024)*SIN(EchelleFPAparam!$AC$3)*EchelleFPAparam!$C$3/EchelleFPAparam!$E$3))</f>
        <v>2112.1084743137135</v>
      </c>
      <c r="DE16" s="26">
        <f>(EchelleFPAparam!$S$3/($U16+H$53)*COS((AM16-EchelleFPAparam!$AE12)*EchelleFPAparam!$C$3/EchelleFPAparam!$E$3))*(SIN('Standard Settings'!$F11)+SIN('Standard Settings'!$F11+EchelleFPAparam!$M$3+EchelleFPAparam!$G$3*EchelleFPAparam!$B$6*COS(EchelleFPAparam!$AC$3)-(AM16-1024)*SIN(EchelleFPAparam!$AC$3)*EchelleFPAparam!$C$3/EchelleFPAparam!$E$3))</f>
        <v>2036.7174358233474</v>
      </c>
      <c r="DF16" s="26">
        <f>(EchelleFPAparam!$S$3/($U16+I$53)*COS((AN16-EchelleFPAparam!$AE12)*EchelleFPAparam!$C$3/EchelleFPAparam!$E$3))*(SIN('Standard Settings'!$F11)+SIN('Standard Settings'!$F11+EchelleFPAparam!$M$3+EchelleFPAparam!$G$3*EchelleFPAparam!$B$6*COS(EchelleFPAparam!$AC$3)-(AN16-1024)*SIN(EchelleFPAparam!$AC$3)*EchelleFPAparam!$C$3/EchelleFPAparam!$E$3))</f>
        <v>1966.5060547907808</v>
      </c>
      <c r="DG16" s="26">
        <f>(EchelleFPAparam!$S$3/($U16+J$53)*COS((AO16-EchelleFPAparam!$AE12)*EchelleFPAparam!$C$3/EchelleFPAparam!$E$3))*(SIN('Standard Settings'!$F11)+SIN('Standard Settings'!$F11+EchelleFPAparam!$M$3+EchelleFPAparam!$G$3*EchelleFPAparam!$B$6*COS(EchelleFPAparam!$AC$3)-(AO16-1024)*SIN(EchelleFPAparam!$AC$3)*EchelleFPAparam!$C$3/EchelleFPAparam!$E$3))</f>
        <v>1900.3417111220419</v>
      </c>
      <c r="DH16" s="26">
        <f>(EchelleFPAparam!$S$3/($U16+K$53)*COS((AP16-EchelleFPAparam!$AE12)*EchelleFPAparam!$C$3/EchelleFPAparam!$E$3))*(SIN('Standard Settings'!$F11)+SIN('Standard Settings'!$F11+EchelleFPAparam!$M$3+EchelleFPAparam!$G$3*EchelleFPAparam!$B$6*COS(EchelleFPAparam!$AC$3)-(AP16-1024)*SIN(EchelleFPAparam!$AC$3)*EchelleFPAparam!$C$3/EchelleFPAparam!$E$3))</f>
        <v>1839.0403656019762</v>
      </c>
      <c r="DI16" s="26">
        <f>(EchelleFPAparam!$S$3/($U16+B$53)*COS((AQ16-EchelleFPAparam!$AE12)*EchelleFPAparam!$C$3/EchelleFPAparam!$E$3))*(SIN('Standard Settings'!$F11)+SIN('Standard Settings'!$F11+EchelleFPAparam!$M$3+EchelleFPAparam!$H$3*EchelleFPAparam!$B$6*COS(EchelleFPAparam!$AC$3)-(AQ16-1024)*SIN(EchelleFPAparam!$AC$3)*EchelleFPAparam!$C$3/EchelleFPAparam!$E$3))</f>
        <v>2592.5067104061591</v>
      </c>
      <c r="DJ16" s="26">
        <f>(EchelleFPAparam!$S$3/($U16+C$53)*COS((AR16-EchelleFPAparam!$AE12)*EchelleFPAparam!$C$3/EchelleFPAparam!$E$3))*(SIN('Standard Settings'!$F11)+SIN('Standard Settings'!$F11+EchelleFPAparam!$M$3+EchelleFPAparam!$H$3*EchelleFPAparam!$B$6*COS(EchelleFPAparam!$AC$3)-(AR16-1024)*SIN(EchelleFPAparam!$AC$3)*EchelleFPAparam!$C$3/EchelleFPAparam!$E$3))</f>
        <v>2479.9141652247758</v>
      </c>
      <c r="DK16" s="26">
        <f>(EchelleFPAparam!$S$3/($U16+D$53)*COS((AS16-EchelleFPAparam!$AE12)*EchelleFPAparam!$C$3/EchelleFPAparam!$E$3))*(SIN('Standard Settings'!$F11)+SIN('Standard Settings'!$F11+EchelleFPAparam!$M$3+EchelleFPAparam!$H$3*EchelleFPAparam!$B$6*COS(EchelleFPAparam!$AC$3)-(AS16-1024)*SIN(EchelleFPAparam!$AC$3)*EchelleFPAparam!$C$3/EchelleFPAparam!$E$3))</f>
        <v>2376.8047675512589</v>
      </c>
      <c r="DL16" s="26">
        <f>(EchelleFPAparam!$S$3/($U16+E$53)*COS((AT16-EchelleFPAparam!$AE12)*EchelleFPAparam!$C$3/EchelleFPAparam!$E$3))*(SIN('Standard Settings'!$F11)+SIN('Standard Settings'!$F11+EchelleFPAparam!$M$3+EchelleFPAparam!$H$3*EchelleFPAparam!$B$6*COS(EchelleFPAparam!$AC$3)-(AT16-1024)*SIN(EchelleFPAparam!$AC$3)*EchelleFPAparam!$C$3/EchelleFPAparam!$E$3))</f>
        <v>2281.8876175573314</v>
      </c>
      <c r="DM16" s="26">
        <f>(EchelleFPAparam!$S$3/($U16+F$53)*COS((AU16-EchelleFPAparam!$AE12)*EchelleFPAparam!$C$3/EchelleFPAparam!$E$3))*(SIN('Standard Settings'!$F11)+SIN('Standard Settings'!$F11+EchelleFPAparam!$M$3+EchelleFPAparam!$H$3*EchelleFPAparam!$B$6*COS(EchelleFPAparam!$AC$3)-(AU16-1024)*SIN(EchelleFPAparam!$AC$3)*EchelleFPAparam!$C$3/EchelleFPAparam!$E$3))</f>
        <v>2194.2293305541371</v>
      </c>
      <c r="DN16" s="26">
        <f>(EchelleFPAparam!$S$3/($U16+G$53)*COS((AV16-EchelleFPAparam!$AE12)*EchelleFPAparam!$C$3/EchelleFPAparam!$E$3))*(SIN('Standard Settings'!$F11)+SIN('Standard Settings'!$F11+EchelleFPAparam!$M$3+EchelleFPAparam!$H$3*EchelleFPAparam!$B$6*COS(EchelleFPAparam!$AC$3)-(AV16-1024)*SIN(EchelleFPAparam!$AC$3)*EchelleFPAparam!$C$3/EchelleFPAparam!$E$3))</f>
        <v>2113.0308474378717</v>
      </c>
      <c r="DO16" s="26">
        <f>(EchelleFPAparam!$S$3/($U16+H$53)*COS((AW16-EchelleFPAparam!$AE12)*EchelleFPAparam!$C$3/EchelleFPAparam!$E$3))*(SIN('Standard Settings'!$F11)+SIN('Standard Settings'!$F11+EchelleFPAparam!$M$3+EchelleFPAparam!$H$3*EchelleFPAparam!$B$6*COS(EchelleFPAparam!$AC$3)-(AW16-1024)*SIN(EchelleFPAparam!$AC$3)*EchelleFPAparam!$C$3/EchelleFPAparam!$E$3))</f>
        <v>2037.6066043112817</v>
      </c>
      <c r="DP16" s="26">
        <f>(EchelleFPAparam!$S$3/($U16+I$53)*COS((AX16-EchelleFPAparam!$AE12)*EchelleFPAparam!$C$3/EchelleFPAparam!$E$3))*(SIN('Standard Settings'!$F11)+SIN('Standard Settings'!$F11+EchelleFPAparam!$M$3+EchelleFPAparam!$H$3*EchelleFPAparam!$B$6*COS(EchelleFPAparam!$AC$3)-(AX16-1024)*SIN(EchelleFPAparam!$AC$3)*EchelleFPAparam!$C$3/EchelleFPAparam!$E$3))</f>
        <v>1967.3641193436931</v>
      </c>
      <c r="DQ16" s="26">
        <f>(EchelleFPAparam!$S$3/($U16+J$53)*COS((AY16-EchelleFPAparam!$AE12)*EchelleFPAparam!$C$3/EchelleFPAparam!$E$3))*(SIN('Standard Settings'!$F11)+SIN('Standard Settings'!$F11+EchelleFPAparam!$M$3+EchelleFPAparam!$H$3*EchelleFPAparam!$B$6*COS(EchelleFPAparam!$AC$3)-(AY16-1024)*SIN(EchelleFPAparam!$AC$3)*EchelleFPAparam!$C$3/EchelleFPAparam!$E$3))</f>
        <v>1901.171587631183</v>
      </c>
      <c r="DR16" s="26">
        <f>(EchelleFPAparam!$S$3/($U16+K$53)*COS((AZ16-EchelleFPAparam!$AE12)*EchelleFPAparam!$C$3/EchelleFPAparam!$E$3))*(SIN('Standard Settings'!$F11)+SIN('Standard Settings'!$F11+EchelleFPAparam!$M$3+EchelleFPAparam!$H$3*EchelleFPAparam!$B$6*COS(EchelleFPAparam!$AC$3)-(AZ16-1024)*SIN(EchelleFPAparam!$AC$3)*EchelleFPAparam!$C$3/EchelleFPAparam!$E$3))</f>
        <v>1839.843471901145</v>
      </c>
      <c r="DS16" s="26">
        <f>(EchelleFPAparam!$S$3/($U16+B$53)*COS((AQ16-EchelleFPAparam!$AE12)*EchelleFPAparam!$C$3/EchelleFPAparam!$E$3))*(SIN('Standard Settings'!$F11)+SIN('Standard Settings'!$F11+EchelleFPAparam!$M$3+EchelleFPAparam!$I$3*EchelleFPAparam!$B$6*COS(EchelleFPAparam!$AC$3)-(AQ16-1024)*SIN(EchelleFPAparam!$AC$3)*EchelleFPAparam!$C$3/EchelleFPAparam!$E$3))</f>
        <v>2608.1674105035463</v>
      </c>
      <c r="DT16" s="26">
        <f>(EchelleFPAparam!$S$3/($U16+C$53)*COS((AR16-EchelleFPAparam!$AE12)*EchelleFPAparam!$C$3/EchelleFPAparam!$E$3))*(SIN('Standard Settings'!$F11)+SIN('Standard Settings'!$F11+EchelleFPAparam!$M$3+EchelleFPAparam!$I$3*EchelleFPAparam!$B$6*COS(EchelleFPAparam!$AC$3)-(AR16-1024)*SIN(EchelleFPAparam!$AC$3)*EchelleFPAparam!$C$3/EchelleFPAparam!$E$3))</f>
        <v>2494.8930448458632</v>
      </c>
      <c r="DU16" s="26">
        <f>(EchelleFPAparam!$S$3/($U16+D$53)*COS((AS16-EchelleFPAparam!$AE12)*EchelleFPAparam!$C$3/EchelleFPAparam!$E$3))*(SIN('Standard Settings'!$F11)+SIN('Standard Settings'!$F11+EchelleFPAparam!$M$3+EchelleFPAparam!$I$3*EchelleFPAparam!$B$6*COS(EchelleFPAparam!$AC$3)-(AS16-1024)*SIN(EchelleFPAparam!$AC$3)*EchelleFPAparam!$C$3/EchelleFPAparam!$E$3))</f>
        <v>2391.157459321063</v>
      </c>
      <c r="DV16" s="26">
        <f>(EchelleFPAparam!$S$3/($U16+E$53)*COS((AT16-EchelleFPAparam!$AE12)*EchelleFPAparam!$C$3/EchelleFPAparam!$E$3))*(SIN('Standard Settings'!$F11)+SIN('Standard Settings'!$F11+EchelleFPAparam!$M$3+EchelleFPAparam!$I$3*EchelleFPAparam!$B$6*COS(EchelleFPAparam!$AC$3)-(AT16-1024)*SIN(EchelleFPAparam!$AC$3)*EchelleFPAparam!$C$3/EchelleFPAparam!$E$3))</f>
        <v>2295.6641618168401</v>
      </c>
      <c r="DW16" s="26">
        <f>(EchelleFPAparam!$S$3/($U16+F$53)*COS((AU16-EchelleFPAparam!$AE12)*EchelleFPAparam!$C$3/EchelleFPAparam!$E$3))*(SIN('Standard Settings'!$F11)+SIN('Standard Settings'!$F11+EchelleFPAparam!$M$3+EchelleFPAparam!$I$3*EchelleFPAparam!$B$6*COS(EchelleFPAparam!$AC$3)-(AU16-1024)*SIN(EchelleFPAparam!$AC$3)*EchelleFPAparam!$C$3/EchelleFPAparam!$E$3))</f>
        <v>2207.4740135370052</v>
      </c>
      <c r="DX16" s="26">
        <f>(EchelleFPAparam!$S$3/($U16+G$53)*COS((AV16-EchelleFPAparam!$AE12)*EchelleFPAparam!$C$3/EchelleFPAparam!$E$3))*(SIN('Standard Settings'!$F11)+SIN('Standard Settings'!$F11+EchelleFPAparam!$M$3+EchelleFPAparam!$I$3*EchelleFPAparam!$B$6*COS(EchelleFPAparam!$AC$3)-(AV16-1024)*SIN(EchelleFPAparam!$AC$3)*EchelleFPAparam!$C$3/EchelleFPAparam!$E$3))</f>
        <v>2125.7830701033708</v>
      </c>
      <c r="DY16" s="26">
        <f>(EchelleFPAparam!$S$3/($U16+H$53)*COS((AW16-EchelleFPAparam!$AE12)*EchelleFPAparam!$C$3/EchelleFPAparam!$E$3))*(SIN('Standard Settings'!$F11)+SIN('Standard Settings'!$F11+EchelleFPAparam!$M$3+EchelleFPAparam!$I$3*EchelleFPAparam!$B$6*COS(EchelleFPAparam!$AC$3)-(AW16-1024)*SIN(EchelleFPAparam!$AC$3)*EchelleFPAparam!$C$3/EchelleFPAparam!$E$3))</f>
        <v>2049.9015568010427</v>
      </c>
      <c r="DZ16" s="26">
        <f>(EchelleFPAparam!$S$3/($U16+I$53)*COS((AX16-EchelleFPAparam!$AE12)*EchelleFPAparam!$C$3/EchelleFPAparam!$E$3))*(SIN('Standard Settings'!$F11)+SIN('Standard Settings'!$F11+EchelleFPAparam!$M$3+EchelleFPAparam!$I$3*EchelleFPAparam!$B$6*COS(EchelleFPAparam!$AC$3)-(AX16-1024)*SIN(EchelleFPAparam!$AC$3)*EchelleFPAparam!$C$3/EchelleFPAparam!$E$3))</f>
        <v>1979.2333507696499</v>
      </c>
      <c r="EA16" s="26">
        <f>(EchelleFPAparam!$S$3/($U16+J$53)*COS((AY16-EchelleFPAparam!$AE12)*EchelleFPAparam!$C$3/EchelleFPAparam!$E$3))*(SIN('Standard Settings'!$F11)+SIN('Standard Settings'!$F11+EchelleFPAparam!$M$3+EchelleFPAparam!$I$3*EchelleFPAparam!$B$6*COS(EchelleFPAparam!$AC$3)-(AY16-1024)*SIN(EchelleFPAparam!$AC$3)*EchelleFPAparam!$C$3/EchelleFPAparam!$E$3))</f>
        <v>1912.6561010359335</v>
      </c>
      <c r="EB16" s="26">
        <f>(EchelleFPAparam!$S$3/($U16+K$53)*COS((AZ16-EchelleFPAparam!$AE12)*EchelleFPAparam!$C$3/EchelleFPAparam!$E$3))*(SIN('Standard Settings'!$F11)+SIN('Standard Settings'!$F11+EchelleFPAparam!$M$3+EchelleFPAparam!$I$3*EchelleFPAparam!$B$6*COS(EchelleFPAparam!$AC$3)-(AZ16-1024)*SIN(EchelleFPAparam!$AC$3)*EchelleFPAparam!$C$3/EchelleFPAparam!$E$3))</f>
        <v>1850.9575171315487</v>
      </c>
      <c r="EC16" s="26">
        <f>(EchelleFPAparam!$S$3/($U16+B$53)*COS((BA16-EchelleFPAparam!$AE12)*EchelleFPAparam!$C$3/EchelleFPAparam!$E$3))*(SIN('Standard Settings'!$F11)+SIN('Standard Settings'!$F11+EchelleFPAparam!$M$3+EchelleFPAparam!$J$3*EchelleFPAparam!$B$6*COS(EchelleFPAparam!$AC$3)-(BA16-1024)*SIN(EchelleFPAparam!$AC$3)*EchelleFPAparam!$C$3/EchelleFPAparam!$E$3))</f>
        <v>2609.2714149424164</v>
      </c>
      <c r="ED16" s="26">
        <f>(EchelleFPAparam!$S$3/($U16+C$53)*COS((BB16-EchelleFPAparam!$AE12)*EchelleFPAparam!$C$3/EchelleFPAparam!$E$3))*(SIN('Standard Settings'!$F11)+SIN('Standard Settings'!$F11+EchelleFPAparam!$M$3+EchelleFPAparam!$J$3*EchelleFPAparam!$B$6*COS(EchelleFPAparam!$AC$3)-(BB16-1024)*SIN(EchelleFPAparam!$AC$3)*EchelleFPAparam!$C$3/EchelleFPAparam!$E$3))</f>
        <v>2495.9457191687798</v>
      </c>
      <c r="EE16" s="26">
        <f>(EchelleFPAparam!$S$3/($U16+D$53)*COS((BC16-EchelleFPAparam!$AE12)*EchelleFPAparam!$C$3/EchelleFPAparam!$E$3))*(SIN('Standard Settings'!$F11)+SIN('Standard Settings'!$F11+EchelleFPAparam!$M$3+EchelleFPAparam!$J$3*EchelleFPAparam!$B$6*COS(EchelleFPAparam!$AC$3)-(BC16-1024)*SIN(EchelleFPAparam!$AC$3)*EchelleFPAparam!$C$3/EchelleFPAparam!$E$3))</f>
        <v>2392.1684895785106</v>
      </c>
      <c r="EF16" s="26">
        <f>(EchelleFPAparam!$S$3/($U16+E$53)*COS((BD16-EchelleFPAparam!$AE12)*EchelleFPAparam!$C$3/EchelleFPAparam!$E$3))*(SIN('Standard Settings'!$F11)+SIN('Standard Settings'!$F11+EchelleFPAparam!$M$3+EchelleFPAparam!$J$3*EchelleFPAparam!$B$6*COS(EchelleFPAparam!$AC$3)-(BD16-1024)*SIN(EchelleFPAparam!$AC$3)*EchelleFPAparam!$C$3/EchelleFPAparam!$E$3))</f>
        <v>2296.6358768490495</v>
      </c>
      <c r="EG16" s="26">
        <f>(EchelleFPAparam!$S$3/($U16+F$53)*COS((BE16-EchelleFPAparam!$AE12)*EchelleFPAparam!$C$3/EchelleFPAparam!$E$3))*(SIN('Standard Settings'!$F11)+SIN('Standard Settings'!$F11+EchelleFPAparam!$M$3+EchelleFPAparam!$J$3*EchelleFPAparam!$B$6*COS(EchelleFPAparam!$AC$3)-(BE16-1024)*SIN(EchelleFPAparam!$AC$3)*EchelleFPAparam!$C$3/EchelleFPAparam!$E$3))</f>
        <v>2208.4085933324473</v>
      </c>
      <c r="EH16" s="26">
        <f>(EchelleFPAparam!$S$3/($U16+G$53)*COS((BF16-EchelleFPAparam!$AE12)*EchelleFPAparam!$C$3/EchelleFPAparam!$E$3))*(SIN('Standard Settings'!$F11)+SIN('Standard Settings'!$F11+EchelleFPAparam!$M$3+EchelleFPAparam!$J$3*EchelleFPAparam!$B$6*COS(EchelleFPAparam!$AC$3)-(BF16-1024)*SIN(EchelleFPAparam!$AC$3)*EchelleFPAparam!$C$3/EchelleFPAparam!$E$3))</f>
        <v>2126.683120084459</v>
      </c>
      <c r="EI16" s="26">
        <f>(EchelleFPAparam!$S$3/($U16+H$53)*COS((BG16-EchelleFPAparam!$AE12)*EchelleFPAparam!$C$3/EchelleFPAparam!$E$3))*(SIN('Standard Settings'!$F11)+SIN('Standard Settings'!$F11+EchelleFPAparam!$M$3+EchelleFPAparam!$J$3*EchelleFPAparam!$B$6*COS(EchelleFPAparam!$AC$3)-(BG16-1024)*SIN(EchelleFPAparam!$AC$3)*EchelleFPAparam!$C$3/EchelleFPAparam!$E$3))</f>
        <v>2050.7691276803621</v>
      </c>
      <c r="EJ16" s="26">
        <f>(EchelleFPAparam!$S$3/($U16+I$53)*COS((BH16-EchelleFPAparam!$AE12)*EchelleFPAparam!$C$3/EchelleFPAparam!$E$3))*(SIN('Standard Settings'!$F11)+SIN('Standard Settings'!$F11+EchelleFPAparam!$M$3+EchelleFPAparam!$J$3*EchelleFPAparam!$B$6*COS(EchelleFPAparam!$AC$3)-(BH16-1024)*SIN(EchelleFPAparam!$AC$3)*EchelleFPAparam!$C$3/EchelleFPAparam!$E$3))</f>
        <v>1980.0703800817471</v>
      </c>
      <c r="EK16" s="26">
        <f>(EchelleFPAparam!$S$3/($U16+J$53)*COS((BI16-EchelleFPAparam!$AE12)*EchelleFPAparam!$C$3/EchelleFPAparam!$E$3))*(SIN('Standard Settings'!$F11)+SIN('Standard Settings'!$F11+EchelleFPAparam!$M$3+EchelleFPAparam!$J$3*EchelleFPAparam!$B$6*COS(EchelleFPAparam!$AC$3)-(BI16-1024)*SIN(EchelleFPAparam!$AC$3)*EchelleFPAparam!$C$3/EchelleFPAparam!$E$3))</f>
        <v>1913.4657042911051</v>
      </c>
      <c r="EL16" s="26">
        <f>(EchelleFPAparam!$S$3/($U16+K$53)*COS((BJ16-EchelleFPAparam!$AE12)*EchelleFPAparam!$C$3/EchelleFPAparam!$E$3))*(SIN('Standard Settings'!$F11)+SIN('Standard Settings'!$F11+EchelleFPAparam!$M$3+EchelleFPAparam!$J$3*EchelleFPAparam!$B$6*COS(EchelleFPAparam!$AC$3)-(BJ16-1024)*SIN(EchelleFPAparam!$AC$3)*EchelleFPAparam!$C$3/EchelleFPAparam!$E$3))</f>
        <v>1851.7410041526823</v>
      </c>
      <c r="EM16" s="26">
        <f>(EchelleFPAparam!$S$3/($U16+B$53)*COS((BA16-EchelleFPAparam!$AE12)*EchelleFPAparam!$C$3/EchelleFPAparam!$E$3))*(SIN('Standard Settings'!$F11)+SIN('Standard Settings'!$F11+EchelleFPAparam!$M$3+EchelleFPAparam!$K$3*EchelleFPAparam!$B$6*COS(EchelleFPAparam!$AC$3)-(BA16-1024)*SIN(EchelleFPAparam!$AC$3)*EchelleFPAparam!$C$3/EchelleFPAparam!$E$3))</f>
        <v>2624.0927011240992</v>
      </c>
      <c r="EN16" s="26">
        <f>(EchelleFPAparam!$S$3/($U16+C$53)*COS((BB16-EchelleFPAparam!$AE12)*EchelleFPAparam!$C$3/EchelleFPAparam!$E$3))*(SIN('Standard Settings'!$F11)+SIN('Standard Settings'!$F11+EchelleFPAparam!$M$3+EchelleFPAparam!$K$3*EchelleFPAparam!$B$6*COS(EchelleFPAparam!$AC$3)-(BB16-1024)*SIN(EchelleFPAparam!$AC$3)*EchelleFPAparam!$C$3/EchelleFPAparam!$E$3))</f>
        <v>2510.1216589829751</v>
      </c>
      <c r="EO16" s="26">
        <f>(EchelleFPAparam!$S$3/($U16+D$53)*COS((BC16-EchelleFPAparam!$AE12)*EchelleFPAparam!$C$3/EchelleFPAparam!$E$3))*(SIN('Standard Settings'!$F11)+SIN('Standard Settings'!$F11+EchelleFPAparam!$M$3+EchelleFPAparam!$K$3*EchelleFPAparam!$B$6*COS(EchelleFPAparam!$AC$3)-(BC16-1024)*SIN(EchelleFPAparam!$AC$3)*EchelleFPAparam!$C$3/EchelleFPAparam!$E$3))</f>
        <v>2405.75159030129</v>
      </c>
      <c r="EP16" s="26">
        <f>(EchelleFPAparam!$S$3/($U16+E$53)*COS((BD16-EchelleFPAparam!$AE12)*EchelleFPAparam!$C$3/EchelleFPAparam!$E$3))*(SIN('Standard Settings'!$F11)+SIN('Standard Settings'!$F11+EchelleFPAparam!$M$3+EchelleFPAparam!$K$3*EchelleFPAparam!$B$6*COS(EchelleFPAparam!$AC$3)-(BD16-1024)*SIN(EchelleFPAparam!$AC$3)*EchelleFPAparam!$C$3/EchelleFPAparam!$E$3))</f>
        <v>2309.6735299517359</v>
      </c>
      <c r="EQ16" s="26">
        <f>(EchelleFPAparam!$S$3/($U16+F$53)*COS((BE16-EchelleFPAparam!$AE12)*EchelleFPAparam!$C$3/EchelleFPAparam!$E$3))*(SIN('Standard Settings'!$F11)+SIN('Standard Settings'!$F11+EchelleFPAparam!$M$3+EchelleFPAparam!$K$3*EchelleFPAparam!$B$6*COS(EchelleFPAparam!$AC$3)-(BE16-1024)*SIN(EchelleFPAparam!$AC$3)*EchelleFPAparam!$C$3/EchelleFPAparam!$E$3))</f>
        <v>2220.9427422749827</v>
      </c>
      <c r="ER16" s="26">
        <f>(EchelleFPAparam!$S$3/($U16+G$53)*COS((BF16-EchelleFPAparam!$AE12)*EchelleFPAparam!$C$3/EchelleFPAparam!$E$3))*(SIN('Standard Settings'!$F11)+SIN('Standard Settings'!$F11+EchelleFPAparam!$M$3+EchelleFPAparam!$K$3*EchelleFPAparam!$B$6*COS(EchelleFPAparam!$AC$3)-(BF16-1024)*SIN(EchelleFPAparam!$AC$3)*EchelleFPAparam!$C$3/EchelleFPAparam!$E$3))</f>
        <v>2138.7510700371286</v>
      </c>
      <c r="ES16" s="26">
        <f>(EchelleFPAparam!$S$3/($U16+H$53)*COS((BG16-EchelleFPAparam!$AE12)*EchelleFPAparam!$C$3/EchelleFPAparam!$E$3))*(SIN('Standard Settings'!$F11)+SIN('Standard Settings'!$F11+EchelleFPAparam!$M$3+EchelleFPAparam!$K$3*EchelleFPAparam!$B$6*COS(EchelleFPAparam!$AC$3)-(BG16-1024)*SIN(EchelleFPAparam!$AC$3)*EchelleFPAparam!$C$3/EchelleFPAparam!$E$3))</f>
        <v>2062.4042031558492</v>
      </c>
      <c r="ET16" s="26">
        <f>(EchelleFPAparam!$S$3/($U16+I$53)*COS((BH16-EchelleFPAparam!$AE12)*EchelleFPAparam!$C$3/EchelleFPAparam!$E$3))*(SIN('Standard Settings'!$F11)+SIN('Standard Settings'!$F11+EchelleFPAparam!$M$3+EchelleFPAparam!$K$3*EchelleFPAparam!$B$6*COS(EchelleFPAparam!$AC$3)-(BH16-1024)*SIN(EchelleFPAparam!$AC$3)*EchelleFPAparam!$C$3/EchelleFPAparam!$E$3))</f>
        <v>1991.3024610047196</v>
      </c>
      <c r="EU16" s="26">
        <f>(EchelleFPAparam!$S$3/($U16+J$53)*COS((BI16-EchelleFPAparam!$AE12)*EchelleFPAparam!$C$3/EchelleFPAparam!$E$3))*(SIN('Standard Settings'!$F11)+SIN('Standard Settings'!$F11+EchelleFPAparam!$M$3+EchelleFPAparam!$K$3*EchelleFPAparam!$B$6*COS(EchelleFPAparam!$AC$3)-(BI16-1024)*SIN(EchelleFPAparam!$AC$3)*EchelleFPAparam!$C$3/EchelleFPAparam!$E$3))</f>
        <v>1924.3346474910059</v>
      </c>
      <c r="EV16" s="26">
        <f>(EchelleFPAparam!$S$3/($U16+K$53)*COS((BJ16-EchelleFPAparam!$AE12)*EchelleFPAparam!$C$3/EchelleFPAparam!$E$3))*(SIN('Standard Settings'!$F11)+SIN('Standard Settings'!$F11+EchelleFPAparam!$M$3+EchelleFPAparam!$K$3*EchelleFPAparam!$B$6*COS(EchelleFPAparam!$AC$3)-(BJ16-1024)*SIN(EchelleFPAparam!$AC$3)*EchelleFPAparam!$C$3/EchelleFPAparam!$E$3))</f>
        <v>1862.2593362816185</v>
      </c>
      <c r="EW16" s="60">
        <f t="shared" si="40"/>
        <v>1954.0091428386615</v>
      </c>
      <c r="EX16" s="60">
        <f>EN16</f>
        <v>2510.1216589829751</v>
      </c>
      <c r="EY16" s="90">
        <v>0.39</v>
      </c>
      <c r="EZ16" s="90">
        <v>0.36</v>
      </c>
      <c r="FA16" s="50">
        <v>30000</v>
      </c>
      <c r="FB16" s="50">
        <v>5000</v>
      </c>
      <c r="FC16" s="50">
        <v>5000</v>
      </c>
      <c r="FD16" s="50">
        <v>10000</v>
      </c>
      <c r="FE16" s="95">
        <v>100</v>
      </c>
      <c r="FF16" s="50">
        <v>5000</v>
      </c>
      <c r="FG16" s="50">
        <v>350</v>
      </c>
      <c r="FH16" s="50">
        <f t="shared" si="27"/>
        <v>1250</v>
      </c>
      <c r="FI16" s="50">
        <f t="shared" si="28"/>
        <v>1250</v>
      </c>
      <c r="FJ16" s="50">
        <f t="shared" si="29"/>
        <v>2500</v>
      </c>
      <c r="FK16" s="95">
        <f t="shared" si="30"/>
        <v>25</v>
      </c>
      <c r="FL16" s="50">
        <f t="shared" si="31"/>
        <v>1250</v>
      </c>
      <c r="FM16" s="50">
        <f t="shared" si="32"/>
        <v>87.5</v>
      </c>
      <c r="FN16" s="50">
        <v>500</v>
      </c>
      <c r="FO16" s="91">
        <f>1/(F16*EchelleFPAparam!$Q$3)</f>
        <v>-5929.3625910899736</v>
      </c>
      <c r="FP16" s="91">
        <f t="shared" si="22"/>
        <v>-38.345960844465168</v>
      </c>
      <c r="FQ16" s="50">
        <v>-999999</v>
      </c>
      <c r="FR16" s="50">
        <v>-999999</v>
      </c>
      <c r="FS16" s="90">
        <v>1</v>
      </c>
      <c r="FT16" s="90">
        <v>1821.4380000000001</v>
      </c>
      <c r="FU16" s="90">
        <f>1548.492-180</f>
        <v>1368.492</v>
      </c>
      <c r="FV16" s="50">
        <v>-999999</v>
      </c>
      <c r="FW16" s="50">
        <v>-999999</v>
      </c>
      <c r="FX16" s="50">
        <v>-999999</v>
      </c>
      <c r="FY16" s="90">
        <v>1</v>
      </c>
      <c r="FZ16" s="90">
        <v>1800.7159999999999</v>
      </c>
      <c r="GA16" s="90">
        <f>1264.093-180</f>
        <v>1084.0930000000001</v>
      </c>
      <c r="GB16" s="50">
        <v>-999999</v>
      </c>
      <c r="GC16" s="50">
        <v>-999999</v>
      </c>
      <c r="GD16" s="50">
        <v>-999999</v>
      </c>
      <c r="GE16" s="90">
        <v>2</v>
      </c>
      <c r="GF16" s="90">
        <v>1582.8530000000001</v>
      </c>
      <c r="GG16" s="90">
        <f>1265.168-180</f>
        <v>1085.1679999999999</v>
      </c>
      <c r="GH16" s="50">
        <v>-999999</v>
      </c>
      <c r="GI16" s="50">
        <v>-999999</v>
      </c>
      <c r="GJ16" s="50">
        <v>-999999</v>
      </c>
      <c r="GK16" s="90">
        <v>2</v>
      </c>
      <c r="GL16" s="90">
        <v>78.926000000000002</v>
      </c>
      <c r="GM16" s="90">
        <f>1255.946-180</f>
        <v>1075.9459999999999</v>
      </c>
      <c r="GN16" s="50">
        <v>-999999</v>
      </c>
      <c r="GO16" s="50">
        <v>-999999</v>
      </c>
      <c r="GP16" s="50">
        <v>-999999</v>
      </c>
      <c r="GQ16" s="90">
        <v>3</v>
      </c>
      <c r="GR16" s="90">
        <v>551.08199999999999</v>
      </c>
      <c r="GS16" s="90">
        <f>1265.778-180</f>
        <v>1085.778</v>
      </c>
      <c r="GT16" s="50">
        <v>-999999</v>
      </c>
      <c r="GU16" s="50">
        <v>-999999</v>
      </c>
      <c r="GV16" s="50">
        <v>-999999</v>
      </c>
      <c r="GW16" s="50">
        <v>-999999</v>
      </c>
      <c r="GX16" s="50">
        <v>-999999</v>
      </c>
      <c r="GY16" s="50">
        <v>-999999</v>
      </c>
      <c r="GZ16" s="50">
        <v>-999999</v>
      </c>
      <c r="HA16" s="50">
        <v>-999999</v>
      </c>
      <c r="HB16" s="50">
        <v>-999999</v>
      </c>
      <c r="HC16" s="50">
        <v>-999999</v>
      </c>
      <c r="HD16" s="50">
        <v>-999999</v>
      </c>
      <c r="HE16" s="50">
        <v>-999999</v>
      </c>
      <c r="HF16" s="50">
        <v>-999999</v>
      </c>
      <c r="HG16" s="50">
        <v>-999999</v>
      </c>
      <c r="HH16" s="50">
        <v>-999999</v>
      </c>
      <c r="HI16" s="50">
        <v>-999999</v>
      </c>
      <c r="HJ16" s="50">
        <v>-999999</v>
      </c>
      <c r="HK16" s="50">
        <v>-999999</v>
      </c>
      <c r="HL16" s="50">
        <v>-999999</v>
      </c>
      <c r="HM16" s="50">
        <v>-999999</v>
      </c>
      <c r="HN16" s="50">
        <v>-999999</v>
      </c>
      <c r="HO16" s="50">
        <v>-999999</v>
      </c>
      <c r="HP16" s="50">
        <v>-999999</v>
      </c>
      <c r="HQ16" s="50">
        <v>-999999</v>
      </c>
      <c r="HR16" s="50">
        <v>-999999</v>
      </c>
      <c r="HS16" s="50">
        <v>-999999</v>
      </c>
      <c r="HT16" s="50">
        <v>-999999</v>
      </c>
      <c r="HU16" s="50">
        <v>-999999</v>
      </c>
      <c r="HV16" s="50">
        <v>-999999</v>
      </c>
      <c r="HW16" s="50">
        <v>-999999</v>
      </c>
      <c r="HX16" s="50">
        <v>-999999</v>
      </c>
      <c r="HY16" s="50"/>
      <c r="HZ16" s="50"/>
      <c r="IA16" s="50"/>
      <c r="IB16" s="50"/>
      <c r="IC16" s="50"/>
      <c r="ID16" s="50"/>
      <c r="IE16" s="50"/>
      <c r="IF16" s="50"/>
      <c r="IG16" s="50"/>
      <c r="IH16" s="50"/>
      <c r="II16" s="50"/>
      <c r="IJ16" s="50"/>
      <c r="IK16" s="50"/>
      <c r="IL16" s="50"/>
      <c r="IM16" s="50"/>
      <c r="IN16" s="50"/>
      <c r="IO16" s="50"/>
      <c r="IP16" s="50"/>
      <c r="IQ16" s="50"/>
      <c r="IR16" s="50"/>
      <c r="IS16" s="50"/>
      <c r="IT16" s="50"/>
      <c r="IU16" s="50"/>
      <c r="IV16" s="50"/>
      <c r="IW16" s="50"/>
      <c r="IX16" s="50"/>
      <c r="IY16" s="50"/>
      <c r="IZ16" s="50"/>
      <c r="JA16" s="50"/>
      <c r="JB16" s="50"/>
      <c r="JC16" s="50"/>
      <c r="JD16" s="50"/>
      <c r="JE16" s="50"/>
      <c r="JF16" s="50"/>
      <c r="JG16" s="50"/>
      <c r="JH16" s="50"/>
      <c r="JI16" s="50"/>
      <c r="JJ16" s="50"/>
      <c r="JK16" s="50"/>
      <c r="JL16" s="50"/>
      <c r="JM16" s="50"/>
      <c r="JN16" s="50"/>
      <c r="JO16" s="50"/>
      <c r="JP16" s="50"/>
      <c r="JQ16" s="50"/>
      <c r="JR16" s="50"/>
      <c r="JS16" s="50"/>
      <c r="JT16" s="50"/>
      <c r="JU16" s="50"/>
      <c r="JV16" s="50"/>
      <c r="JW16" s="52">
        <f t="shared" si="23"/>
        <v>2737.8861900541915</v>
      </c>
      <c r="JX16" s="27">
        <f t="shared" si="24"/>
        <v>340329.78904954356</v>
      </c>
      <c r="JY16" s="107">
        <f>JW16*EchelleFPAparam!$Q$3</f>
        <v>-2.6078365960266171E-2</v>
      </c>
      <c r="KA16" s="19"/>
      <c r="KB16" s="19"/>
      <c r="KC16" s="19"/>
      <c r="KD16" s="19"/>
      <c r="KE16" s="19"/>
      <c r="KF16" s="19"/>
      <c r="KG16" s="19"/>
      <c r="KH16" s="19"/>
      <c r="KI16" s="19"/>
      <c r="KJ16" s="19"/>
      <c r="KK16" s="19"/>
      <c r="KL16" s="19"/>
      <c r="KM16" s="19"/>
      <c r="KW16" s="19"/>
      <c r="KX16" s="19"/>
      <c r="KY16" s="19"/>
      <c r="KZ16" s="19"/>
      <c r="LA16" s="19"/>
      <c r="LB16" s="19"/>
      <c r="LC16" s="19"/>
      <c r="LD16" s="19"/>
      <c r="LE16" s="19"/>
      <c r="LF16" s="19"/>
    </row>
    <row r="17" spans="1:318" x14ac:dyDescent="0.2">
      <c r="A17" s="53">
        <f t="shared" si="35"/>
        <v>11</v>
      </c>
      <c r="B17" s="96">
        <f t="shared" si="0"/>
        <v>2183.7885410626845</v>
      </c>
      <c r="C17" s="27" t="str">
        <f>'Standard Settings'!B12</f>
        <v>K/2/4</v>
      </c>
      <c r="D17" s="27">
        <f>'Standard Settings'!H12</f>
        <v>26</v>
      </c>
      <c r="E17" s="19">
        <f>(DW17-DM17)/2048</f>
        <v>6.6830820987511252E-3</v>
      </c>
      <c r="F17" s="18">
        <f>((EchelleFPAparam!$S$3/('crmcfgWLEN.txt'!$U17+F$53))*(SIN('Standard Settings'!$F12+0.0005)+SIN('Standard Settings'!$F12+0.0005+EchelleFPAparam!$M$3))-(EchelleFPAparam!$S$3/('crmcfgWLEN.txt'!$U17+F$53))*(SIN('Standard Settings'!$F12-0.0005)+SIN('Standard Settings'!$F12-0.0005+EchelleFPAparam!$M$3)))*1000*EchelleFPAparam!$O$3/180</f>
        <v>18.342394345433853</v>
      </c>
      <c r="G17" s="20" t="str">
        <f>'Standard Settings'!C12</f>
        <v>K</v>
      </c>
      <c r="H17" s="46"/>
      <c r="I17" s="59" t="s">
        <v>361</v>
      </c>
      <c r="J17" s="57"/>
      <c r="K17" s="27" t="str">
        <f>'Standard Settings'!$D12</f>
        <v>HK</v>
      </c>
      <c r="L17" s="46"/>
      <c r="M17" s="12">
        <v>2.5</v>
      </c>
      <c r="N17" s="12">
        <v>2.5</v>
      </c>
      <c r="O17" s="27" t="str">
        <f>'Standard Settings'!$D12</f>
        <v>HK</v>
      </c>
      <c r="P17" s="46"/>
      <c r="Q17" s="27">
        <f>'Standard Settings'!$E12</f>
        <v>65.904450000000011</v>
      </c>
      <c r="R17" s="106">
        <f>'Standard Settings'!$J12</f>
        <v>470000</v>
      </c>
      <c r="S17" s="21">
        <f>'Standard Settings'!$G12</f>
        <v>23</v>
      </c>
      <c r="T17" s="21">
        <f>'Standard Settings'!$I12</f>
        <v>29</v>
      </c>
      <c r="U17" s="22">
        <f t="shared" si="25"/>
        <v>22</v>
      </c>
      <c r="V17" s="22">
        <f t="shared" si="26"/>
        <v>31</v>
      </c>
      <c r="W17" s="23">
        <f>IF(AND($U17-$S17+B$53&gt;=0,$U17-$T17+B$53&lt;=0),(EchelleFPAparam!$S$3/('crmcfgWLEN.txt'!$U17+B$53))*(SIN('Standard Settings'!$F12)+SIN('Standard Settings'!$F12+EchelleFPAparam!$M$3)),-1)</f>
        <v>-1</v>
      </c>
      <c r="X17" s="23">
        <f>IF(AND($U17-$S17+C$53&gt;=0,$U17-$T17+C$53&lt;=0),(EchelleFPAparam!$S$3/('crmcfgWLEN.txt'!$U17+C$53))*(SIN('Standard Settings'!$F12)+SIN('Standard Settings'!$F12+EchelleFPAparam!$M$3)),-1)</f>
        <v>2468.6305246795564</v>
      </c>
      <c r="Y17" s="23">
        <f>IF(AND($U17-$S17+D$53&gt;=0,$U17-$T17+D$53&lt;=0),(EchelleFPAparam!$S$3/('crmcfgWLEN.txt'!$U17+D$53))*(SIN('Standard Settings'!$F12)+SIN('Standard Settings'!$F12+EchelleFPAparam!$M$3)),-1)</f>
        <v>2365.7709194845752</v>
      </c>
      <c r="Z17" s="23">
        <f>IF(AND($U17-$S17+E$53&gt;=0,$U17-$T17+E$53&lt;=0),(EchelleFPAparam!$S$3/('crmcfgWLEN.txt'!$U17+E$53))*(SIN('Standard Settings'!$F12)+SIN('Standard Settings'!$F12+EchelleFPAparam!$M$3)),-1)</f>
        <v>2271.1400827051921</v>
      </c>
      <c r="AA17" s="23">
        <f>IF(AND($U17-$S17+F$53&gt;=0,$U17-$T17+F$53&lt;=0),(EchelleFPAparam!$S$3/('crmcfgWLEN.txt'!$U17+F$53))*(SIN('Standard Settings'!$F12)+SIN('Standard Settings'!$F12+EchelleFPAparam!$M$3)),-1)</f>
        <v>2183.7885410626845</v>
      </c>
      <c r="AB17" s="23">
        <f>IF(AND($U17-$S17+G$53&gt;=0,$U17-$T17+G$53&lt;=0),(EchelleFPAparam!$S$3/('crmcfgWLEN.txt'!$U17+G$53))*(SIN('Standard Settings'!$F12)+SIN('Standard Settings'!$F12+EchelleFPAparam!$M$3)),-1)</f>
        <v>2102.9074839862888</v>
      </c>
      <c r="AC17" s="23">
        <f>IF(AND($U17-$S17+H$53&gt;=0,$U17-$T17+H$53&lt;=0),(EchelleFPAparam!$S$3/('crmcfgWLEN.txt'!$U17+H$53))*(SIN('Standard Settings'!$F12)+SIN('Standard Settings'!$F12+EchelleFPAparam!$M$3)),-1)</f>
        <v>2027.8036452724928</v>
      </c>
      <c r="AD17" s="23">
        <f>IF(AND($U17-$S17+I$53&gt;=0,$U17-$T17+I$53&lt;=0),(EchelleFPAparam!$S$3/('crmcfgWLEN.txt'!$U17+I$53))*(SIN('Standard Settings'!$F12)+SIN('Standard Settings'!$F12+EchelleFPAparam!$M$3)),-1)</f>
        <v>1957.8793816424068</v>
      </c>
      <c r="AE17" s="23">
        <f>IF(AND($U17-$S17+J$53&gt;=0,$U17-$T17+J$53&lt;=0),(EchelleFPAparam!$S$3/('crmcfgWLEN.txt'!$U17+J$53))*(SIN('Standard Settings'!$F12)+SIN('Standard Settings'!$F12+EchelleFPAparam!$M$3)),-1)</f>
        <v>-1</v>
      </c>
      <c r="AF17" s="23">
        <f>IF(AND($U17-$S17+K$53&gt;=0,$U17-$T17+K$53&lt;=0),(EchelleFPAparam!$S$3/('crmcfgWLEN.txt'!$U17+K$53))*(SIN('Standard Settings'!$F12)+SIN('Standard Settings'!$F12+EchelleFPAparam!$M$3)),-1)</f>
        <v>-1</v>
      </c>
      <c r="AG17" s="131">
        <v>-100.1</v>
      </c>
      <c r="AH17" s="112">
        <v>152.030245855982</v>
      </c>
      <c r="AI17" s="112">
        <v>512.69455483525201</v>
      </c>
      <c r="AJ17" s="112">
        <v>841.49767314952896</v>
      </c>
      <c r="AK17" s="112">
        <v>1144.81173363109</v>
      </c>
      <c r="AL17" s="112">
        <v>1423.4577538016499</v>
      </c>
      <c r="AM17" s="112">
        <v>1682.1694319481301</v>
      </c>
      <c r="AN17" s="112">
        <v>1922.7534159193399</v>
      </c>
      <c r="AO17" s="131">
        <v>-100.1</v>
      </c>
      <c r="AP17" s="131">
        <v>-100.1</v>
      </c>
      <c r="AQ17" s="130">
        <v>-100.1</v>
      </c>
      <c r="AR17" s="112">
        <v>145.62546566701101</v>
      </c>
      <c r="AS17" s="112">
        <v>508.64453449404101</v>
      </c>
      <c r="AT17" s="112">
        <v>840.39114507479997</v>
      </c>
      <c r="AU17" s="112">
        <v>1145.89309792736</v>
      </c>
      <c r="AV17" s="112">
        <v>1426.3528809930201</v>
      </c>
      <c r="AW17" s="112">
        <v>1686.55217783219</v>
      </c>
      <c r="AX17" s="112">
        <v>1928.8440883518299</v>
      </c>
      <c r="AY17" s="130">
        <v>-100.1</v>
      </c>
      <c r="AZ17" s="130">
        <v>-100.1</v>
      </c>
      <c r="BA17" s="132">
        <v>-100.1</v>
      </c>
      <c r="BB17" s="112">
        <v>139.614772356082</v>
      </c>
      <c r="BC17" s="112">
        <v>505.84732154373302</v>
      </c>
      <c r="BD17" s="112">
        <v>839.98307430716102</v>
      </c>
      <c r="BE17" s="112">
        <v>1147.54187279803</v>
      </c>
      <c r="BF17" s="112">
        <v>1431.1069460818701</v>
      </c>
      <c r="BG17" s="112">
        <v>1692.7747739095901</v>
      </c>
      <c r="BH17" s="112">
        <v>1940</v>
      </c>
      <c r="BI17" s="132">
        <v>-100.1</v>
      </c>
      <c r="BJ17" s="132">
        <v>-100.1</v>
      </c>
      <c r="BK17" s="24">
        <f>EchelleFPAparam!$S$3/('crmcfgWLEN.txt'!$U17+B$53)*(SIN(EchelleFPAparam!$T$3-EchelleFPAparam!$M$3/2)+SIN('Standard Settings'!$F12+EchelleFPAparam!$M$3))</f>
        <v>2575.260664731928</v>
      </c>
      <c r="BL17" s="24">
        <f>EchelleFPAparam!$S$3/('crmcfgWLEN.txt'!$U17+C$53)*(SIN(EchelleFPAparam!$T$3-EchelleFPAparam!$M$3/2)+SIN('Standard Settings'!$F12+EchelleFPAparam!$M$3))</f>
        <v>2463.2928097435833</v>
      </c>
      <c r="BM17" s="24">
        <f>EchelleFPAparam!$S$3/('crmcfgWLEN.txt'!$U17+D$53)*(SIN(EchelleFPAparam!$T$3-EchelleFPAparam!$M$3/2)+SIN('Standard Settings'!$F12+EchelleFPAparam!$M$3))</f>
        <v>2360.6556093376007</v>
      </c>
      <c r="BN17" s="24">
        <f>EchelleFPAparam!$S$3/('crmcfgWLEN.txt'!$U17+E$53)*(SIN(EchelleFPAparam!$T$3-EchelleFPAparam!$M$3/2)+SIN('Standard Settings'!$F12+EchelleFPAparam!$M$3))</f>
        <v>2266.2293849640969</v>
      </c>
      <c r="BO17" s="24">
        <f>EchelleFPAparam!$S$3/('crmcfgWLEN.txt'!$U17+F$53)*(SIN(EchelleFPAparam!$T$3-EchelleFPAparam!$M$3/2)+SIN('Standard Settings'!$F12+EchelleFPAparam!$M$3))</f>
        <v>2179.0667163116314</v>
      </c>
      <c r="BP17" s="24">
        <f>EchelleFPAparam!$S$3/('crmcfgWLEN.txt'!$U17+G$53)*(SIN(EchelleFPAparam!$T$3-EchelleFPAparam!$M$3/2)+SIN('Standard Settings'!$F12+EchelleFPAparam!$M$3))</f>
        <v>2098.3605416334226</v>
      </c>
      <c r="BQ17" s="24">
        <f>EchelleFPAparam!$S$3/('crmcfgWLEN.txt'!$U17+H$53)*(SIN(EchelleFPAparam!$T$3-EchelleFPAparam!$M$3/2)+SIN('Standard Settings'!$F12+EchelleFPAparam!$M$3))</f>
        <v>2023.4190937179435</v>
      </c>
      <c r="BR17" s="24">
        <f>EchelleFPAparam!$S$3/('crmcfgWLEN.txt'!$U17+I$53)*(SIN(EchelleFPAparam!$T$3-EchelleFPAparam!$M$3/2)+SIN('Standard Settings'!$F12+EchelleFPAparam!$M$3))</f>
        <v>1953.6460215207728</v>
      </c>
      <c r="BS17" s="24">
        <f>EchelleFPAparam!$S$3/('crmcfgWLEN.txt'!$U17+J$53)*(SIN(EchelleFPAparam!$T$3-EchelleFPAparam!$M$3/2)+SIN('Standard Settings'!$F12+EchelleFPAparam!$M$3))</f>
        <v>1888.5244874700804</v>
      </c>
      <c r="BT17" s="24">
        <f>EchelleFPAparam!$S$3/('crmcfgWLEN.txt'!$U17+K$53)*(SIN(EchelleFPAparam!$T$3-EchelleFPAparam!$M$3/2)+SIN('Standard Settings'!$F12+EchelleFPAparam!$M$3))</f>
        <v>1827.6043427129812</v>
      </c>
      <c r="BU17" s="25">
        <f t="shared" si="33"/>
        <v>2526.6708408690615</v>
      </c>
      <c r="BV17" s="25">
        <f t="shared" si="2"/>
        <v>2418.5056677482453</v>
      </c>
      <c r="BW17" s="25">
        <f t="shared" si="3"/>
        <v>2319.2405986474673</v>
      </c>
      <c r="BX17" s="25">
        <f t="shared" si="4"/>
        <v>2227.8187174223326</v>
      </c>
      <c r="BY17" s="25">
        <f t="shared" si="5"/>
        <v>2143.344311126195</v>
      </c>
      <c r="BZ17" s="25">
        <f t="shared" si="6"/>
        <v>2065.053231448765</v>
      </c>
      <c r="CA17" s="25">
        <f t="shared" si="7"/>
        <v>1992.289569199206</v>
      </c>
      <c r="CB17" s="25">
        <f t="shared" si="8"/>
        <v>1924.4871256771792</v>
      </c>
      <c r="CC17" s="25">
        <f t="shared" si="9"/>
        <v>1861.1545673618184</v>
      </c>
      <c r="CD17" s="25">
        <f t="shared" si="10"/>
        <v>1801.8634364775871</v>
      </c>
      <c r="CE17" s="25">
        <f t="shared" si="34"/>
        <v>2625.7559718835341</v>
      </c>
      <c r="CF17" s="25">
        <f t="shared" si="11"/>
        <v>2509.7700325689339</v>
      </c>
      <c r="CG17" s="25">
        <f t="shared" si="12"/>
        <v>2403.5766204164661</v>
      </c>
      <c r="CH17" s="25">
        <f t="shared" si="13"/>
        <v>2305.9877952266252</v>
      </c>
      <c r="CI17" s="25">
        <f t="shared" si="14"/>
        <v>2216.0000504864047</v>
      </c>
      <c r="CJ17" s="25">
        <f t="shared" si="15"/>
        <v>2132.7598947749543</v>
      </c>
      <c r="CK17" s="25">
        <f t="shared" si="16"/>
        <v>2055.5368571102917</v>
      </c>
      <c r="CL17" s="25">
        <f t="shared" si="17"/>
        <v>1983.7021141595537</v>
      </c>
      <c r="CM17" s="25">
        <f t="shared" si="18"/>
        <v>1916.7114201188876</v>
      </c>
      <c r="CN17" s="25">
        <f t="shared" si="19"/>
        <v>1854.0913621725897</v>
      </c>
      <c r="CO17" s="26">
        <f>(EchelleFPAparam!$S$3/($U17+B$53)*COS((AG17-EchelleFPAparam!$AE13)*EchelleFPAparam!$C$3/EchelleFPAparam!$E$3))*(SIN('Standard Settings'!$F12)+SIN('Standard Settings'!$F12+EchelleFPAparam!$M$3+(EchelleFPAparam!$F$3*EchelleFPAparam!$B$6)*COS(EchelleFPAparam!$AC$3)-(AG17-1024)*SIN(EchelleFPAparam!$AC$3)*EchelleFPAparam!$C$3/EchelleFPAparam!$E$3))</f>
        <v>2553.7812360943562</v>
      </c>
      <c r="CP17" s="26">
        <f>(EchelleFPAparam!$S$3/($U17+C$53)*COS((AH17-EchelleFPAparam!$AE13)*EchelleFPAparam!$C$3/EchelleFPAparam!$E$3))*(SIN('Standard Settings'!$F12)+SIN('Standard Settings'!$F12+EchelleFPAparam!$M$3+(EchelleFPAparam!$F$3*EchelleFPAparam!$B$6)*COS(EchelleFPAparam!$AC$3)-(AH17-1024)*SIN(EchelleFPAparam!$AC$3)*EchelleFPAparam!$C$3/EchelleFPAparam!$E$3))</f>
        <v>2442.9275613955956</v>
      </c>
      <c r="CQ17" s="26">
        <f>(EchelleFPAparam!$S$3/($U17+D$53)*COS((AI17-EchelleFPAparam!$AE13)*EchelleFPAparam!$C$3/EchelleFPAparam!$E$3))*(SIN('Standard Settings'!$F12)+SIN('Standard Settings'!$F12+EchelleFPAparam!$M$3+(EchelleFPAparam!$F$3*EchelleFPAparam!$B$6)*COS(EchelleFPAparam!$AC$3)-(AI17-1024)*SIN(EchelleFPAparam!$AC$3)*EchelleFPAparam!$C$3/EchelleFPAparam!$E$3))</f>
        <v>2341.349400996754</v>
      </c>
      <c r="CR17" s="26">
        <f>(EchelleFPAparam!$S$3/($U17+E$53)*COS((AJ17-EchelleFPAparam!$AE13)*EchelleFPAparam!$C$3/EchelleFPAparam!$E$3))*(SIN('Standard Settings'!$F12)+SIN('Standard Settings'!$F12+EchelleFPAparam!$M$3+(EchelleFPAparam!$F$3*EchelleFPAparam!$B$6)*COS(EchelleFPAparam!$AC$3)-(AJ17-1024)*SIN(EchelleFPAparam!$AC$3)*EchelleFPAparam!$C$3/EchelleFPAparam!$E$3))</f>
        <v>2247.843530984167</v>
      </c>
      <c r="CS17" s="26">
        <f>(EchelleFPAparam!$S$3/($U17+F$53)*COS((AK17-EchelleFPAparam!$AE13)*EchelleFPAparam!$C$3/EchelleFPAparam!$E$3))*(SIN('Standard Settings'!$F12)+SIN('Standard Settings'!$F12+EchelleFPAparam!$M$3+(EchelleFPAparam!$F$3*EchelleFPAparam!$B$6)*COS(EchelleFPAparam!$AC$3)-(AK17-1024)*SIN(EchelleFPAparam!$AC$3)*EchelleFPAparam!$C$3/EchelleFPAparam!$E$3))</f>
        <v>2161.4900103476452</v>
      </c>
      <c r="CT17" s="26">
        <f>(EchelleFPAparam!$S$3/($U17+G$53)*COS((AL17-EchelleFPAparam!$AE13)*EchelleFPAparam!$C$3/EchelleFPAparam!$E$3))*(SIN('Standard Settings'!$F12)+SIN('Standard Settings'!$F12+EchelleFPAparam!$M$3+(EchelleFPAparam!$F$3*EchelleFPAparam!$B$6)*COS(EchelleFPAparam!$AC$3)-(AL17-1024)*SIN(EchelleFPAparam!$AC$3)*EchelleFPAparam!$C$3/EchelleFPAparam!$E$3))</f>
        <v>2081.5011356904611</v>
      </c>
      <c r="CU17" s="26">
        <f>(EchelleFPAparam!$S$3/($U17+H$53)*COS((AM17-EchelleFPAparam!$AE13)*EchelleFPAparam!$C$3/EchelleFPAparam!$E$3))*(SIN('Standard Settings'!$F12)+SIN('Standard Settings'!$F12+EchelleFPAparam!$M$3+(EchelleFPAparam!$F$3*EchelleFPAparam!$B$6)*COS(EchelleFPAparam!$AC$3)-(AM17-1024)*SIN(EchelleFPAparam!$AC$3)*EchelleFPAparam!$C$3/EchelleFPAparam!$E$3))</f>
        <v>2007.2013994697579</v>
      </c>
      <c r="CV17" s="26">
        <f>(EchelleFPAparam!$S$3/($U17+I$53)*COS((AN17-EchelleFPAparam!$AE13)*EchelleFPAparam!$C$3/EchelleFPAparam!$E$3))*(SIN('Standard Settings'!$F12)+SIN('Standard Settings'!$F12+EchelleFPAparam!$M$3+(EchelleFPAparam!$F$3*EchelleFPAparam!$B$6)*COS(EchelleFPAparam!$AC$3)-(AN17-1024)*SIN(EchelleFPAparam!$AC$3)*EchelleFPAparam!$C$3/EchelleFPAparam!$E$3))</f>
        <v>1938.0066033434664</v>
      </c>
      <c r="CW17" s="26">
        <f>(EchelleFPAparam!$S$3/($U17+J$53)*COS((AO17-EchelleFPAparam!$AE13)*EchelleFPAparam!$C$3/EchelleFPAparam!$E$3))*(SIN('Standard Settings'!$F12)+SIN('Standard Settings'!$F12+EchelleFPAparam!$M$3+(EchelleFPAparam!$F$3*EchelleFPAparam!$B$6)*COS(EchelleFPAparam!$AC$3)-(AO17-1024)*SIN(EchelleFPAparam!$AC$3)*EchelleFPAparam!$C$3/EchelleFPAparam!$E$3))</f>
        <v>1872.7729064691944</v>
      </c>
      <c r="CX17" s="26">
        <f>(EchelleFPAparam!$S$3/($U17+K$53)*COS((AP17-EchelleFPAparam!$AE13)*EchelleFPAparam!$C$3/EchelleFPAparam!$E$3))*(SIN('Standard Settings'!$F12)+SIN('Standard Settings'!$F12+EchelleFPAparam!$M$3+(EchelleFPAparam!$F$3*EchelleFPAparam!$B$6)*COS(EchelleFPAparam!$AC$3)-(AP17-1024)*SIN(EchelleFPAparam!$AC$3)*EchelleFPAparam!$C$3/EchelleFPAparam!$E$3))</f>
        <v>1812.3608772282525</v>
      </c>
      <c r="CY17" s="26">
        <f>(EchelleFPAparam!$S$3/($U17+B$53)*COS((AG17-EchelleFPAparam!$AE13)*EchelleFPAparam!$C$3/EchelleFPAparam!$E$3))*(SIN('Standard Settings'!$F12)+SIN('Standard Settings'!$F12+EchelleFPAparam!$M$3+EchelleFPAparam!$G$3*EchelleFPAparam!$B$6*COS(EchelleFPAparam!$AC$3)-(AG17-1024)*SIN(EchelleFPAparam!$AC$3)*EchelleFPAparam!$C$3/EchelleFPAparam!$E$3))</f>
        <v>2570.7847245305088</v>
      </c>
      <c r="CZ17" s="26">
        <f>(EchelleFPAparam!$S$3/($U17+C$53)*COS((AH17-EchelleFPAparam!$AE13)*EchelleFPAparam!$C$3/EchelleFPAparam!$E$3))*(SIN('Standard Settings'!$F12)+SIN('Standard Settings'!$F12+EchelleFPAparam!$M$3+EchelleFPAparam!$G$3*EchelleFPAparam!$B$6*COS(EchelleFPAparam!$AC$3)-(AH17-1024)*SIN(EchelleFPAparam!$AC$3)*EchelleFPAparam!$C$3/EchelleFPAparam!$E$3))</f>
        <v>2459.1905248770231</v>
      </c>
      <c r="DA17" s="26">
        <f>(EchelleFPAparam!$S$3/($U17+D$53)*COS((AI17-EchelleFPAparam!$AE13)*EchelleFPAparam!$C$3/EchelleFPAparam!$E$3))*(SIN('Standard Settings'!$F12)+SIN('Standard Settings'!$F12+EchelleFPAparam!$M$3+EchelleFPAparam!$G$3*EchelleFPAparam!$B$6*COS(EchelleFPAparam!$AC$3)-(AI17-1024)*SIN(EchelleFPAparam!$AC$3)*EchelleFPAparam!$C$3/EchelleFPAparam!$E$3))</f>
        <v>2356.9327926570327</v>
      </c>
      <c r="DB17" s="26">
        <f>(EchelleFPAparam!$S$3/($U17+E$53)*COS((AJ17-EchelleFPAparam!$AE13)*EchelleFPAparam!$C$3/EchelleFPAparam!$E$3))*(SIN('Standard Settings'!$F12)+SIN('Standard Settings'!$F12+EchelleFPAparam!$M$3+EchelleFPAparam!$G$3*EchelleFPAparam!$B$6*COS(EchelleFPAparam!$AC$3)-(AJ17-1024)*SIN(EchelleFPAparam!$AC$3)*EchelleFPAparam!$C$3/EchelleFPAparam!$E$3))</f>
        <v>2262.8016410839614</v>
      </c>
      <c r="DC17" s="26">
        <f>(EchelleFPAparam!$S$3/($U17+F$53)*COS((AK17-EchelleFPAparam!$AE13)*EchelleFPAparam!$C$3/EchelleFPAparam!$E$3))*(SIN('Standard Settings'!$F12)+SIN('Standard Settings'!$F12+EchelleFPAparam!$M$3+EchelleFPAparam!$G$3*EchelleFPAparam!$B$6*COS(EchelleFPAparam!$AC$3)-(AK17-1024)*SIN(EchelleFPAparam!$AC$3)*EchelleFPAparam!$C$3/EchelleFPAparam!$E$3))</f>
        <v>2175.8708868503481</v>
      </c>
      <c r="DD17" s="26">
        <f>(EchelleFPAparam!$S$3/($U17+G$53)*COS((AL17-EchelleFPAparam!$AE13)*EchelleFPAparam!$C$3/EchelleFPAparam!$E$3))*(SIN('Standard Settings'!$F12)+SIN('Standard Settings'!$F12+EchelleFPAparam!$M$3+EchelleFPAparam!$G$3*EchelleFPAparam!$B$6*COS(EchelleFPAparam!$AC$3)-(AL17-1024)*SIN(EchelleFPAparam!$AC$3)*EchelleFPAparam!$C$3/EchelleFPAparam!$E$3))</f>
        <v>2095.3475278509154</v>
      </c>
      <c r="DE17" s="26">
        <f>(EchelleFPAparam!$S$3/($U17+H$53)*COS((AM17-EchelleFPAparam!$AE13)*EchelleFPAparam!$C$3/EchelleFPAparam!$E$3))*(SIN('Standard Settings'!$F12)+SIN('Standard Settings'!$F12+EchelleFPAparam!$M$3+EchelleFPAparam!$G$3*EchelleFPAparam!$B$6*COS(EchelleFPAparam!$AC$3)-(AM17-1024)*SIN(EchelleFPAparam!$AC$3)*EchelleFPAparam!$C$3/EchelleFPAparam!$E$3))</f>
        <v>2020.5514813795935</v>
      </c>
      <c r="DF17" s="26">
        <f>(EchelleFPAparam!$S$3/($U17+I$53)*COS((AN17-EchelleFPAparam!$AE13)*EchelleFPAparam!$C$3/EchelleFPAparam!$E$3))*(SIN('Standard Settings'!$F12)+SIN('Standard Settings'!$F12+EchelleFPAparam!$M$3+EchelleFPAparam!$G$3*EchelleFPAparam!$B$6*COS(EchelleFPAparam!$AC$3)-(AN17-1024)*SIN(EchelleFPAparam!$AC$3)*EchelleFPAparam!$C$3/EchelleFPAparam!$E$3))</f>
        <v>1950.8946150514612</v>
      </c>
      <c r="DG17" s="26">
        <f>(EchelleFPAparam!$S$3/($U17+J$53)*COS((AO17-EchelleFPAparam!$AE13)*EchelleFPAparam!$C$3/EchelleFPAparam!$E$3))*(SIN('Standard Settings'!$F12)+SIN('Standard Settings'!$F12+EchelleFPAparam!$M$3+EchelleFPAparam!$G$3*EchelleFPAparam!$B$6*COS(EchelleFPAparam!$AC$3)-(AO17-1024)*SIN(EchelleFPAparam!$AC$3)*EchelleFPAparam!$C$3/EchelleFPAparam!$E$3))</f>
        <v>1885.2421313223729</v>
      </c>
      <c r="DH17" s="26">
        <f>(EchelleFPAparam!$S$3/($U17+K$53)*COS((AP17-EchelleFPAparam!$AE13)*EchelleFPAparam!$C$3/EchelleFPAparam!$E$3))*(SIN('Standard Settings'!$F12)+SIN('Standard Settings'!$F12+EchelleFPAparam!$M$3+EchelleFPAparam!$G$3*EchelleFPAparam!$B$6*COS(EchelleFPAparam!$AC$3)-(AP17-1024)*SIN(EchelleFPAparam!$AC$3)*EchelleFPAparam!$C$3/EchelleFPAparam!$E$3))</f>
        <v>1824.4278690216511</v>
      </c>
      <c r="DI17" s="26">
        <f>(EchelleFPAparam!$S$3/($U17+B$53)*COS((AQ17-EchelleFPAparam!$AE13)*EchelleFPAparam!$C$3/EchelleFPAparam!$E$3))*(SIN('Standard Settings'!$F12)+SIN('Standard Settings'!$F12+EchelleFPAparam!$M$3+EchelleFPAparam!$H$3*EchelleFPAparam!$B$6*COS(EchelleFPAparam!$AC$3)-(AQ17-1024)*SIN(EchelleFPAparam!$AC$3)*EchelleFPAparam!$C$3/EchelleFPAparam!$E$3))</f>
        <v>2571.9529429773829</v>
      </c>
      <c r="DJ17" s="26">
        <f>(EchelleFPAparam!$S$3/($U17+C$53)*COS((AR17-EchelleFPAparam!$AE13)*EchelleFPAparam!$C$3/EchelleFPAparam!$E$3))*(SIN('Standard Settings'!$F12)+SIN('Standard Settings'!$F12+EchelleFPAparam!$M$3+EchelleFPAparam!$H$3*EchelleFPAparam!$B$6*COS(EchelleFPAparam!$AC$3)-(AR17-1024)*SIN(EchelleFPAparam!$AC$3)*EchelleFPAparam!$C$3/EchelleFPAparam!$E$3))</f>
        <v>2460.3035895243488</v>
      </c>
      <c r="DK17" s="26">
        <f>(EchelleFPAparam!$S$3/($U17+D$53)*COS((AS17-EchelleFPAparam!$AE13)*EchelleFPAparam!$C$3/EchelleFPAparam!$E$3))*(SIN('Standard Settings'!$F12)+SIN('Standard Settings'!$F12+EchelleFPAparam!$M$3+EchelleFPAparam!$H$3*EchelleFPAparam!$B$6*COS(EchelleFPAparam!$AC$3)-(AS17-1024)*SIN(EchelleFPAparam!$AC$3)*EchelleFPAparam!$C$3/EchelleFPAparam!$E$3))</f>
        <v>2358.0013341942463</v>
      </c>
      <c r="DL17" s="26">
        <f>(EchelleFPAparam!$S$3/($U17+E$53)*COS((AT17-EchelleFPAparam!$AE13)*EchelleFPAparam!$C$3/EchelleFPAparam!$E$3))*(SIN('Standard Settings'!$F12)+SIN('Standard Settings'!$F12+EchelleFPAparam!$M$3+EchelleFPAparam!$H$3*EchelleFPAparam!$B$6*COS(EchelleFPAparam!$AC$3)-(AT17-1024)*SIN(EchelleFPAparam!$AC$3)*EchelleFPAparam!$C$3/EchelleFPAparam!$E$3))</f>
        <v>2263.8288833343308</v>
      </c>
      <c r="DM17" s="26">
        <f>(EchelleFPAparam!$S$3/($U17+F$53)*COS((AU17-EchelleFPAparam!$AE13)*EchelleFPAparam!$C$3/EchelleFPAparam!$E$3))*(SIN('Standard Settings'!$F12)+SIN('Standard Settings'!$F12+EchelleFPAparam!$M$3+EchelleFPAparam!$H$3*EchelleFPAparam!$B$6*COS(EchelleFPAparam!$AC$3)-(AU17-1024)*SIN(EchelleFPAparam!$AC$3)*EchelleFPAparam!$C$3/EchelleFPAparam!$E$3))</f>
        <v>2176.8592048893952</v>
      </c>
      <c r="DN17" s="26">
        <f>(EchelleFPAparam!$S$3/($U17+G$53)*COS((AV17-EchelleFPAparam!$AE13)*EchelleFPAparam!$C$3/EchelleFPAparam!$E$3))*(SIN('Standard Settings'!$F12)+SIN('Standard Settings'!$F12+EchelleFPAparam!$M$3+EchelleFPAparam!$H$3*EchelleFPAparam!$B$6*COS(EchelleFPAparam!$AC$3)-(AV17-1024)*SIN(EchelleFPAparam!$AC$3)*EchelleFPAparam!$C$3/EchelleFPAparam!$E$3))</f>
        <v>2096.2993623558755</v>
      </c>
      <c r="DO17" s="26">
        <f>(EchelleFPAparam!$S$3/($U17+H$53)*COS((AW17-EchelleFPAparam!$AE13)*EchelleFPAparam!$C$3/EchelleFPAparam!$E$3))*(SIN('Standard Settings'!$F12)+SIN('Standard Settings'!$F12+EchelleFPAparam!$M$3+EchelleFPAparam!$H$3*EchelleFPAparam!$B$6*COS(EchelleFPAparam!$AC$3)-(AW17-1024)*SIN(EchelleFPAparam!$AC$3)*EchelleFPAparam!$C$3/EchelleFPAparam!$E$3))</f>
        <v>2021.4691397091199</v>
      </c>
      <c r="DP17" s="26">
        <f>(EchelleFPAparam!$S$3/($U17+I$53)*COS((AX17-EchelleFPAparam!$AE13)*EchelleFPAparam!$C$3/EchelleFPAparam!$E$3))*(SIN('Standard Settings'!$F12)+SIN('Standard Settings'!$F12+EchelleFPAparam!$M$3+EchelleFPAparam!$H$3*EchelleFPAparam!$B$6*COS(EchelleFPAparam!$AC$3)-(AX17-1024)*SIN(EchelleFPAparam!$AC$3)*EchelleFPAparam!$C$3/EchelleFPAparam!$E$3))</f>
        <v>1951.7802791483075</v>
      </c>
      <c r="DQ17" s="26">
        <f>(EchelleFPAparam!$S$3/($U17+J$53)*COS((AY17-EchelleFPAparam!$AE13)*EchelleFPAparam!$C$3/EchelleFPAparam!$E$3))*(SIN('Standard Settings'!$F12)+SIN('Standard Settings'!$F12+EchelleFPAparam!$M$3+EchelleFPAparam!$H$3*EchelleFPAparam!$B$6*COS(EchelleFPAparam!$AC$3)-(AY17-1024)*SIN(EchelleFPAparam!$AC$3)*EchelleFPAparam!$C$3/EchelleFPAparam!$E$3))</f>
        <v>1886.0988248500803</v>
      </c>
      <c r="DR17" s="26">
        <f>(EchelleFPAparam!$S$3/($U17+K$53)*COS((AZ17-EchelleFPAparam!$AE13)*EchelleFPAparam!$C$3/EchelleFPAparam!$E$3))*(SIN('Standard Settings'!$F12)+SIN('Standard Settings'!$F12+EchelleFPAparam!$M$3+EchelleFPAparam!$H$3*EchelleFPAparam!$B$6*COS(EchelleFPAparam!$AC$3)-(AZ17-1024)*SIN(EchelleFPAparam!$AC$3)*EchelleFPAparam!$C$3/EchelleFPAparam!$E$3))</f>
        <v>1825.2569272742714</v>
      </c>
      <c r="DS17" s="26">
        <f>(EchelleFPAparam!$S$3/($U17+B$53)*COS((AQ17-EchelleFPAparam!$AE13)*EchelleFPAparam!$C$3/EchelleFPAparam!$E$3))*(SIN('Standard Settings'!$F12)+SIN('Standard Settings'!$F12+EchelleFPAparam!$M$3+EchelleFPAparam!$I$3*EchelleFPAparam!$B$6*COS(EchelleFPAparam!$AC$3)-(AQ17-1024)*SIN(EchelleFPAparam!$AC$3)*EchelleFPAparam!$C$3/EchelleFPAparam!$E$3))</f>
        <v>2588.1366492126708</v>
      </c>
      <c r="DT17" s="26">
        <f>(EchelleFPAparam!$S$3/($U17+C$53)*COS((AR17-EchelleFPAparam!$AE13)*EchelleFPAparam!$C$3/EchelleFPAparam!$E$3))*(SIN('Standard Settings'!$F12)+SIN('Standard Settings'!$F12+EchelleFPAparam!$M$3+EchelleFPAparam!$I$3*EchelleFPAparam!$B$6*COS(EchelleFPAparam!$AC$3)-(AR17-1024)*SIN(EchelleFPAparam!$AC$3)*EchelleFPAparam!$C$3/EchelleFPAparam!$E$3))</f>
        <v>2475.7823763166807</v>
      </c>
      <c r="DU17" s="26">
        <f>(EchelleFPAparam!$S$3/($U17+D$53)*COS((AS17-EchelleFPAparam!$AE13)*EchelleFPAparam!$C$3/EchelleFPAparam!$E$3))*(SIN('Standard Settings'!$F12)+SIN('Standard Settings'!$F12+EchelleFPAparam!$M$3+EchelleFPAparam!$I$3*EchelleFPAparam!$B$6*COS(EchelleFPAparam!$AC$3)-(AS17-1024)*SIN(EchelleFPAparam!$AC$3)*EchelleFPAparam!$C$3/EchelleFPAparam!$E$3))</f>
        <v>2372.8331265147726</v>
      </c>
      <c r="DV17" s="26">
        <f>(EchelleFPAparam!$S$3/($U17+E$53)*COS((AT17-EchelleFPAparam!$AE13)*EchelleFPAparam!$C$3/EchelleFPAparam!$E$3))*(SIN('Standard Settings'!$F12)+SIN('Standard Settings'!$F12+EchelleFPAparam!$M$3+EchelleFPAparam!$I$3*EchelleFPAparam!$B$6*COS(EchelleFPAparam!$AC$3)-(AT17-1024)*SIN(EchelleFPAparam!$AC$3)*EchelleFPAparam!$C$3/EchelleFPAparam!$E$3))</f>
        <v>2278.0653769112478</v>
      </c>
      <c r="DW17" s="26">
        <f>(EchelleFPAparam!$S$3/($U17+F$53)*COS((AU17-EchelleFPAparam!$AE13)*EchelleFPAparam!$C$3/EchelleFPAparam!$E$3))*(SIN('Standard Settings'!$F12)+SIN('Standard Settings'!$F12+EchelleFPAparam!$M$3+EchelleFPAparam!$I$3*EchelleFPAparam!$B$6*COS(EchelleFPAparam!$AC$3)-(AU17-1024)*SIN(EchelleFPAparam!$AC$3)*EchelleFPAparam!$C$3/EchelleFPAparam!$E$3))</f>
        <v>2190.5461570276375</v>
      </c>
      <c r="DX17" s="26">
        <f>(EchelleFPAparam!$S$3/($U17+G$53)*COS((AV17-EchelleFPAparam!$AE13)*EchelleFPAparam!$C$3/EchelleFPAparam!$E$3))*(SIN('Standard Settings'!$F12)+SIN('Standard Settings'!$F12+EchelleFPAparam!$M$3+EchelleFPAparam!$I$3*EchelleFPAparam!$B$6*COS(EchelleFPAparam!$AC$3)-(AV17-1024)*SIN(EchelleFPAparam!$AC$3)*EchelleFPAparam!$C$3/EchelleFPAparam!$E$3))</f>
        <v>2109.477482793196</v>
      </c>
      <c r="DY17" s="26">
        <f>(EchelleFPAparam!$S$3/($U17+H$53)*COS((AW17-EchelleFPAparam!$AE13)*EchelleFPAparam!$C$3/EchelleFPAparam!$E$3))*(SIN('Standard Settings'!$F12)+SIN('Standard Settings'!$F12+EchelleFPAparam!$M$3+EchelleFPAparam!$I$3*EchelleFPAparam!$B$6*COS(EchelleFPAparam!$AC$3)-(AW17-1024)*SIN(EchelleFPAparam!$AC$3)*EchelleFPAparam!$C$3/EchelleFPAparam!$E$3))</f>
        <v>2034.1747796804993</v>
      </c>
      <c r="DZ17" s="26">
        <f>(EchelleFPAparam!$S$3/($U17+I$53)*COS((AX17-EchelleFPAparam!$AE13)*EchelleFPAparam!$C$3/EchelleFPAparam!$E$3))*(SIN('Standard Settings'!$F12)+SIN('Standard Settings'!$F12+EchelleFPAparam!$M$3+EchelleFPAparam!$I$3*EchelleFPAparam!$B$6*COS(EchelleFPAparam!$AC$3)-(AX17-1024)*SIN(EchelleFPAparam!$AC$3)*EchelleFPAparam!$C$3/EchelleFPAparam!$E$3))</f>
        <v>1964.0460394538798</v>
      </c>
      <c r="EA17" s="26">
        <f>(EchelleFPAparam!$S$3/($U17+J$53)*COS((AY17-EchelleFPAparam!$AE13)*EchelleFPAparam!$C$3/EchelleFPAparam!$E$3))*(SIN('Standard Settings'!$F12)+SIN('Standard Settings'!$F12+EchelleFPAparam!$M$3+EchelleFPAparam!$I$3*EchelleFPAparam!$B$6*COS(EchelleFPAparam!$AC$3)-(AY17-1024)*SIN(EchelleFPAparam!$AC$3)*EchelleFPAparam!$C$3/EchelleFPAparam!$E$3))</f>
        <v>1897.9668760892916</v>
      </c>
      <c r="EB17" s="26">
        <f>(EchelleFPAparam!$S$3/($U17+K$53)*COS((AZ17-EchelleFPAparam!$AE13)*EchelleFPAparam!$C$3/EchelleFPAparam!$E$3))*(SIN('Standard Settings'!$F12)+SIN('Standard Settings'!$F12+EchelleFPAparam!$M$3+EchelleFPAparam!$I$3*EchelleFPAparam!$B$6*COS(EchelleFPAparam!$AC$3)-(AZ17-1024)*SIN(EchelleFPAparam!$AC$3)*EchelleFPAparam!$C$3/EchelleFPAparam!$E$3))</f>
        <v>1836.7421381509275</v>
      </c>
      <c r="EC17" s="26">
        <f>(EchelleFPAparam!$S$3/($U17+B$53)*COS((BA17-EchelleFPAparam!$AE13)*EchelleFPAparam!$C$3/EchelleFPAparam!$E$3))*(SIN('Standard Settings'!$F12)+SIN('Standard Settings'!$F12+EchelleFPAparam!$M$3+EchelleFPAparam!$J$3*EchelleFPAparam!$B$6*COS(EchelleFPAparam!$AC$3)-(BA17-1024)*SIN(EchelleFPAparam!$AC$3)*EchelleFPAparam!$C$3/EchelleFPAparam!$E$3))</f>
        <v>2589.278784867578</v>
      </c>
      <c r="ED17" s="26">
        <f>(EchelleFPAparam!$S$3/($U17+C$53)*COS((BB17-EchelleFPAparam!$AE13)*EchelleFPAparam!$C$3/EchelleFPAparam!$E$3))*(SIN('Standard Settings'!$F12)+SIN('Standard Settings'!$F12+EchelleFPAparam!$M$3+EchelleFPAparam!$J$3*EchelleFPAparam!$B$6*COS(EchelleFPAparam!$AC$3)-(BB17-1024)*SIN(EchelleFPAparam!$AC$3)*EchelleFPAparam!$C$3/EchelleFPAparam!$E$3))</f>
        <v>2476.8707721611704</v>
      </c>
      <c r="EE17" s="26">
        <f>(EchelleFPAparam!$S$3/($U17+D$53)*COS((BC17-EchelleFPAparam!$AE13)*EchelleFPAparam!$C$3/EchelleFPAparam!$E$3))*(SIN('Standard Settings'!$F12)+SIN('Standard Settings'!$F12+EchelleFPAparam!$M$3+EchelleFPAparam!$J$3*EchelleFPAparam!$B$6*COS(EchelleFPAparam!$AC$3)-(BC17-1024)*SIN(EchelleFPAparam!$AC$3)*EchelleFPAparam!$C$3/EchelleFPAparam!$E$3))</f>
        <v>2373.8784068975096</v>
      </c>
      <c r="EF17" s="26">
        <f>(EchelleFPAparam!$S$3/($U17+E$53)*COS((BD17-EchelleFPAparam!$AE13)*EchelleFPAparam!$C$3/EchelleFPAparam!$E$3))*(SIN('Standard Settings'!$F12)+SIN('Standard Settings'!$F12+EchelleFPAparam!$M$3+EchelleFPAparam!$J$3*EchelleFPAparam!$B$6*COS(EchelleFPAparam!$AC$3)-(BD17-1024)*SIN(EchelleFPAparam!$AC$3)*EchelleFPAparam!$C$3/EchelleFPAparam!$E$3))</f>
        <v>2279.06991722169</v>
      </c>
      <c r="EG17" s="26">
        <f>(EchelleFPAparam!$S$3/($U17+F$53)*COS((BE17-EchelleFPAparam!$AE13)*EchelleFPAparam!$C$3/EchelleFPAparam!$E$3))*(SIN('Standard Settings'!$F12)+SIN('Standard Settings'!$F12+EchelleFPAparam!$M$3+EchelleFPAparam!$J$3*EchelleFPAparam!$B$6*COS(EchelleFPAparam!$AC$3)-(BE17-1024)*SIN(EchelleFPAparam!$AC$3)*EchelleFPAparam!$C$3/EchelleFPAparam!$E$3))</f>
        <v>2191.5125198750497</v>
      </c>
      <c r="EH17" s="26">
        <f>(EchelleFPAparam!$S$3/($U17+G$53)*COS((BF17-EchelleFPAparam!$AE13)*EchelleFPAparam!$C$3/EchelleFPAparam!$E$3))*(SIN('Standard Settings'!$F12)+SIN('Standard Settings'!$F12+EchelleFPAparam!$M$3+EchelleFPAparam!$J$3*EchelleFPAparam!$B$6*COS(EchelleFPAparam!$AC$3)-(BF17-1024)*SIN(EchelleFPAparam!$AC$3)*EchelleFPAparam!$C$3/EchelleFPAparam!$E$3))</f>
        <v>2110.4083357290083</v>
      </c>
      <c r="EI17" s="26">
        <f>(EchelleFPAparam!$S$3/($U17+H$53)*COS((BG17-EchelleFPAparam!$AE13)*EchelleFPAparam!$C$3/EchelleFPAparam!$E$3))*(SIN('Standard Settings'!$F12)+SIN('Standard Settings'!$F12+EchelleFPAparam!$M$3+EchelleFPAparam!$J$3*EchelleFPAparam!$B$6*COS(EchelleFPAparam!$AC$3)-(BG17-1024)*SIN(EchelleFPAparam!$AC$3)*EchelleFPAparam!$C$3/EchelleFPAparam!$E$3))</f>
        <v>2035.0720410684069</v>
      </c>
      <c r="EJ17" s="26">
        <f>(EchelleFPAparam!$S$3/($U17+I$53)*COS((BH17-EchelleFPAparam!$AE13)*EchelleFPAparam!$C$3/EchelleFPAparam!$E$3))*(SIN('Standard Settings'!$F12)+SIN('Standard Settings'!$F12+EchelleFPAparam!$M$3+EchelleFPAparam!$J$3*EchelleFPAparam!$B$6*COS(EchelleFPAparam!$AC$3)-(BH17-1024)*SIN(EchelleFPAparam!$AC$3)*EchelleFPAparam!$C$3/EchelleFPAparam!$E$3))</f>
        <v>1964.9119419939004</v>
      </c>
      <c r="EK17" s="26">
        <f>(EchelleFPAparam!$S$3/($U17+J$53)*COS((BI17-EchelleFPAparam!$AE13)*EchelleFPAparam!$C$3/EchelleFPAparam!$E$3))*(SIN('Standard Settings'!$F12)+SIN('Standard Settings'!$F12+EchelleFPAparam!$M$3+EchelleFPAparam!$J$3*EchelleFPAparam!$B$6*COS(EchelleFPAparam!$AC$3)-(BI17-1024)*SIN(EchelleFPAparam!$AC$3)*EchelleFPAparam!$C$3/EchelleFPAparam!$E$3))</f>
        <v>1898.8044422362234</v>
      </c>
      <c r="EL17" s="26">
        <f>(EchelleFPAparam!$S$3/($U17+K$53)*COS((BJ17-EchelleFPAparam!$AE13)*EchelleFPAparam!$C$3/EchelleFPAparam!$E$3))*(SIN('Standard Settings'!$F12)+SIN('Standard Settings'!$F12+EchelleFPAparam!$M$3+EchelleFPAparam!$J$3*EchelleFPAparam!$B$6*COS(EchelleFPAparam!$AC$3)-(BJ17-1024)*SIN(EchelleFPAparam!$AC$3)*EchelleFPAparam!$C$3/EchelleFPAparam!$E$3))</f>
        <v>1837.5526860350551</v>
      </c>
      <c r="EM17" s="26">
        <f>(EchelleFPAparam!$S$3/($U17+B$53)*COS((BA17-EchelleFPAparam!$AE13)*EchelleFPAparam!$C$3/EchelleFPAparam!$E$3))*(SIN('Standard Settings'!$F12)+SIN('Standard Settings'!$F12+EchelleFPAparam!$M$3+EchelleFPAparam!$K$3*EchelleFPAparam!$B$6*COS(EchelleFPAparam!$AC$3)-(BA17-1024)*SIN(EchelleFPAparam!$AC$3)*EchelleFPAparam!$C$3/EchelleFPAparam!$E$3))</f>
        <v>2604.6298824210662</v>
      </c>
      <c r="EN17" s="26">
        <f>(EchelleFPAparam!$S$3/($U17+C$53)*COS((BB17-EchelleFPAparam!$AE13)*EchelleFPAparam!$C$3/EchelleFPAparam!$E$3))*(SIN('Standard Settings'!$F12)+SIN('Standard Settings'!$F12+EchelleFPAparam!$M$3+EchelleFPAparam!$K$3*EchelleFPAparam!$B$6*COS(EchelleFPAparam!$AC$3)-(BB17-1024)*SIN(EchelleFPAparam!$AC$3)*EchelleFPAparam!$C$3/EchelleFPAparam!$E$3))</f>
        <v>2491.5531153461816</v>
      </c>
      <c r="EO17" s="26">
        <f>(EchelleFPAparam!$S$3/($U17+D$53)*COS((BC17-EchelleFPAparam!$AE13)*EchelleFPAparam!$C$3/EchelleFPAparam!$E$3))*(SIN('Standard Settings'!$F12)+SIN('Standard Settings'!$F12+EchelleFPAparam!$M$3+EchelleFPAparam!$K$3*EchelleFPAparam!$B$6*COS(EchelleFPAparam!$AC$3)-(BC17-1024)*SIN(EchelleFPAparam!$AC$3)*EchelleFPAparam!$C$3/EchelleFPAparam!$E$3))</f>
        <v>2387.9468382102978</v>
      </c>
      <c r="EP17" s="26">
        <f>(EchelleFPAparam!$S$3/($U17+E$53)*COS((BD17-EchelleFPAparam!$AE13)*EchelleFPAparam!$C$3/EchelleFPAparam!$E$3))*(SIN('Standard Settings'!$F12)+SIN('Standard Settings'!$F12+EchelleFPAparam!$M$3+EchelleFPAparam!$K$3*EchelleFPAparam!$B$6*COS(EchelleFPAparam!$AC$3)-(BD17-1024)*SIN(EchelleFPAparam!$AC$3)*EchelleFPAparam!$C$3/EchelleFPAparam!$E$3))</f>
        <v>2292.573505930709</v>
      </c>
      <c r="EQ17" s="26">
        <f>(EchelleFPAparam!$S$3/($U17+F$53)*COS((BE17-EchelleFPAparam!$AE13)*EchelleFPAparam!$C$3/EchelleFPAparam!$E$3))*(SIN('Standard Settings'!$F12)+SIN('Standard Settings'!$F12+EchelleFPAparam!$M$3+EchelleFPAparam!$K$3*EchelleFPAparam!$B$6*COS(EchelleFPAparam!$AC$3)-(BE17-1024)*SIN(EchelleFPAparam!$AC$3)*EchelleFPAparam!$C$3/EchelleFPAparam!$E$3))</f>
        <v>2204.4946945872671</v>
      </c>
      <c r="ER17" s="26">
        <f>(EchelleFPAparam!$S$3/($U17+G$53)*COS((BF17-EchelleFPAparam!$AE13)*EchelleFPAparam!$C$3/EchelleFPAparam!$E$3))*(SIN('Standard Settings'!$F12)+SIN('Standard Settings'!$F12+EchelleFPAparam!$M$3+EchelleFPAparam!$K$3*EchelleFPAparam!$B$6*COS(EchelleFPAparam!$AC$3)-(BF17-1024)*SIN(EchelleFPAparam!$AC$3)*EchelleFPAparam!$C$3/EchelleFPAparam!$E$3))</f>
        <v>2122.9077247016417</v>
      </c>
      <c r="ES17" s="26">
        <f>(EchelleFPAparam!$S$3/($U17+H$53)*COS((BG17-EchelleFPAparam!$AE13)*EchelleFPAparam!$C$3/EchelleFPAparam!$E$3))*(SIN('Standard Settings'!$F12)+SIN('Standard Settings'!$F12+EchelleFPAparam!$M$3+EchelleFPAparam!$K$3*EchelleFPAparam!$B$6*COS(EchelleFPAparam!$AC$3)-(BG17-1024)*SIN(EchelleFPAparam!$AC$3)*EchelleFPAparam!$C$3/EchelleFPAparam!$E$3))</f>
        <v>2047.1231533371733</v>
      </c>
      <c r="ET17" s="26">
        <f>(EchelleFPAparam!$S$3/($U17+I$53)*COS((BH17-EchelleFPAparam!$AE13)*EchelleFPAparam!$C$3/EchelleFPAparam!$E$3))*(SIN('Standard Settings'!$F12)+SIN('Standard Settings'!$F12+EchelleFPAparam!$M$3+EchelleFPAparam!$K$3*EchelleFPAparam!$B$6*COS(EchelleFPAparam!$AC$3)-(BH17-1024)*SIN(EchelleFPAparam!$AC$3)*EchelleFPAparam!$C$3/EchelleFPAparam!$E$3))</f>
        <v>1976.5456890714308</v>
      </c>
      <c r="EU17" s="26">
        <f>(EchelleFPAparam!$S$3/($U17+J$53)*COS((BI17-EchelleFPAparam!$AE13)*EchelleFPAparam!$C$3/EchelleFPAparam!$E$3))*(SIN('Standard Settings'!$F12)+SIN('Standard Settings'!$F12+EchelleFPAparam!$M$3+EchelleFPAparam!$K$3*EchelleFPAparam!$B$6*COS(EchelleFPAparam!$AC$3)-(BI17-1024)*SIN(EchelleFPAparam!$AC$3)*EchelleFPAparam!$C$3/EchelleFPAparam!$E$3))</f>
        <v>1910.0619137754481</v>
      </c>
      <c r="EV17" s="26">
        <f>(EchelleFPAparam!$S$3/($U17+K$53)*COS((BJ17-EchelleFPAparam!$AE13)*EchelleFPAparam!$C$3/EchelleFPAparam!$E$3))*(SIN('Standard Settings'!$F12)+SIN('Standard Settings'!$F12+EchelleFPAparam!$M$3+EchelleFPAparam!$K$3*EchelleFPAparam!$B$6*COS(EchelleFPAparam!$AC$3)-(BJ17-1024)*SIN(EchelleFPAparam!$AC$3)*EchelleFPAparam!$C$3/EchelleFPAparam!$E$3))</f>
        <v>1848.447013331079</v>
      </c>
      <c r="EW17" s="60">
        <f t="shared" si="40"/>
        <v>1938.0066033434664</v>
      </c>
      <c r="EX17" s="60">
        <f>EN17</f>
        <v>2491.5531153461816</v>
      </c>
      <c r="EY17" s="90">
        <v>0.39</v>
      </c>
      <c r="EZ17" s="90">
        <v>0.36</v>
      </c>
      <c r="FA17" s="50">
        <v>30000</v>
      </c>
      <c r="FB17" s="50">
        <v>5000</v>
      </c>
      <c r="FC17" s="50">
        <v>5000</v>
      </c>
      <c r="FD17" s="50">
        <v>10000</v>
      </c>
      <c r="FE17" s="95">
        <v>100</v>
      </c>
      <c r="FF17" s="50">
        <v>5000</v>
      </c>
      <c r="FG17" s="50">
        <v>390</v>
      </c>
      <c r="FH17" s="50">
        <f t="shared" si="27"/>
        <v>1250</v>
      </c>
      <c r="FI17" s="50">
        <f t="shared" si="28"/>
        <v>1250</v>
      </c>
      <c r="FJ17" s="50">
        <f t="shared" si="29"/>
        <v>2500</v>
      </c>
      <c r="FK17" s="95">
        <f t="shared" si="30"/>
        <v>25</v>
      </c>
      <c r="FL17" s="50">
        <f t="shared" si="31"/>
        <v>1250</v>
      </c>
      <c r="FM17" s="50">
        <f t="shared" si="32"/>
        <v>97.5</v>
      </c>
      <c r="FN17" s="50">
        <v>500</v>
      </c>
      <c r="FO17" s="91">
        <f>1/(F17*EchelleFPAparam!$Q$3)</f>
        <v>-5723.728029353776</v>
      </c>
      <c r="FP17" s="91">
        <f t="shared" si="22"/>
        <v>-38.252144331094279</v>
      </c>
      <c r="FQ17" s="50">
        <v>-999999</v>
      </c>
      <c r="FR17" s="50">
        <v>-999999</v>
      </c>
      <c r="FS17" s="90">
        <v>1</v>
      </c>
      <c r="FT17" s="90">
        <v>51.335000000000001</v>
      </c>
      <c r="FU17" s="90">
        <f>1856.494-180</f>
        <v>1676.4939999999999</v>
      </c>
      <c r="FV17" s="50">
        <v>-999999</v>
      </c>
      <c r="FW17" s="50">
        <v>-999999</v>
      </c>
      <c r="FX17" s="50">
        <v>-999999</v>
      </c>
      <c r="FY17" s="90">
        <v>1</v>
      </c>
      <c r="FZ17" s="90">
        <v>1061.941</v>
      </c>
      <c r="GA17" s="90">
        <f>1010.306-180</f>
        <v>830.30600000000004</v>
      </c>
      <c r="GB17" s="50">
        <v>-999999</v>
      </c>
      <c r="GC17" s="50">
        <v>-999999</v>
      </c>
      <c r="GD17" s="50">
        <v>-999999</v>
      </c>
      <c r="GE17" s="90">
        <v>2</v>
      </c>
      <c r="GF17" s="90">
        <v>1207.7619999999999</v>
      </c>
      <c r="GG17" s="90">
        <f>1603.603-180</f>
        <v>1423.6030000000001</v>
      </c>
      <c r="GH17" s="50">
        <v>-999999</v>
      </c>
      <c r="GI17" s="50">
        <v>-999999</v>
      </c>
      <c r="GJ17" s="50">
        <v>-999999</v>
      </c>
      <c r="GK17" s="50">
        <v>-999999</v>
      </c>
      <c r="GL17" s="50">
        <v>-999999</v>
      </c>
      <c r="GM17" s="50">
        <v>-999999</v>
      </c>
      <c r="GN17" s="50">
        <v>-999999</v>
      </c>
      <c r="GO17" s="50">
        <v>-999999</v>
      </c>
      <c r="GP17" s="50">
        <v>-999999</v>
      </c>
      <c r="GQ17" s="50">
        <v>-999999</v>
      </c>
      <c r="GR17" s="50">
        <v>-999999</v>
      </c>
      <c r="GS17" s="50">
        <v>-999999</v>
      </c>
      <c r="GT17" s="50">
        <v>-999999</v>
      </c>
      <c r="GU17" s="50">
        <v>-999999</v>
      </c>
      <c r="GV17" s="50">
        <v>-999999</v>
      </c>
      <c r="GW17" s="50">
        <v>-999999</v>
      </c>
      <c r="GX17" s="50">
        <v>-999999</v>
      </c>
      <c r="GY17" s="50">
        <v>-999999</v>
      </c>
      <c r="GZ17" s="50">
        <v>-999999</v>
      </c>
      <c r="HA17" s="50">
        <v>-999999</v>
      </c>
      <c r="HB17" s="50">
        <v>-999999</v>
      </c>
      <c r="HC17" s="50">
        <v>-999999</v>
      </c>
      <c r="HD17" s="50">
        <v>-999999</v>
      </c>
      <c r="HE17" s="50">
        <v>-999999</v>
      </c>
      <c r="HF17" s="50">
        <v>-999999</v>
      </c>
      <c r="HG17" s="50">
        <v>-999999</v>
      </c>
      <c r="HH17" s="50">
        <v>-999999</v>
      </c>
      <c r="HI17" s="50">
        <v>-999999</v>
      </c>
      <c r="HJ17" s="50">
        <v>-999999</v>
      </c>
      <c r="HK17" s="50">
        <v>-999999</v>
      </c>
      <c r="HL17" s="50">
        <v>-999999</v>
      </c>
      <c r="HM17" s="50">
        <v>-999999</v>
      </c>
      <c r="HN17" s="50">
        <v>-999999</v>
      </c>
      <c r="HO17" s="50">
        <v>-999999</v>
      </c>
      <c r="HP17" s="50">
        <v>-999999</v>
      </c>
      <c r="HQ17" s="50">
        <v>-999999</v>
      </c>
      <c r="HR17" s="50">
        <v>-999999</v>
      </c>
      <c r="HS17" s="50">
        <v>-999999</v>
      </c>
      <c r="HT17" s="50">
        <v>-999999</v>
      </c>
      <c r="HU17" s="50">
        <v>-999999</v>
      </c>
      <c r="HV17" s="50">
        <v>-999999</v>
      </c>
      <c r="HW17" s="50">
        <v>-999999</v>
      </c>
      <c r="HX17" s="50">
        <v>-999999</v>
      </c>
      <c r="HY17" s="50"/>
      <c r="HZ17" s="50"/>
      <c r="IA17" s="50"/>
      <c r="IB17" s="50"/>
      <c r="IC17" s="50"/>
      <c r="ID17" s="50"/>
      <c r="IE17" s="50"/>
      <c r="IF17" s="50"/>
      <c r="IG17" s="50"/>
      <c r="IH17" s="50"/>
      <c r="II17" s="50"/>
      <c r="IJ17" s="50"/>
      <c r="IK17" s="50"/>
      <c r="IL17" s="50"/>
      <c r="IM17" s="50"/>
      <c r="IN17" s="50"/>
      <c r="IO17" s="50"/>
      <c r="IP17" s="50"/>
      <c r="IQ17" s="50"/>
      <c r="IR17" s="50"/>
      <c r="IS17" s="50"/>
      <c r="IT17" s="50"/>
      <c r="IU17" s="50"/>
      <c r="IV17" s="50"/>
      <c r="IW17" s="50"/>
      <c r="IX17" s="50"/>
      <c r="IY17" s="50"/>
      <c r="IZ17" s="50"/>
      <c r="JA17" s="50"/>
      <c r="JB17" s="50"/>
      <c r="JC17" s="50"/>
      <c r="JD17" s="50"/>
      <c r="JE17" s="50"/>
      <c r="JF17" s="50"/>
      <c r="JG17" s="50"/>
      <c r="JH17" s="50"/>
      <c r="JI17" s="50"/>
      <c r="JJ17" s="50"/>
      <c r="JK17" s="50"/>
      <c r="JL17" s="50"/>
      <c r="JM17" s="50"/>
      <c r="JN17" s="50"/>
      <c r="JO17" s="50"/>
      <c r="JP17" s="50"/>
      <c r="JQ17" s="50"/>
      <c r="JR17" s="50"/>
      <c r="JS17" s="50"/>
      <c r="JT17" s="50"/>
      <c r="JU17" s="50"/>
      <c r="JV17" s="50"/>
      <c r="JW17" s="52">
        <f t="shared" si="23"/>
        <v>2744.6010799211213</v>
      </c>
      <c r="JX17" s="27">
        <f t="shared" si="24"/>
        <v>326763.68609488901</v>
      </c>
      <c r="JY17" s="107">
        <f>JW17*EchelleFPAparam!$Q$3</f>
        <v>-2.6142325286248679E-2</v>
      </c>
      <c r="KA17" s="19"/>
      <c r="KB17" s="19"/>
      <c r="KC17" s="19"/>
      <c r="KD17" s="19"/>
      <c r="KE17" s="19"/>
      <c r="KF17" s="19"/>
      <c r="KG17" s="19"/>
      <c r="KH17" s="19"/>
      <c r="KI17" s="19"/>
      <c r="KJ17" s="19"/>
      <c r="KK17" s="19"/>
      <c r="KL17" s="19"/>
      <c r="KM17" s="19"/>
      <c r="KW17" s="19"/>
      <c r="KX17" s="19"/>
      <c r="KY17" s="19"/>
      <c r="KZ17" s="19"/>
      <c r="LA17" s="19"/>
      <c r="LB17" s="19"/>
      <c r="LC17" s="19"/>
      <c r="LD17" s="19"/>
      <c r="LE17" s="19"/>
      <c r="LF17" s="19"/>
    </row>
    <row r="18" spans="1:318" x14ac:dyDescent="0.2">
      <c r="A18" s="53">
        <f t="shared" si="35"/>
        <v>12</v>
      </c>
      <c r="B18" s="96">
        <f t="shared" si="0"/>
        <v>2166.0164588730586</v>
      </c>
      <c r="C18" s="27" t="str">
        <f>'Standard Settings'!B13</f>
        <v>K/3/4</v>
      </c>
      <c r="D18" s="27">
        <f>'Standard Settings'!H13</f>
        <v>26</v>
      </c>
      <c r="E18" s="19">
        <f t="shared" si="1"/>
        <v>6.8971827176338429E-3</v>
      </c>
      <c r="F18" s="18">
        <f>((EchelleFPAparam!$S$3/('crmcfgWLEN.txt'!$U18+F$53))*(SIN('Standard Settings'!$F13+0.0005)+SIN('Standard Settings'!$F13+0.0005+EchelleFPAparam!$M$3))-(EchelleFPAparam!$S$3/('crmcfgWLEN.txt'!$U18+F$53))*(SIN('Standard Settings'!$F13-0.0005)+SIN('Standard Settings'!$F13-0.0005+EchelleFPAparam!$M$3)))*1000*EchelleFPAparam!$O$3/180</f>
        <v>18.973452682836996</v>
      </c>
      <c r="G18" s="20" t="str">
        <f>'Standard Settings'!C13</f>
        <v>K</v>
      </c>
      <c r="H18" s="46"/>
      <c r="I18" s="59" t="s">
        <v>361</v>
      </c>
      <c r="J18" s="57"/>
      <c r="K18" s="27" t="str">
        <f>'Standard Settings'!$D13</f>
        <v>HK</v>
      </c>
      <c r="L18" s="46"/>
      <c r="M18" s="12">
        <v>2.5</v>
      </c>
      <c r="N18" s="12">
        <v>2.5</v>
      </c>
      <c r="O18" s="27" t="str">
        <f>'Standard Settings'!$D13</f>
        <v>HK</v>
      </c>
      <c r="P18" s="46"/>
      <c r="Q18" s="27">
        <f>'Standard Settings'!$E13</f>
        <v>64.951950000000011</v>
      </c>
      <c r="R18" s="106">
        <f>'Standard Settings'!$J13</f>
        <v>570000</v>
      </c>
      <c r="S18" s="21">
        <f>'Standard Settings'!$G13</f>
        <v>23</v>
      </c>
      <c r="T18" s="21">
        <f>'Standard Settings'!$I13</f>
        <v>29</v>
      </c>
      <c r="U18" s="22">
        <f t="shared" si="25"/>
        <v>22</v>
      </c>
      <c r="V18" s="22">
        <f t="shared" si="26"/>
        <v>31</v>
      </c>
      <c r="W18" s="23">
        <f>IF(AND($U18-$S18+B$53&gt;=0,$U18-$T18+B$53&lt;=0),(EchelleFPAparam!$S$3/('crmcfgWLEN.txt'!$U18+B$53))*(SIN('Standard Settings'!$F13)+SIN('Standard Settings'!$F13+EchelleFPAparam!$M$3)),-1)</f>
        <v>-1</v>
      </c>
      <c r="X18" s="23">
        <f>IF(AND($U18-$S18+C$53&gt;=0,$U18-$T18+C$53&lt;=0),(EchelleFPAparam!$S$3/('crmcfgWLEN.txt'!$U18+C$53))*(SIN('Standard Settings'!$F13)+SIN('Standard Settings'!$F13+EchelleFPAparam!$M$3)),-1)</f>
        <v>2448.5403448130223</v>
      </c>
      <c r="Y18" s="23">
        <f>IF(AND($U18-$S18+D$53&gt;=0,$U18-$T18+D$53&lt;=0),(EchelleFPAparam!$S$3/('crmcfgWLEN.txt'!$U18+D$53))*(SIN('Standard Settings'!$F13)+SIN('Standard Settings'!$F13+EchelleFPAparam!$M$3)),-1)</f>
        <v>2346.5178304458132</v>
      </c>
      <c r="Z18" s="23">
        <f>IF(AND($U18-$S18+E$53&gt;=0,$U18-$T18+E$53&lt;=0),(EchelleFPAparam!$S$3/('crmcfgWLEN.txt'!$U18+E$53))*(SIN('Standard Settings'!$F13)+SIN('Standard Settings'!$F13+EchelleFPAparam!$M$3)),-1)</f>
        <v>2252.657117227981</v>
      </c>
      <c r="AA18" s="23">
        <f>IF(AND($U18-$S18+F$53&gt;=0,$U18-$T18+F$53&lt;=0),(EchelleFPAparam!$S$3/('crmcfgWLEN.txt'!$U18+F$53))*(SIN('Standard Settings'!$F13)+SIN('Standard Settings'!$F13+EchelleFPAparam!$M$3)),-1)</f>
        <v>2166.0164588730586</v>
      </c>
      <c r="AB18" s="23">
        <f>IF(AND($U18-$S18+G$53&gt;=0,$U18-$T18+G$53&lt;=0),(EchelleFPAparam!$S$3/('crmcfgWLEN.txt'!$U18+G$53))*(SIN('Standard Settings'!$F13)+SIN('Standard Settings'!$F13+EchelleFPAparam!$M$3)),-1)</f>
        <v>2085.7936270629448</v>
      </c>
      <c r="AC18" s="23">
        <f>IF(AND($U18-$S18+H$53&gt;=0,$U18-$T18+H$53&lt;=0),(EchelleFPAparam!$S$3/('crmcfgWLEN.txt'!$U18+H$53))*(SIN('Standard Settings'!$F13)+SIN('Standard Settings'!$F13+EchelleFPAparam!$M$3)),-1)</f>
        <v>2011.3009975249827</v>
      </c>
      <c r="AD18" s="23">
        <f>IF(AND($U18-$S18+I$53&gt;=0,$U18-$T18+I$53&lt;=0),(EchelleFPAparam!$S$3/('crmcfgWLEN.txt'!$U18+I$53))*(SIN('Standard Settings'!$F13)+SIN('Standard Settings'!$F13+EchelleFPAparam!$M$3)),-1)</f>
        <v>1941.9457907137764</v>
      </c>
      <c r="AE18" s="23">
        <f>IF(AND($U18-$S18+J$53&gt;=0,$U18-$T18+J$53&lt;=0),(EchelleFPAparam!$S$3/('crmcfgWLEN.txt'!$U18+J$53))*(SIN('Standard Settings'!$F13)+SIN('Standard Settings'!$F13+EchelleFPAparam!$M$3)),-1)</f>
        <v>-1</v>
      </c>
      <c r="AF18" s="23">
        <f>IF(AND($U18-$S18+K$53&gt;=0,$U18-$T18+K$53&lt;=0),(EchelleFPAparam!$S$3/('crmcfgWLEN.txt'!$U18+K$53))*(SIN('Standard Settings'!$F13)+SIN('Standard Settings'!$F13+EchelleFPAparam!$M$3)),-1)</f>
        <v>-1</v>
      </c>
      <c r="AG18" s="131">
        <v>-100.1</v>
      </c>
      <c r="AH18" s="112">
        <v>228.70447918964001</v>
      </c>
      <c r="AI18" s="112">
        <v>585.38483180022502</v>
      </c>
      <c r="AJ18" s="112">
        <v>911.00492621884598</v>
      </c>
      <c r="AK18" s="112">
        <v>1211.5229848225699</v>
      </c>
      <c r="AL18" s="112">
        <v>1487.0401354133501</v>
      </c>
      <c r="AM18" s="112">
        <v>1743.95949432475</v>
      </c>
      <c r="AN18" s="112">
        <v>1980</v>
      </c>
      <c r="AO18" s="131">
        <v>-100.1</v>
      </c>
      <c r="AP18" s="131">
        <v>-100.1</v>
      </c>
      <c r="AQ18" s="130">
        <v>-100.1</v>
      </c>
      <c r="AR18" s="112">
        <v>220.38129672398</v>
      </c>
      <c r="AS18" s="112">
        <v>580.16724224112704</v>
      </c>
      <c r="AT18" s="112">
        <v>908.05779874634902</v>
      </c>
      <c r="AU18" s="112">
        <v>1211.1688648055999</v>
      </c>
      <c r="AV18" s="112">
        <v>1488.62156625377</v>
      </c>
      <c r="AW18" s="112">
        <v>1747.1393861696399</v>
      </c>
      <c r="AX18" s="112">
        <v>1985</v>
      </c>
      <c r="AY18" s="130">
        <v>-100.1</v>
      </c>
      <c r="AZ18" s="130">
        <v>-100.1</v>
      </c>
      <c r="BA18" s="132">
        <v>-100.1</v>
      </c>
      <c r="BB18" s="112">
        <v>212.71625026066599</v>
      </c>
      <c r="BC18" s="112">
        <v>575.55333111037396</v>
      </c>
      <c r="BD18" s="112">
        <v>906.42196458018998</v>
      </c>
      <c r="BE18" s="112">
        <v>1212.0018422774999</v>
      </c>
      <c r="BF18" s="112">
        <v>1492.42900835778</v>
      </c>
      <c r="BG18" s="112">
        <v>1751.98608757124</v>
      </c>
      <c r="BH18" s="112">
        <v>2000</v>
      </c>
      <c r="BI18" s="132">
        <v>-100.1</v>
      </c>
      <c r="BJ18" s="132">
        <v>-100.1</v>
      </c>
      <c r="BK18" s="24">
        <f>EchelleFPAparam!$S$3/('crmcfgWLEN.txt'!$U18+B$53)*(SIN(EchelleFPAparam!$T$3-EchelleFPAparam!$M$3/2)+SIN('Standard Settings'!$F13+EchelleFPAparam!$M$3))</f>
        <v>2564.1608815009695</v>
      </c>
      <c r="BL18" s="24">
        <f>EchelleFPAparam!$S$3/('crmcfgWLEN.txt'!$U18+C$53)*(SIN(EchelleFPAparam!$T$3-EchelleFPAparam!$M$3/2)+SIN('Standard Settings'!$F13+EchelleFPAparam!$M$3))</f>
        <v>2452.6756257835359</v>
      </c>
      <c r="BM18" s="24">
        <f>EchelleFPAparam!$S$3/('crmcfgWLEN.txt'!$U18+D$53)*(SIN(EchelleFPAparam!$T$3-EchelleFPAparam!$M$3/2)+SIN('Standard Settings'!$F13+EchelleFPAparam!$M$3))</f>
        <v>2350.4808080425551</v>
      </c>
      <c r="BN18" s="24">
        <f>EchelleFPAparam!$S$3/('crmcfgWLEN.txt'!$U18+E$53)*(SIN(EchelleFPAparam!$T$3-EchelleFPAparam!$M$3/2)+SIN('Standard Settings'!$F13+EchelleFPAparam!$M$3))</f>
        <v>2256.461575720853</v>
      </c>
      <c r="BO18" s="24">
        <f>EchelleFPAparam!$S$3/('crmcfgWLEN.txt'!$U18+F$53)*(SIN(EchelleFPAparam!$T$3-EchelleFPAparam!$M$3/2)+SIN('Standard Settings'!$F13+EchelleFPAparam!$M$3))</f>
        <v>2169.6745920392818</v>
      </c>
      <c r="BP18" s="24">
        <f>EchelleFPAparam!$S$3/('crmcfgWLEN.txt'!$U18+G$53)*(SIN(EchelleFPAparam!$T$3-EchelleFPAparam!$M$3/2)+SIN('Standard Settings'!$F13+EchelleFPAparam!$M$3))</f>
        <v>2089.3162738156043</v>
      </c>
      <c r="BQ18" s="24">
        <f>EchelleFPAparam!$S$3/('crmcfgWLEN.txt'!$U18+H$53)*(SIN(EchelleFPAparam!$T$3-EchelleFPAparam!$M$3/2)+SIN('Standard Settings'!$F13+EchelleFPAparam!$M$3))</f>
        <v>2014.6978354650473</v>
      </c>
      <c r="BR18" s="24">
        <f>EchelleFPAparam!$S$3/('crmcfgWLEN.txt'!$U18+I$53)*(SIN(EchelleFPAparam!$T$3-EchelleFPAparam!$M$3/2)+SIN('Standard Settings'!$F13+EchelleFPAparam!$M$3))</f>
        <v>1945.22549631108</v>
      </c>
      <c r="BS18" s="24">
        <f>EchelleFPAparam!$S$3/('crmcfgWLEN.txt'!$U18+J$53)*(SIN(EchelleFPAparam!$T$3-EchelleFPAparam!$M$3/2)+SIN('Standard Settings'!$F13+EchelleFPAparam!$M$3))</f>
        <v>1880.384646434044</v>
      </c>
      <c r="BT18" s="24">
        <f>EchelleFPAparam!$S$3/('crmcfgWLEN.txt'!$U18+K$53)*(SIN(EchelleFPAparam!$T$3-EchelleFPAparam!$M$3/2)+SIN('Standard Settings'!$F13+EchelleFPAparam!$M$3))</f>
        <v>1819.7270771942362</v>
      </c>
      <c r="BU18" s="25">
        <f t="shared" si="33"/>
        <v>2515.7804875103852</v>
      </c>
      <c r="BV18" s="25">
        <f t="shared" si="2"/>
        <v>2408.0815234965626</v>
      </c>
      <c r="BW18" s="25">
        <f t="shared" si="3"/>
        <v>2309.2443026382994</v>
      </c>
      <c r="BX18" s="25">
        <f t="shared" si="4"/>
        <v>2218.2164642679572</v>
      </c>
      <c r="BY18" s="25">
        <f t="shared" si="5"/>
        <v>2134.1061561042115</v>
      </c>
      <c r="BZ18" s="25">
        <f t="shared" si="6"/>
        <v>2056.1525234375786</v>
      </c>
      <c r="CA18" s="25">
        <f t="shared" si="7"/>
        <v>1983.7024841502005</v>
      </c>
      <c r="CB18" s="25">
        <f t="shared" si="8"/>
        <v>1916.1922799482279</v>
      </c>
      <c r="CC18" s="25">
        <f t="shared" si="9"/>
        <v>1853.1326950364494</v>
      </c>
      <c r="CD18" s="25">
        <f t="shared" si="10"/>
        <v>1794.0971183605147</v>
      </c>
      <c r="CE18" s="25">
        <f t="shared" si="34"/>
        <v>2614.4385458441257</v>
      </c>
      <c r="CF18" s="25">
        <f t="shared" si="11"/>
        <v>2498.9525243832254</v>
      </c>
      <c r="CG18" s="25">
        <f t="shared" si="12"/>
        <v>2393.2168227342377</v>
      </c>
      <c r="CH18" s="25">
        <f t="shared" si="13"/>
        <v>2296.0486209089381</v>
      </c>
      <c r="CI18" s="25">
        <f t="shared" si="14"/>
        <v>2206.4487376670663</v>
      </c>
      <c r="CJ18" s="25">
        <f t="shared" si="15"/>
        <v>2123.5673602715979</v>
      </c>
      <c r="CK18" s="25">
        <f t="shared" si="16"/>
        <v>2046.6771661867147</v>
      </c>
      <c r="CL18" s="25">
        <f t="shared" si="17"/>
        <v>1975.1520424081734</v>
      </c>
      <c r="CM18" s="25">
        <f t="shared" si="18"/>
        <v>1908.4500889181343</v>
      </c>
      <c r="CN18" s="25">
        <f t="shared" si="19"/>
        <v>1846.0999333854572</v>
      </c>
      <c r="CO18" s="26">
        <f>(EchelleFPAparam!$S$3/($U18+B$53)*COS((AG18-EchelleFPAparam!$AE14)*EchelleFPAparam!$C$3/EchelleFPAparam!$E$3))*(SIN('Standard Settings'!$F13)+SIN('Standard Settings'!$F13+EchelleFPAparam!$M$3+(EchelleFPAparam!$F$3*EchelleFPAparam!$B$6)*COS(EchelleFPAparam!$AC$3)-(AG18-1024)*SIN(EchelleFPAparam!$AC$3)*EchelleFPAparam!$C$3/EchelleFPAparam!$E$3))</f>
        <v>2531.9692874502421</v>
      </c>
      <c r="CP18" s="26">
        <f>(EchelleFPAparam!$S$3/($U18+C$53)*COS((AH18-EchelleFPAparam!$AE14)*EchelleFPAparam!$C$3/EchelleFPAparam!$E$3))*(SIN('Standard Settings'!$F13)+SIN('Standard Settings'!$F13+EchelleFPAparam!$M$3+(EchelleFPAparam!$F$3*EchelleFPAparam!$B$6)*COS(EchelleFPAparam!$AC$3)-(AH18-1024)*SIN(EchelleFPAparam!$AC$3)*EchelleFPAparam!$C$3/EchelleFPAparam!$E$3))</f>
        <v>2422.1148367134151</v>
      </c>
      <c r="CQ18" s="26">
        <f>(EchelleFPAparam!$S$3/($U18+D$53)*COS((AI18-EchelleFPAparam!$AE14)*EchelleFPAparam!$C$3/EchelleFPAparam!$E$3))*(SIN('Standard Settings'!$F13)+SIN('Standard Settings'!$F13+EchelleFPAparam!$M$3+(EchelleFPAparam!$F$3*EchelleFPAparam!$B$6)*COS(EchelleFPAparam!$AC$3)-(AI18-1024)*SIN(EchelleFPAparam!$AC$3)*EchelleFPAparam!$C$3/EchelleFPAparam!$E$3))</f>
        <v>2321.3934866369632</v>
      </c>
      <c r="CR18" s="26">
        <f>(EchelleFPAparam!$S$3/($U18+E$53)*COS((AJ18-EchelleFPAparam!$AE14)*EchelleFPAparam!$C$3/EchelleFPAparam!$E$3))*(SIN('Standard Settings'!$F13)+SIN('Standard Settings'!$F13+EchelleFPAparam!$M$3+(EchelleFPAparam!$F$3*EchelleFPAparam!$B$6)*COS(EchelleFPAparam!$AC$3)-(AJ18-1024)*SIN(EchelleFPAparam!$AC$3)*EchelleFPAparam!$C$3/EchelleFPAparam!$E$3))</f>
        <v>2228.678027553533</v>
      </c>
      <c r="CS18" s="26">
        <f>(EchelleFPAparam!$S$3/($U18+F$53)*COS((AK18-EchelleFPAparam!$AE14)*EchelleFPAparam!$C$3/EchelleFPAparam!$E$3))*(SIN('Standard Settings'!$F13)+SIN('Standard Settings'!$F13+EchelleFPAparam!$M$3+(EchelleFPAparam!$F$3*EchelleFPAparam!$B$6)*COS(EchelleFPAparam!$AC$3)-(AK18-1024)*SIN(EchelleFPAparam!$AC$3)*EchelleFPAparam!$C$3/EchelleFPAparam!$E$3))</f>
        <v>2143.0555499717893</v>
      </c>
      <c r="CT18" s="26">
        <f>(EchelleFPAparam!$S$3/($U18+G$53)*COS((AL18-EchelleFPAparam!$AE14)*EchelleFPAparam!$C$3/EchelleFPAparam!$E$3))*(SIN('Standard Settings'!$F13)+SIN('Standard Settings'!$F13+EchelleFPAparam!$M$3+(EchelleFPAparam!$F$3*EchelleFPAparam!$B$6)*COS(EchelleFPAparam!$AC$3)-(AL18-1024)*SIN(EchelleFPAparam!$AC$3)*EchelleFPAparam!$C$3/EchelleFPAparam!$E$3))</f>
        <v>2063.7445808680754</v>
      </c>
      <c r="CU18" s="26">
        <f>(EchelleFPAparam!$S$3/($U18+H$53)*COS((AM18-EchelleFPAparam!$AE14)*EchelleFPAparam!$C$3/EchelleFPAparam!$E$3))*(SIN('Standard Settings'!$F13)+SIN('Standard Settings'!$F13+EchelleFPAparam!$M$3+(EchelleFPAparam!$F$3*EchelleFPAparam!$B$6)*COS(EchelleFPAparam!$AC$3)-(AM18-1024)*SIN(EchelleFPAparam!$AC$3)*EchelleFPAparam!$C$3/EchelleFPAparam!$E$3))</f>
        <v>1990.0753851805305</v>
      </c>
      <c r="CV18" s="26">
        <f>(EchelleFPAparam!$S$3/($U18+I$53)*COS((AN18-EchelleFPAparam!$AE14)*EchelleFPAparam!$C$3/EchelleFPAparam!$E$3))*(SIN('Standard Settings'!$F13)+SIN('Standard Settings'!$F13+EchelleFPAparam!$M$3+(EchelleFPAparam!$F$3*EchelleFPAparam!$B$6)*COS(EchelleFPAparam!$AC$3)-(AN18-1024)*SIN(EchelleFPAparam!$AC$3)*EchelleFPAparam!$C$3/EchelleFPAparam!$E$3))</f>
        <v>1921.468153516699</v>
      </c>
      <c r="CW18" s="26">
        <f>(EchelleFPAparam!$S$3/($U18+J$53)*COS((AO18-EchelleFPAparam!$AE14)*EchelleFPAparam!$C$3/EchelleFPAparam!$E$3))*(SIN('Standard Settings'!$F13)+SIN('Standard Settings'!$F13+EchelleFPAparam!$M$3+(EchelleFPAparam!$F$3*EchelleFPAparam!$B$6)*COS(EchelleFPAparam!$AC$3)-(AO18-1024)*SIN(EchelleFPAparam!$AC$3)*EchelleFPAparam!$C$3/EchelleFPAparam!$E$3))</f>
        <v>1856.7774774635104</v>
      </c>
      <c r="CX18" s="26">
        <f>(EchelleFPAparam!$S$3/($U18+K$53)*COS((AP18-EchelleFPAparam!$AE14)*EchelleFPAparam!$C$3/EchelleFPAparam!$E$3))*(SIN('Standard Settings'!$F13)+SIN('Standard Settings'!$F13+EchelleFPAparam!$M$3+(EchelleFPAparam!$F$3*EchelleFPAparam!$B$6)*COS(EchelleFPAparam!$AC$3)-(AP18-1024)*SIN(EchelleFPAparam!$AC$3)*EchelleFPAparam!$C$3/EchelleFPAparam!$E$3))</f>
        <v>1796.8814298033972</v>
      </c>
      <c r="CY18" s="26">
        <f>(EchelleFPAparam!$S$3/($U18+B$53)*COS((AG18-EchelleFPAparam!$AE14)*EchelleFPAparam!$C$3/EchelleFPAparam!$E$3))*(SIN('Standard Settings'!$F13)+SIN('Standard Settings'!$F13+EchelleFPAparam!$M$3+EchelleFPAparam!$G$3*EchelleFPAparam!$B$6*COS(EchelleFPAparam!$AC$3)-(AG18-1024)*SIN(EchelleFPAparam!$AC$3)*EchelleFPAparam!$C$3/EchelleFPAparam!$E$3))</f>
        <v>2549.4839271413853</v>
      </c>
      <c r="CZ18" s="26">
        <f>(EchelleFPAparam!$S$3/($U18+C$53)*COS((AH18-EchelleFPAparam!$AE14)*EchelleFPAparam!$C$3/EchelleFPAparam!$E$3))*(SIN('Standard Settings'!$F13)+SIN('Standard Settings'!$F13+EchelleFPAparam!$M$3+EchelleFPAparam!$G$3*EchelleFPAparam!$B$6*COS(EchelleFPAparam!$AC$3)-(AH18-1024)*SIN(EchelleFPAparam!$AC$3)*EchelleFPAparam!$C$3/EchelleFPAparam!$E$3))</f>
        <v>2438.8663796307942</v>
      </c>
      <c r="DA18" s="26">
        <f>(EchelleFPAparam!$S$3/($U18+D$53)*COS((AI18-EchelleFPAparam!$AE14)*EchelleFPAparam!$C$3/EchelleFPAparam!$E$3))*(SIN('Standard Settings'!$F13)+SIN('Standard Settings'!$F13+EchelleFPAparam!$M$3+EchelleFPAparam!$G$3*EchelleFPAparam!$B$6*COS(EchelleFPAparam!$AC$3)-(AI18-1024)*SIN(EchelleFPAparam!$AC$3)*EchelleFPAparam!$C$3/EchelleFPAparam!$E$3))</f>
        <v>2337.4451162840573</v>
      </c>
      <c r="DB18" s="26">
        <f>(EchelleFPAparam!$S$3/($U18+E$53)*COS((AJ18-EchelleFPAparam!$AE14)*EchelleFPAparam!$C$3/EchelleFPAparam!$E$3))*(SIN('Standard Settings'!$F13)+SIN('Standard Settings'!$F13+EchelleFPAparam!$M$3+EchelleFPAparam!$G$3*EchelleFPAparam!$B$6*COS(EchelleFPAparam!$AC$3)-(AJ18-1024)*SIN(EchelleFPAparam!$AC$3)*EchelleFPAparam!$C$3/EchelleFPAparam!$E$3))</f>
        <v>2244.0856555600712</v>
      </c>
      <c r="DC18" s="26">
        <f>(EchelleFPAparam!$S$3/($U18+F$53)*COS((AK18-EchelleFPAparam!$AE14)*EchelleFPAparam!$C$3/EchelleFPAparam!$E$3))*(SIN('Standard Settings'!$F13)+SIN('Standard Settings'!$F13+EchelleFPAparam!$M$3+EchelleFPAparam!$G$3*EchelleFPAparam!$B$6*COS(EchelleFPAparam!$AC$3)-(AK18-1024)*SIN(EchelleFPAparam!$AC$3)*EchelleFPAparam!$C$3/EchelleFPAparam!$E$3))</f>
        <v>2157.8686606874107</v>
      </c>
      <c r="DD18" s="26">
        <f>(EchelleFPAparam!$S$3/($U18+G$53)*COS((AL18-EchelleFPAparam!$AE14)*EchelleFPAparam!$C$3/EchelleFPAparam!$E$3))*(SIN('Standard Settings'!$F13)+SIN('Standard Settings'!$F13+EchelleFPAparam!$M$3+EchelleFPAparam!$G$3*EchelleFPAparam!$B$6*COS(EchelleFPAparam!$AC$3)-(AL18-1024)*SIN(EchelleFPAparam!$AC$3)*EchelleFPAparam!$C$3/EchelleFPAparam!$E$3))</f>
        <v>2078.0072055536798</v>
      </c>
      <c r="DE18" s="26">
        <f>(EchelleFPAparam!$S$3/($U18+H$53)*COS((AM18-EchelleFPAparam!$AE14)*EchelleFPAparam!$C$3/EchelleFPAparam!$E$3))*(SIN('Standard Settings'!$F13)+SIN('Standard Settings'!$F13+EchelleFPAparam!$M$3+EchelleFPAparam!$G$3*EchelleFPAparam!$B$6*COS(EchelleFPAparam!$AC$3)-(AM18-1024)*SIN(EchelleFPAparam!$AC$3)*EchelleFPAparam!$C$3/EchelleFPAparam!$E$3))</f>
        <v>2003.8268314346788</v>
      </c>
      <c r="DF18" s="26">
        <f>(EchelleFPAparam!$S$3/($U18+I$53)*COS((AN18-EchelleFPAparam!$AE14)*EchelleFPAparam!$C$3/EchelleFPAparam!$E$3))*(SIN('Standard Settings'!$F13)+SIN('Standard Settings'!$F13+EchelleFPAparam!$M$3+EchelleFPAparam!$G$3*EchelleFPAparam!$B$6*COS(EchelleFPAparam!$AC$3)-(AN18-1024)*SIN(EchelleFPAparam!$AC$3)*EchelleFPAparam!$C$3/EchelleFPAparam!$E$3))</f>
        <v>1934.7437066624241</v>
      </c>
      <c r="DG18" s="26">
        <f>(EchelleFPAparam!$S$3/($U18+J$53)*COS((AO18-EchelleFPAparam!$AE14)*EchelleFPAparam!$C$3/EchelleFPAparam!$E$3))*(SIN('Standard Settings'!$F13)+SIN('Standard Settings'!$F13+EchelleFPAparam!$M$3+EchelleFPAparam!$G$3*EchelleFPAparam!$B$6*COS(EchelleFPAparam!$AC$3)-(AO18-1024)*SIN(EchelleFPAparam!$AC$3)*EchelleFPAparam!$C$3/EchelleFPAparam!$E$3))</f>
        <v>1869.6215465703488</v>
      </c>
      <c r="DH18" s="26">
        <f>(EchelleFPAparam!$S$3/($U18+K$53)*COS((AP18-EchelleFPAparam!$AE14)*EchelleFPAparam!$C$3/EchelleFPAparam!$E$3))*(SIN('Standard Settings'!$F13)+SIN('Standard Settings'!$F13+EchelleFPAparam!$M$3+EchelleFPAparam!$G$3*EchelleFPAparam!$B$6*COS(EchelleFPAparam!$AC$3)-(AP18-1024)*SIN(EchelleFPAparam!$AC$3)*EchelleFPAparam!$C$3/EchelleFPAparam!$E$3))</f>
        <v>1809.3111741003377</v>
      </c>
      <c r="DI18" s="26">
        <f>(EchelleFPAparam!$S$3/($U18+B$53)*COS((AQ18-EchelleFPAparam!$AE14)*EchelleFPAparam!$C$3/EchelleFPAparam!$E$3))*(SIN('Standard Settings'!$F13)+SIN('Standard Settings'!$F13+EchelleFPAparam!$M$3+EchelleFPAparam!$H$3*EchelleFPAparam!$B$6*COS(EchelleFPAparam!$AC$3)-(AQ18-1024)*SIN(EchelleFPAparam!$AC$3)*EchelleFPAparam!$C$3/EchelleFPAparam!$E$3))</f>
        <v>2550.6883914014397</v>
      </c>
      <c r="DJ18" s="26">
        <f>(EchelleFPAparam!$S$3/($U18+C$53)*COS((AR18-EchelleFPAparam!$AE14)*EchelleFPAparam!$C$3/EchelleFPAparam!$E$3))*(SIN('Standard Settings'!$F13)+SIN('Standard Settings'!$F13+EchelleFPAparam!$M$3+EchelleFPAparam!$H$3*EchelleFPAparam!$B$6*COS(EchelleFPAparam!$AC$3)-(AR18-1024)*SIN(EchelleFPAparam!$AC$3)*EchelleFPAparam!$C$3/EchelleFPAparam!$E$3))</f>
        <v>2440.0130132741833</v>
      </c>
      <c r="DK18" s="26">
        <f>(EchelleFPAparam!$S$3/($U18+D$53)*COS((AS18-EchelleFPAparam!$AE14)*EchelleFPAparam!$C$3/EchelleFPAparam!$E$3))*(SIN('Standard Settings'!$F13)+SIN('Standard Settings'!$F13+EchelleFPAparam!$M$3+EchelleFPAparam!$H$3*EchelleFPAparam!$B$6*COS(EchelleFPAparam!$AC$3)-(AS18-1024)*SIN(EchelleFPAparam!$AC$3)*EchelleFPAparam!$C$3/EchelleFPAparam!$E$3))</f>
        <v>2338.5463661166486</v>
      </c>
      <c r="DL18" s="26">
        <f>(EchelleFPAparam!$S$3/($U18+E$53)*COS((AT18-EchelleFPAparam!$AE14)*EchelleFPAparam!$C$3/EchelleFPAparam!$E$3))*(SIN('Standard Settings'!$F13)+SIN('Standard Settings'!$F13+EchelleFPAparam!$M$3+EchelleFPAparam!$H$3*EchelleFPAparam!$B$6*COS(EchelleFPAparam!$AC$3)-(AT18-1024)*SIN(EchelleFPAparam!$AC$3)*EchelleFPAparam!$C$3/EchelleFPAparam!$E$3))</f>
        <v>2245.1441065001886</v>
      </c>
      <c r="DM18" s="26">
        <f>(EchelleFPAparam!$S$3/($U18+F$53)*COS((AU18-EchelleFPAparam!$AE14)*EchelleFPAparam!$C$3/EchelleFPAparam!$E$3))*(SIN('Standard Settings'!$F13)+SIN('Standard Settings'!$F13+EchelleFPAparam!$M$3+EchelleFPAparam!$H$3*EchelleFPAparam!$B$6*COS(EchelleFPAparam!$AC$3)-(AU18-1024)*SIN(EchelleFPAparam!$AC$3)*EchelleFPAparam!$C$3/EchelleFPAparam!$E$3))</f>
        <v>2158.8872283681567</v>
      </c>
      <c r="DN18" s="26">
        <f>(EchelleFPAparam!$S$3/($U18+G$53)*COS((AV18-EchelleFPAparam!$AE14)*EchelleFPAparam!$C$3/EchelleFPAparam!$E$3))*(SIN('Standard Settings'!$F13)+SIN('Standard Settings'!$F13+EchelleFPAparam!$M$3+EchelleFPAparam!$H$3*EchelleFPAparam!$B$6*COS(EchelleFPAparam!$AC$3)-(AV18-1024)*SIN(EchelleFPAparam!$AC$3)*EchelleFPAparam!$C$3/EchelleFPAparam!$E$3))</f>
        <v>2078.9882845578845</v>
      </c>
      <c r="DO18" s="26">
        <f>(EchelleFPAparam!$S$3/($U18+H$53)*COS((AW18-EchelleFPAparam!$AE14)*EchelleFPAparam!$C$3/EchelleFPAparam!$E$3))*(SIN('Standard Settings'!$F13)+SIN('Standard Settings'!$F13+EchelleFPAparam!$M$3+EchelleFPAparam!$H$3*EchelleFPAparam!$B$6*COS(EchelleFPAparam!$AC$3)-(AW18-1024)*SIN(EchelleFPAparam!$AC$3)*EchelleFPAparam!$C$3/EchelleFPAparam!$E$3))</f>
        <v>2004.7727812871942</v>
      </c>
      <c r="DP18" s="26">
        <f>(EchelleFPAparam!$S$3/($U18+I$53)*COS((AX18-EchelleFPAparam!$AE14)*EchelleFPAparam!$C$3/EchelleFPAparam!$E$3))*(SIN('Standard Settings'!$F13)+SIN('Standard Settings'!$F13+EchelleFPAparam!$M$3+EchelleFPAparam!$H$3*EchelleFPAparam!$B$6*COS(EchelleFPAparam!$AC$3)-(AX18-1024)*SIN(EchelleFPAparam!$AC$3)*EchelleFPAparam!$C$3/EchelleFPAparam!$E$3))</f>
        <v>1935.6567597015273</v>
      </c>
      <c r="DQ18" s="26">
        <f>(EchelleFPAparam!$S$3/($U18+J$53)*COS((AY18-EchelleFPAparam!$AE14)*EchelleFPAparam!$C$3/EchelleFPAparam!$E$3))*(SIN('Standard Settings'!$F13)+SIN('Standard Settings'!$F13+EchelleFPAparam!$M$3+EchelleFPAparam!$H$3*EchelleFPAparam!$B$6*COS(EchelleFPAparam!$AC$3)-(AY18-1024)*SIN(EchelleFPAparam!$AC$3)*EchelleFPAparam!$C$3/EchelleFPAparam!$E$3))</f>
        <v>1870.5048203610554</v>
      </c>
      <c r="DR18" s="26">
        <f>(EchelleFPAparam!$S$3/($U18+K$53)*COS((AZ18-EchelleFPAparam!$AE14)*EchelleFPAparam!$C$3/EchelleFPAparam!$E$3))*(SIN('Standard Settings'!$F13)+SIN('Standard Settings'!$F13+EchelleFPAparam!$M$3+EchelleFPAparam!$H$3*EchelleFPAparam!$B$6*COS(EchelleFPAparam!$AC$3)-(AZ18-1024)*SIN(EchelleFPAparam!$AC$3)*EchelleFPAparam!$C$3/EchelleFPAparam!$E$3))</f>
        <v>1810.1659551881182</v>
      </c>
      <c r="DS18" s="26">
        <f>(EchelleFPAparam!$S$3/($U18+B$53)*COS((AQ18-EchelleFPAparam!$AE14)*EchelleFPAparam!$C$3/EchelleFPAparam!$E$3))*(SIN('Standard Settings'!$F13)+SIN('Standard Settings'!$F13+EchelleFPAparam!$M$3+EchelleFPAparam!$I$3*EchelleFPAparam!$B$6*COS(EchelleFPAparam!$AC$3)-(AQ18-1024)*SIN(EchelleFPAparam!$AC$3)*EchelleFPAparam!$C$3/EchelleFPAparam!$E$3))</f>
        <v>2567.3906312504073</v>
      </c>
      <c r="DT18" s="26">
        <f>(EchelleFPAparam!$S$3/($U18+C$53)*COS((AR18-EchelleFPAparam!$AE14)*EchelleFPAparam!$C$3/EchelleFPAparam!$E$3))*(SIN('Standard Settings'!$F13)+SIN('Standard Settings'!$F13+EchelleFPAparam!$M$3+EchelleFPAparam!$I$3*EchelleFPAparam!$B$6*COS(EchelleFPAparam!$AC$3)-(AR18-1024)*SIN(EchelleFPAparam!$AC$3)*EchelleFPAparam!$C$3/EchelleFPAparam!$E$3))</f>
        <v>2455.9874300869769</v>
      </c>
      <c r="DU18" s="26">
        <f>(EchelleFPAparam!$S$3/($U18+D$53)*COS((AS18-EchelleFPAparam!$AE14)*EchelleFPAparam!$C$3/EchelleFPAparam!$E$3))*(SIN('Standard Settings'!$F13)+SIN('Standard Settings'!$F13+EchelleFPAparam!$M$3+EchelleFPAparam!$I$3*EchelleFPAparam!$B$6*COS(EchelleFPAparam!$AC$3)-(AS18-1024)*SIN(EchelleFPAparam!$AC$3)*EchelleFPAparam!$C$3/EchelleFPAparam!$E$3))</f>
        <v>2353.8531531892613</v>
      </c>
      <c r="DV18" s="26">
        <f>(EchelleFPAparam!$S$3/($U18+E$53)*COS((AT18-EchelleFPAparam!$AE14)*EchelleFPAparam!$C$3/EchelleFPAparam!$E$3))*(SIN('Standard Settings'!$F13)+SIN('Standard Settings'!$F13+EchelleFPAparam!$M$3+EchelleFPAparam!$I$3*EchelleFPAparam!$B$6*COS(EchelleFPAparam!$AC$3)-(AT18-1024)*SIN(EchelleFPAparam!$AC$3)*EchelleFPAparam!$C$3/EchelleFPAparam!$E$3))</f>
        <v>2259.836611727937</v>
      </c>
      <c r="DW18" s="26">
        <f>(EchelleFPAparam!$S$3/($U18+F$53)*COS((AU18-EchelleFPAparam!$AE14)*EchelleFPAparam!$C$3/EchelleFPAparam!$E$3))*(SIN('Standard Settings'!$F13)+SIN('Standard Settings'!$F13+EchelleFPAparam!$M$3+EchelleFPAparam!$I$3*EchelleFPAparam!$B$6*COS(EchelleFPAparam!$AC$3)-(AU18-1024)*SIN(EchelleFPAparam!$AC$3)*EchelleFPAparam!$C$3/EchelleFPAparam!$E$3))</f>
        <v>2173.0126585738708</v>
      </c>
      <c r="DX18" s="26">
        <f>(EchelleFPAparam!$S$3/($U18+G$53)*COS((AV18-EchelleFPAparam!$AE14)*EchelleFPAparam!$C$3/EchelleFPAparam!$E$3))*(SIN('Standard Settings'!$F13)+SIN('Standard Settings'!$F13+EchelleFPAparam!$M$3+EchelleFPAparam!$I$3*EchelleFPAparam!$B$6*COS(EchelleFPAparam!$AC$3)-(AV18-1024)*SIN(EchelleFPAparam!$AC$3)*EchelleFPAparam!$C$3/EchelleFPAparam!$E$3))</f>
        <v>2092.5886511847298</v>
      </c>
      <c r="DY18" s="26">
        <f>(EchelleFPAparam!$S$3/($U18+H$53)*COS((AW18-EchelleFPAparam!$AE14)*EchelleFPAparam!$C$3/EchelleFPAparam!$E$3))*(SIN('Standard Settings'!$F13)+SIN('Standard Settings'!$F13+EchelleFPAparam!$M$3+EchelleFPAparam!$I$3*EchelleFPAparam!$B$6*COS(EchelleFPAparam!$AC$3)-(AW18-1024)*SIN(EchelleFPAparam!$AC$3)*EchelleFPAparam!$C$3/EchelleFPAparam!$E$3))</f>
        <v>2017.8855850321797</v>
      </c>
      <c r="DZ18" s="26">
        <f>(EchelleFPAparam!$S$3/($U18+I$53)*COS((AX18-EchelleFPAparam!$AE14)*EchelleFPAparam!$C$3/EchelleFPAparam!$E$3))*(SIN('Standard Settings'!$F13)+SIN('Standard Settings'!$F13+EchelleFPAparam!$M$3+EchelleFPAparam!$I$3*EchelleFPAparam!$B$6*COS(EchelleFPAparam!$AC$3)-(AX18-1024)*SIN(EchelleFPAparam!$AC$3)*EchelleFPAparam!$C$3/EchelleFPAparam!$E$3))</f>
        <v>1948.315661237762</v>
      </c>
      <c r="EA18" s="26">
        <f>(EchelleFPAparam!$S$3/($U18+J$53)*COS((AY18-EchelleFPAparam!$AE14)*EchelleFPAparam!$C$3/EchelleFPAparam!$E$3))*(SIN('Standard Settings'!$F13)+SIN('Standard Settings'!$F13+EchelleFPAparam!$M$3+EchelleFPAparam!$I$3*EchelleFPAparam!$B$6*COS(EchelleFPAparam!$AC$3)-(AY18-1024)*SIN(EchelleFPAparam!$AC$3)*EchelleFPAparam!$C$3/EchelleFPAparam!$E$3))</f>
        <v>1882.7531295836318</v>
      </c>
      <c r="EB18" s="26">
        <f>(EchelleFPAparam!$S$3/($U18+K$53)*COS((AZ18-EchelleFPAparam!$AE14)*EchelleFPAparam!$C$3/EchelleFPAparam!$E$3))*(SIN('Standard Settings'!$F13)+SIN('Standard Settings'!$F13+EchelleFPAparam!$M$3+EchelleFPAparam!$I$3*EchelleFPAparam!$B$6*COS(EchelleFPAparam!$AC$3)-(AZ18-1024)*SIN(EchelleFPAparam!$AC$3)*EchelleFPAparam!$C$3/EchelleFPAparam!$E$3))</f>
        <v>1822.0191576615791</v>
      </c>
      <c r="EC18" s="26">
        <f>(EchelleFPAparam!$S$3/($U18+B$53)*COS((BA18-EchelleFPAparam!$AE14)*EchelleFPAparam!$C$3/EchelleFPAparam!$E$3))*(SIN('Standard Settings'!$F13)+SIN('Standard Settings'!$F13+EchelleFPAparam!$M$3+EchelleFPAparam!$J$3*EchelleFPAparam!$B$6*COS(EchelleFPAparam!$AC$3)-(BA18-1024)*SIN(EchelleFPAparam!$AC$3)*EchelleFPAparam!$C$3/EchelleFPAparam!$E$3))</f>
        <v>2568.570582481083</v>
      </c>
      <c r="ED18" s="26">
        <f>(EchelleFPAparam!$S$3/($U18+C$53)*COS((BB18-EchelleFPAparam!$AE14)*EchelleFPAparam!$C$3/EchelleFPAparam!$E$3))*(SIN('Standard Settings'!$F13)+SIN('Standard Settings'!$F13+EchelleFPAparam!$M$3+EchelleFPAparam!$J$3*EchelleFPAparam!$B$6*COS(EchelleFPAparam!$AC$3)-(BB18-1024)*SIN(EchelleFPAparam!$AC$3)*EchelleFPAparam!$C$3/EchelleFPAparam!$E$3))</f>
        <v>2457.1110564502446</v>
      </c>
      <c r="EE18" s="26">
        <f>(EchelleFPAparam!$S$3/($U18+D$53)*COS((BC18-EchelleFPAparam!$AE14)*EchelleFPAparam!$C$3/EchelleFPAparam!$E$3))*(SIN('Standard Settings'!$F13)+SIN('Standard Settings'!$F13+EchelleFPAparam!$M$3+EchelleFPAparam!$J$3*EchelleFPAparam!$B$6*COS(EchelleFPAparam!$AC$3)-(BC18-1024)*SIN(EchelleFPAparam!$AC$3)*EchelleFPAparam!$C$3/EchelleFPAparam!$E$3))</f>
        <v>2354.9322376505734</v>
      </c>
      <c r="EF18" s="26">
        <f>(EchelleFPAparam!$S$3/($U18+E$53)*COS((BD18-EchelleFPAparam!$AE14)*EchelleFPAparam!$C$3/EchelleFPAparam!$E$3))*(SIN('Standard Settings'!$F13)+SIN('Standard Settings'!$F13+EchelleFPAparam!$M$3+EchelleFPAparam!$J$3*EchelleFPAparam!$B$6*COS(EchelleFPAparam!$AC$3)-(BD18-1024)*SIN(EchelleFPAparam!$AC$3)*EchelleFPAparam!$C$3/EchelleFPAparam!$E$3))</f>
        <v>2260.873964544739</v>
      </c>
      <c r="EG18" s="26">
        <f>(EchelleFPAparam!$S$3/($U18+F$53)*COS((BE18-EchelleFPAparam!$AE14)*EchelleFPAparam!$C$3/EchelleFPAparam!$E$3))*(SIN('Standard Settings'!$F13)+SIN('Standard Settings'!$F13+EchelleFPAparam!$M$3+EchelleFPAparam!$J$3*EchelleFPAparam!$B$6*COS(EchelleFPAparam!$AC$3)-(BE18-1024)*SIN(EchelleFPAparam!$AC$3)*EchelleFPAparam!$C$3/EchelleFPAparam!$E$3))</f>
        <v>2174.0107610129853</v>
      </c>
      <c r="EH18" s="26">
        <f>(EchelleFPAparam!$S$3/($U18+G$53)*COS((BF18-EchelleFPAparam!$AE14)*EchelleFPAparam!$C$3/EchelleFPAparam!$E$3))*(SIN('Standard Settings'!$F13)+SIN('Standard Settings'!$F13+EchelleFPAparam!$M$3+EchelleFPAparam!$J$3*EchelleFPAparam!$B$6*COS(EchelleFPAparam!$AC$3)-(BF18-1024)*SIN(EchelleFPAparam!$AC$3)*EchelleFPAparam!$C$3/EchelleFPAparam!$E$3))</f>
        <v>2093.5500746908333</v>
      </c>
      <c r="EI18" s="26">
        <f>(EchelleFPAparam!$S$3/($U18+H$53)*COS((BG18-EchelleFPAparam!$AE14)*EchelleFPAparam!$C$3/EchelleFPAparam!$E$3))*(SIN('Standard Settings'!$F13)+SIN('Standard Settings'!$F13+EchelleFPAparam!$M$3+EchelleFPAparam!$J$3*EchelleFPAparam!$B$6*COS(EchelleFPAparam!$AC$3)-(BG18-1024)*SIN(EchelleFPAparam!$AC$3)*EchelleFPAparam!$C$3/EchelleFPAparam!$E$3))</f>
        <v>2018.8123458456917</v>
      </c>
      <c r="EJ18" s="26">
        <f>(EchelleFPAparam!$S$3/($U18+I$53)*COS((BH18-EchelleFPAparam!$AE14)*EchelleFPAparam!$C$3/EchelleFPAparam!$E$3))*(SIN('Standard Settings'!$F13)+SIN('Standard Settings'!$F13+EchelleFPAparam!$M$3+EchelleFPAparam!$J$3*EchelleFPAparam!$B$6*COS(EchelleFPAparam!$AC$3)-(BH18-1024)*SIN(EchelleFPAparam!$AC$3)*EchelleFPAparam!$C$3/EchelleFPAparam!$E$3))</f>
        <v>1949.2101795904016</v>
      </c>
      <c r="EK18" s="26">
        <f>(EchelleFPAparam!$S$3/($U18+J$53)*COS((BI18-EchelleFPAparam!$AE14)*EchelleFPAparam!$C$3/EchelleFPAparam!$E$3))*(SIN('Standard Settings'!$F13)+SIN('Standard Settings'!$F13+EchelleFPAparam!$M$3+EchelleFPAparam!$J$3*EchelleFPAparam!$B$6*COS(EchelleFPAparam!$AC$3)-(BI18-1024)*SIN(EchelleFPAparam!$AC$3)*EchelleFPAparam!$C$3/EchelleFPAparam!$E$3))</f>
        <v>1883.6184271527939</v>
      </c>
      <c r="EL18" s="26">
        <f>(EchelleFPAparam!$S$3/($U18+K$53)*COS((BJ18-EchelleFPAparam!$AE14)*EchelleFPAparam!$C$3/EchelleFPAparam!$E$3))*(SIN('Standard Settings'!$F13)+SIN('Standard Settings'!$F13+EchelleFPAparam!$M$3+EchelleFPAparam!$J$3*EchelleFPAparam!$B$6*COS(EchelleFPAparam!$AC$3)-(BJ18-1024)*SIN(EchelleFPAparam!$AC$3)*EchelleFPAparam!$C$3/EchelleFPAparam!$E$3))</f>
        <v>1822.8565424059298</v>
      </c>
      <c r="EM18" s="26">
        <f>(EchelleFPAparam!$S$3/($U18+B$53)*COS((BA18-EchelleFPAparam!$AE14)*EchelleFPAparam!$C$3/EchelleFPAparam!$E$3))*(SIN('Standard Settings'!$F13)+SIN('Standard Settings'!$F13+EchelleFPAparam!$M$3+EchelleFPAparam!$K$3*EchelleFPAparam!$B$6*COS(EchelleFPAparam!$AC$3)-(BA18-1024)*SIN(EchelleFPAparam!$AC$3)*EchelleFPAparam!$C$3/EchelleFPAparam!$E$3))</f>
        <v>2584.4472489816412</v>
      </c>
      <c r="EN18" s="26">
        <f>(EchelleFPAparam!$S$3/($U18+C$53)*COS((BB18-EchelleFPAparam!$AE14)*EchelleFPAparam!$C$3/EchelleFPAparam!$E$3))*(SIN('Standard Settings'!$F13)+SIN('Standard Settings'!$F13+EchelleFPAparam!$M$3+EchelleFPAparam!$K$3*EchelleFPAparam!$B$6*COS(EchelleFPAparam!$AC$3)-(BB18-1024)*SIN(EchelleFPAparam!$AC$3)*EchelleFPAparam!$C$3/EchelleFPAparam!$E$3))</f>
        <v>2472.2957478843477</v>
      </c>
      <c r="EO18" s="26">
        <f>(EchelleFPAparam!$S$3/($U18+D$53)*COS((BC18-EchelleFPAparam!$AE14)*EchelleFPAparam!$C$3/EchelleFPAparam!$E$3))*(SIN('Standard Settings'!$F13)+SIN('Standard Settings'!$F13+EchelleFPAparam!$M$3+EchelleFPAparam!$K$3*EchelleFPAparam!$B$6*COS(EchelleFPAparam!$AC$3)-(BC18-1024)*SIN(EchelleFPAparam!$AC$3)*EchelleFPAparam!$C$3/EchelleFPAparam!$E$3))</f>
        <v>2369.4821070494072</v>
      </c>
      <c r="EP18" s="26">
        <f>(EchelleFPAparam!$S$3/($U18+E$53)*COS((BD18-EchelleFPAparam!$AE14)*EchelleFPAparam!$C$3/EchelleFPAparam!$E$3))*(SIN('Standard Settings'!$F13)+SIN('Standard Settings'!$F13+EchelleFPAparam!$M$3+EchelleFPAparam!$K$3*EchelleFPAparam!$B$6*COS(EchelleFPAparam!$AC$3)-(BD18-1024)*SIN(EchelleFPAparam!$AC$3)*EchelleFPAparam!$C$3/EchelleFPAparam!$E$3))</f>
        <v>2274.8397499799621</v>
      </c>
      <c r="EQ18" s="26">
        <f>(EchelleFPAparam!$S$3/($U18+F$53)*COS((BE18-EchelleFPAparam!$AE14)*EchelleFPAparam!$C$3/EchelleFPAparam!$E$3))*(SIN('Standard Settings'!$F13)+SIN('Standard Settings'!$F13+EchelleFPAparam!$M$3+EchelleFPAparam!$K$3*EchelleFPAparam!$B$6*COS(EchelleFPAparam!$AC$3)-(BE18-1024)*SIN(EchelleFPAparam!$AC$3)*EchelleFPAparam!$C$3/EchelleFPAparam!$E$3))</f>
        <v>2187.4373602505334</v>
      </c>
      <c r="ER18" s="26">
        <f>(EchelleFPAparam!$S$3/($U18+G$53)*COS((BF18-EchelleFPAparam!$AE14)*EchelleFPAparam!$C$3/EchelleFPAparam!$E$3))*(SIN('Standard Settings'!$F13)+SIN('Standard Settings'!$F13+EchelleFPAparam!$M$3+EchelleFPAparam!$K$3*EchelleFPAparam!$B$6*COS(EchelleFPAparam!$AC$3)-(BF18-1024)*SIN(EchelleFPAparam!$AC$3)*EchelleFPAparam!$C$3/EchelleFPAparam!$E$3))</f>
        <v>2106.4774384898928</v>
      </c>
      <c r="ES18" s="26">
        <f>(EchelleFPAparam!$S$3/($U18+H$53)*COS((BG18-EchelleFPAparam!$AE14)*EchelleFPAparam!$C$3/EchelleFPAparam!$E$3))*(SIN('Standard Settings'!$F13)+SIN('Standard Settings'!$F13+EchelleFPAparam!$M$3+EchelleFPAparam!$K$3*EchelleFPAparam!$B$6*COS(EchelleFPAparam!$AC$3)-(BG18-1024)*SIN(EchelleFPAparam!$AC$3)*EchelleFPAparam!$C$3/EchelleFPAparam!$E$3))</f>
        <v>2031.2761502232468</v>
      </c>
      <c r="ET18" s="26">
        <f>(EchelleFPAparam!$S$3/($U18+I$53)*COS((BH18-EchelleFPAparam!$AE14)*EchelleFPAparam!$C$3/EchelleFPAparam!$E$3))*(SIN('Standard Settings'!$F13)+SIN('Standard Settings'!$F13+EchelleFPAparam!$M$3+EchelleFPAparam!$K$3*EchelleFPAparam!$B$6*COS(EchelleFPAparam!$AC$3)-(BH18-1024)*SIN(EchelleFPAparam!$AC$3)*EchelleFPAparam!$C$3/EchelleFPAparam!$E$3))</f>
        <v>1961.2423669816615</v>
      </c>
      <c r="EU18" s="26">
        <f>(EchelleFPAparam!$S$3/($U18+J$53)*COS((BI18-EchelleFPAparam!$AE14)*EchelleFPAparam!$C$3/EchelleFPAparam!$E$3))*(SIN('Standard Settings'!$F13)+SIN('Standard Settings'!$F13+EchelleFPAparam!$M$3+EchelleFPAparam!$K$3*EchelleFPAparam!$B$6*COS(EchelleFPAparam!$AC$3)-(BI18-1024)*SIN(EchelleFPAparam!$AC$3)*EchelleFPAparam!$C$3/EchelleFPAparam!$E$3))</f>
        <v>1895.2613159198697</v>
      </c>
      <c r="EV18" s="26">
        <f>(EchelleFPAparam!$S$3/($U18+K$53)*COS((BJ18-EchelleFPAparam!$AE14)*EchelleFPAparam!$C$3/EchelleFPAparam!$E$3))*(SIN('Standard Settings'!$F13)+SIN('Standard Settings'!$F13+EchelleFPAparam!$M$3+EchelleFPAparam!$K$3*EchelleFPAparam!$B$6*COS(EchelleFPAparam!$AC$3)-(BJ18-1024)*SIN(EchelleFPAparam!$AC$3)*EchelleFPAparam!$C$3/EchelleFPAparam!$E$3))</f>
        <v>1834.123854116003</v>
      </c>
      <c r="EW18" s="60">
        <f t="shared" si="40"/>
        <v>1921.468153516699</v>
      </c>
      <c r="EX18" s="60">
        <f t="shared" ref="EX18:EX35" si="41">EN18</f>
        <v>2472.2957478843477</v>
      </c>
      <c r="EY18" s="90">
        <v>0.39</v>
      </c>
      <c r="EZ18" s="90">
        <v>0.36</v>
      </c>
      <c r="FA18" s="50">
        <v>30000</v>
      </c>
      <c r="FB18" s="50">
        <v>5000</v>
      </c>
      <c r="FC18" s="50">
        <v>5000</v>
      </c>
      <c r="FD18" s="50">
        <v>10000</v>
      </c>
      <c r="FE18" s="95">
        <v>100</v>
      </c>
      <c r="FF18" s="50">
        <v>5000</v>
      </c>
      <c r="FG18" s="50">
        <v>400</v>
      </c>
      <c r="FH18" s="50">
        <f t="shared" si="27"/>
        <v>1250</v>
      </c>
      <c r="FI18" s="50">
        <f t="shared" si="28"/>
        <v>1250</v>
      </c>
      <c r="FJ18" s="50">
        <f t="shared" si="29"/>
        <v>2500</v>
      </c>
      <c r="FK18" s="95">
        <f t="shared" si="30"/>
        <v>25</v>
      </c>
      <c r="FL18" s="50">
        <f t="shared" si="31"/>
        <v>1250</v>
      </c>
      <c r="FM18" s="50">
        <f t="shared" si="32"/>
        <v>100</v>
      </c>
      <c r="FN18" s="50">
        <v>500</v>
      </c>
      <c r="FO18" s="91">
        <f>1/(F18*EchelleFPAparam!$Q$3)</f>
        <v>-5533.3564425724671</v>
      </c>
      <c r="FP18" s="91">
        <f t="shared" si="22"/>
        <v>-38.164570426218702</v>
      </c>
      <c r="FQ18" s="50">
        <v>-999999</v>
      </c>
      <c r="FR18" s="50">
        <v>-999999</v>
      </c>
      <c r="FS18" s="90">
        <v>1</v>
      </c>
      <c r="FT18" s="90">
        <v>1460.5650000000001</v>
      </c>
      <c r="FU18" s="90">
        <f>1666.09-180</f>
        <v>1486.09</v>
      </c>
      <c r="FV18" s="50">
        <v>-999999</v>
      </c>
      <c r="FW18" s="50">
        <v>-999999</v>
      </c>
      <c r="FX18" s="50">
        <v>-999999</v>
      </c>
      <c r="FY18" s="90">
        <v>2</v>
      </c>
      <c r="FZ18" s="90">
        <v>398.90499999999997</v>
      </c>
      <c r="GA18" s="90">
        <f>1665.915-180</f>
        <v>1485.915</v>
      </c>
      <c r="GB18" s="50">
        <v>-999999</v>
      </c>
      <c r="GC18" s="50">
        <v>-999999</v>
      </c>
      <c r="GD18" s="50">
        <v>-999999</v>
      </c>
      <c r="GE18" s="90">
        <v>3</v>
      </c>
      <c r="GF18" s="90">
        <v>1676.2729999999999</v>
      </c>
      <c r="GG18" s="90">
        <f>1669.421-180</f>
        <v>1489.421</v>
      </c>
      <c r="GH18" s="50">
        <v>-999999</v>
      </c>
      <c r="GI18" s="50">
        <v>-999999</v>
      </c>
      <c r="GJ18" s="50">
        <v>-999999</v>
      </c>
      <c r="GK18" s="50">
        <v>-999999</v>
      </c>
      <c r="GL18" s="50">
        <v>-999999</v>
      </c>
      <c r="GM18" s="50">
        <v>-999999</v>
      </c>
      <c r="GN18" s="50">
        <v>-999999</v>
      </c>
      <c r="GO18" s="50">
        <v>-999999</v>
      </c>
      <c r="GP18" s="50">
        <v>-999999</v>
      </c>
      <c r="GQ18" s="50">
        <v>-999999</v>
      </c>
      <c r="GR18" s="50">
        <v>-999999</v>
      </c>
      <c r="GS18" s="50">
        <v>-999999</v>
      </c>
      <c r="GT18" s="50">
        <v>-999999</v>
      </c>
      <c r="GU18" s="50">
        <v>-999999</v>
      </c>
      <c r="GV18" s="50">
        <v>-999999</v>
      </c>
      <c r="GW18" s="50">
        <v>-999999</v>
      </c>
      <c r="GX18" s="50">
        <v>-999999</v>
      </c>
      <c r="GY18" s="50">
        <v>-999999</v>
      </c>
      <c r="GZ18" s="50">
        <v>-999999</v>
      </c>
      <c r="HA18" s="50">
        <v>-999999</v>
      </c>
      <c r="HB18" s="50">
        <v>-999999</v>
      </c>
      <c r="HC18" s="50">
        <v>-999999</v>
      </c>
      <c r="HD18" s="50">
        <v>-999999</v>
      </c>
      <c r="HE18" s="50">
        <v>-999999</v>
      </c>
      <c r="HF18" s="50">
        <v>-999999</v>
      </c>
      <c r="HG18" s="50">
        <v>-999999</v>
      </c>
      <c r="HH18" s="50">
        <v>-999999</v>
      </c>
      <c r="HI18" s="50">
        <v>-999999</v>
      </c>
      <c r="HJ18" s="50">
        <v>-999999</v>
      </c>
      <c r="HK18" s="50">
        <v>-999999</v>
      </c>
      <c r="HL18" s="50">
        <v>-999999</v>
      </c>
      <c r="HM18" s="50">
        <v>-999999</v>
      </c>
      <c r="HN18" s="50">
        <v>-999999</v>
      </c>
      <c r="HO18" s="50">
        <v>-999999</v>
      </c>
      <c r="HP18" s="50">
        <v>-999999</v>
      </c>
      <c r="HQ18" s="50">
        <v>-999999</v>
      </c>
      <c r="HR18" s="50">
        <v>-999999</v>
      </c>
      <c r="HS18" s="50">
        <v>-999999</v>
      </c>
      <c r="HT18" s="50">
        <v>-999999</v>
      </c>
      <c r="HU18" s="50">
        <v>-999999</v>
      </c>
      <c r="HV18" s="50">
        <v>-999999</v>
      </c>
      <c r="HW18" s="50">
        <v>-999999</v>
      </c>
      <c r="HX18" s="50">
        <v>-999999</v>
      </c>
      <c r="HY18" s="50"/>
      <c r="HZ18" s="50"/>
      <c r="IA18" s="50"/>
      <c r="IB18" s="50"/>
      <c r="IC18" s="50"/>
      <c r="ID18" s="50"/>
      <c r="IE18" s="50"/>
      <c r="IF18" s="50"/>
      <c r="IG18" s="50"/>
      <c r="IH18" s="50"/>
      <c r="II18" s="50"/>
      <c r="IJ18" s="50"/>
      <c r="IK18" s="50"/>
      <c r="IL18" s="50"/>
      <c r="IM18" s="50"/>
      <c r="IN18" s="50"/>
      <c r="IO18" s="50"/>
      <c r="IP18" s="50"/>
      <c r="IQ18" s="50"/>
      <c r="IR18" s="50"/>
      <c r="IS18" s="50"/>
      <c r="IT18" s="50"/>
      <c r="IU18" s="50"/>
      <c r="IV18" s="50"/>
      <c r="IW18" s="50"/>
      <c r="IX18" s="50"/>
      <c r="IY18" s="50"/>
      <c r="IZ18" s="50"/>
      <c r="JA18" s="50"/>
      <c r="JB18" s="50"/>
      <c r="JC18" s="50"/>
      <c r="JD18" s="50"/>
      <c r="JE18" s="50"/>
      <c r="JF18" s="50"/>
      <c r="JG18" s="50"/>
      <c r="JH18" s="50"/>
      <c r="JI18" s="50"/>
      <c r="JJ18" s="50"/>
      <c r="JK18" s="50"/>
      <c r="JL18" s="50"/>
      <c r="JM18" s="50"/>
      <c r="JN18" s="50"/>
      <c r="JO18" s="50"/>
      <c r="JP18" s="50"/>
      <c r="JQ18" s="50"/>
      <c r="JR18" s="50"/>
      <c r="JS18" s="50"/>
      <c r="JT18" s="50"/>
      <c r="JU18" s="50"/>
      <c r="JV18" s="50"/>
      <c r="JW18" s="52">
        <f t="shared" si="23"/>
        <v>2750.8989481064605</v>
      </c>
      <c r="JX18" s="27">
        <f t="shared" si="24"/>
        <v>314043.65340869717</v>
      </c>
      <c r="JY18" s="107">
        <f>JW18*EchelleFPAparam!$Q$3</f>
        <v>-2.6202312480714033E-2</v>
      </c>
      <c r="KA18" s="19"/>
      <c r="KB18" s="19"/>
      <c r="KC18" s="19"/>
      <c r="KD18" s="19"/>
      <c r="KE18" s="19"/>
      <c r="KF18" s="19"/>
      <c r="KG18" s="19"/>
      <c r="KH18" s="19"/>
      <c r="KI18" s="19"/>
      <c r="KJ18" s="19"/>
      <c r="KK18" s="19"/>
      <c r="KL18" s="19"/>
      <c r="KM18" s="19"/>
      <c r="KW18" s="19"/>
      <c r="KX18" s="19"/>
      <c r="KY18" s="19"/>
      <c r="KZ18" s="19"/>
      <c r="LA18" s="19"/>
      <c r="LB18" s="19"/>
      <c r="LC18" s="19"/>
      <c r="LD18" s="19"/>
      <c r="LE18" s="19"/>
      <c r="LF18" s="19"/>
    </row>
    <row r="19" spans="1:318" x14ac:dyDescent="0.2">
      <c r="A19" s="53">
        <f t="shared" si="35"/>
        <v>13</v>
      </c>
      <c r="B19" s="96">
        <f t="shared" si="0"/>
        <v>2147.6457770217726</v>
      </c>
      <c r="C19" s="27" t="str">
        <f>'Standard Settings'!B14</f>
        <v>K/4/4</v>
      </c>
      <c r="D19" s="27">
        <f>'Standard Settings'!H14</f>
        <v>26</v>
      </c>
      <c r="E19" s="19">
        <f t="shared" si="1"/>
        <v>7.1093724947428605E-3</v>
      </c>
      <c r="F19" s="18">
        <f>((EchelleFPAparam!$S$3/('crmcfgWLEN.txt'!$U19+F$53))*(SIN('Standard Settings'!$F14+0.0005)+SIN('Standard Settings'!$F14+0.0005+EchelleFPAparam!$M$3))-(EchelleFPAparam!$S$3/('crmcfgWLEN.txt'!$U19+F$53))*(SIN('Standard Settings'!$F14-0.0005)+SIN('Standard Settings'!$F14-0.0005+EchelleFPAparam!$M$3)))*1000*EchelleFPAparam!$O$3/180</f>
        <v>19.599267522551543</v>
      </c>
      <c r="G19" s="20" t="str">
        <f>'Standard Settings'!C14</f>
        <v>K</v>
      </c>
      <c r="H19" s="46"/>
      <c r="I19" s="59" t="s">
        <v>361</v>
      </c>
      <c r="J19" s="57"/>
      <c r="K19" s="27" t="str">
        <f>'Standard Settings'!$D14</f>
        <v>HK</v>
      </c>
      <c r="L19" s="46"/>
      <c r="M19" s="12">
        <v>2.5</v>
      </c>
      <c r="N19" s="12">
        <v>2.5</v>
      </c>
      <c r="O19" s="27" t="str">
        <f>'Standard Settings'!$D14</f>
        <v>HK</v>
      </c>
      <c r="P19" s="46"/>
      <c r="Q19" s="27">
        <f>'Standard Settings'!$E14</f>
        <v>63.99945000000001</v>
      </c>
      <c r="R19" s="106">
        <f>'Standard Settings'!$J14</f>
        <v>670000</v>
      </c>
      <c r="S19" s="21">
        <f>'Standard Settings'!$G14</f>
        <v>23</v>
      </c>
      <c r="T19" s="21">
        <f>'Standard Settings'!$I14</f>
        <v>29</v>
      </c>
      <c r="U19" s="22">
        <f t="shared" si="25"/>
        <v>22</v>
      </c>
      <c r="V19" s="22">
        <f t="shared" si="26"/>
        <v>31</v>
      </c>
      <c r="W19" s="23">
        <f>IF(AND($U19-$S19+B$53&gt;=0,$U19-$T19+B$53&lt;=0),(EchelleFPAparam!$S$3/('crmcfgWLEN.txt'!$U19+B$53))*(SIN('Standard Settings'!$F14)+SIN('Standard Settings'!$F14+EchelleFPAparam!$M$3)),-1)</f>
        <v>-1</v>
      </c>
      <c r="X19" s="23">
        <f>IF(AND($U19-$S19+C$53&gt;=0,$U19-$T19+C$53&lt;=0),(EchelleFPAparam!$S$3/('crmcfgWLEN.txt'!$U19+C$53))*(SIN('Standard Settings'!$F14)+SIN('Standard Settings'!$F14+EchelleFPAparam!$M$3)),-1)</f>
        <v>2427.7734870680906</v>
      </c>
      <c r="Y19" s="23">
        <f>IF(AND($U19-$S19+D$53&gt;=0,$U19-$T19+D$53&lt;=0),(EchelleFPAparam!$S$3/('crmcfgWLEN.txt'!$U19+D$53))*(SIN('Standard Settings'!$F14)+SIN('Standard Settings'!$F14+EchelleFPAparam!$M$3)),-1)</f>
        <v>2326.6162584402532</v>
      </c>
      <c r="Z19" s="23">
        <f>IF(AND($U19-$S19+E$53&gt;=0,$U19-$T19+E$53&lt;=0),(EchelleFPAparam!$S$3/('crmcfgWLEN.txt'!$U19+E$53))*(SIN('Standard Settings'!$F14)+SIN('Standard Settings'!$F14+EchelleFPAparam!$M$3)),-1)</f>
        <v>2233.5516081026431</v>
      </c>
      <c r="AA19" s="23">
        <f>IF(AND($U19-$S19+F$53&gt;=0,$U19-$T19+F$53&lt;=0),(EchelleFPAparam!$S$3/('crmcfgWLEN.txt'!$U19+F$53))*(SIN('Standard Settings'!$F14)+SIN('Standard Settings'!$F14+EchelleFPAparam!$M$3)),-1)</f>
        <v>2147.6457770217726</v>
      </c>
      <c r="AB19" s="23">
        <f>IF(AND($U19-$S19+G$53&gt;=0,$U19-$T19+G$53&lt;=0),(EchelleFPAparam!$S$3/('crmcfgWLEN.txt'!$U19+G$53))*(SIN('Standard Settings'!$F14)+SIN('Standard Settings'!$F14+EchelleFPAparam!$M$3)),-1)</f>
        <v>2068.1033408357807</v>
      </c>
      <c r="AC19" s="23">
        <f>IF(AND($U19-$S19+H$53&gt;=0,$U19-$T19+H$53&lt;=0),(EchelleFPAparam!$S$3/('crmcfgWLEN.txt'!$U19+H$53))*(SIN('Standard Settings'!$F14)+SIN('Standard Settings'!$F14+EchelleFPAparam!$M$3)),-1)</f>
        <v>1994.2425072345029</v>
      </c>
      <c r="AD19" s="23">
        <f>IF(AND($U19-$S19+I$53&gt;=0,$U19-$T19+I$53&lt;=0),(EchelleFPAparam!$S$3/('crmcfgWLEN.txt'!$U19+I$53))*(SIN('Standard Settings'!$F14)+SIN('Standard Settings'!$F14+EchelleFPAparam!$M$3)),-1)</f>
        <v>1925.4755242264164</v>
      </c>
      <c r="AE19" s="23">
        <f>IF(AND($U19-$S19+J$53&gt;=0,$U19-$T19+J$53&lt;=0),(EchelleFPAparam!$S$3/('crmcfgWLEN.txt'!$U19+J$53))*(SIN('Standard Settings'!$F14)+SIN('Standard Settings'!$F14+EchelleFPAparam!$M$3)),-1)</f>
        <v>-1</v>
      </c>
      <c r="AF19" s="23">
        <f>IF(AND($U19-$S19+K$53&gt;=0,$U19-$T19+K$53&lt;=0),(EchelleFPAparam!$S$3/('crmcfgWLEN.txt'!$U19+K$53))*(SIN('Standard Settings'!$F14)+SIN('Standard Settings'!$F14+EchelleFPAparam!$M$3)),-1)</f>
        <v>-1</v>
      </c>
      <c r="AG19" s="131">
        <v>-100.1</v>
      </c>
      <c r="AH19" s="112">
        <v>287.989934332757</v>
      </c>
      <c r="AI19" s="112">
        <v>647.52291041471801</v>
      </c>
      <c r="AJ19" s="112">
        <v>975.04302719122597</v>
      </c>
      <c r="AK19" s="112">
        <v>1277.99598756603</v>
      </c>
      <c r="AL19" s="112">
        <v>1555.80715120687</v>
      </c>
      <c r="AM19" s="112">
        <v>1813.41424239448</v>
      </c>
      <c r="AN19" s="112">
        <v>2040</v>
      </c>
      <c r="AO19" s="131">
        <v>-100.1</v>
      </c>
      <c r="AP19" s="131">
        <v>-100.1</v>
      </c>
      <c r="AQ19" s="130">
        <v>-100.1</v>
      </c>
      <c r="AR19" s="112">
        <v>297.52750261007901</v>
      </c>
      <c r="AS19" s="112">
        <v>653.399138810213</v>
      </c>
      <c r="AT19" s="112">
        <v>978.34182872697204</v>
      </c>
      <c r="AU19" s="112">
        <v>1278.26419671236</v>
      </c>
      <c r="AV19" s="112">
        <v>1552.9416961961099</v>
      </c>
      <c r="AW19" s="112">
        <v>1809.4970835771901</v>
      </c>
      <c r="AX19" s="112">
        <v>2040</v>
      </c>
      <c r="AY19" s="130">
        <v>-100.1</v>
      </c>
      <c r="AZ19" s="130">
        <v>-100.1</v>
      </c>
      <c r="BA19" s="132">
        <v>-100.1</v>
      </c>
      <c r="BB19" s="112">
        <v>287.989934332757</v>
      </c>
      <c r="BC19" s="112">
        <v>647.52291041471801</v>
      </c>
      <c r="BD19" s="112">
        <v>975.04302719122597</v>
      </c>
      <c r="BE19" s="112">
        <v>1277.99598756603</v>
      </c>
      <c r="BF19" s="112">
        <v>1555.80715120687</v>
      </c>
      <c r="BG19" s="112">
        <v>1813.41424239448</v>
      </c>
      <c r="BH19" s="112">
        <v>2060</v>
      </c>
      <c r="BI19" s="132">
        <v>-100.1</v>
      </c>
      <c r="BJ19" s="132">
        <v>-100.1</v>
      </c>
      <c r="BK19" s="24">
        <f>EchelleFPAparam!$S$3/('crmcfgWLEN.txt'!$U19+B$53)*(SIN(EchelleFPAparam!$T$3-EchelleFPAparam!$M$3/2)+SIN('Standard Settings'!$F14+EchelleFPAparam!$M$3))</f>
        <v>2552.7123499191171</v>
      </c>
      <c r="BL19" s="24">
        <f>EchelleFPAparam!$S$3/('crmcfgWLEN.txt'!$U19+C$53)*(SIN(EchelleFPAparam!$T$3-EchelleFPAparam!$M$3/2)+SIN('Standard Settings'!$F14+EchelleFPAparam!$M$3))</f>
        <v>2441.7248564443726</v>
      </c>
      <c r="BM19" s="24">
        <f>EchelleFPAparam!$S$3/('crmcfgWLEN.txt'!$U19+D$53)*(SIN(EchelleFPAparam!$T$3-EchelleFPAparam!$M$3/2)+SIN('Standard Settings'!$F14+EchelleFPAparam!$M$3))</f>
        <v>2339.9863207591902</v>
      </c>
      <c r="BN19" s="24">
        <f>EchelleFPAparam!$S$3/('crmcfgWLEN.txt'!$U19+E$53)*(SIN(EchelleFPAparam!$T$3-EchelleFPAparam!$M$3/2)+SIN('Standard Settings'!$F14+EchelleFPAparam!$M$3))</f>
        <v>2246.386867928823</v>
      </c>
      <c r="BO19" s="24">
        <f>EchelleFPAparam!$S$3/('crmcfgWLEN.txt'!$U19+F$53)*(SIN(EchelleFPAparam!$T$3-EchelleFPAparam!$M$3/2)+SIN('Standard Settings'!$F14+EchelleFPAparam!$M$3))</f>
        <v>2159.9873730084837</v>
      </c>
      <c r="BP19" s="24">
        <f>EchelleFPAparam!$S$3/('crmcfgWLEN.txt'!$U19+G$53)*(SIN(EchelleFPAparam!$T$3-EchelleFPAparam!$M$3/2)+SIN('Standard Settings'!$F14+EchelleFPAparam!$M$3))</f>
        <v>2079.9878406748358</v>
      </c>
      <c r="BQ19" s="24">
        <f>EchelleFPAparam!$S$3/('crmcfgWLEN.txt'!$U19+H$53)*(SIN(EchelleFPAparam!$T$3-EchelleFPAparam!$M$3/2)+SIN('Standard Settings'!$F14+EchelleFPAparam!$M$3))</f>
        <v>2005.7025606507345</v>
      </c>
      <c r="BR19" s="24">
        <f>EchelleFPAparam!$S$3/('crmcfgWLEN.txt'!$U19+I$53)*(SIN(EchelleFPAparam!$T$3-EchelleFPAparam!$M$3/2)+SIN('Standard Settings'!$F14+EchelleFPAparam!$M$3))</f>
        <v>1936.5404033869161</v>
      </c>
      <c r="BS19" s="24">
        <f>EchelleFPAparam!$S$3/('crmcfgWLEN.txt'!$U19+J$53)*(SIN(EchelleFPAparam!$T$3-EchelleFPAparam!$M$3/2)+SIN('Standard Settings'!$F14+EchelleFPAparam!$M$3))</f>
        <v>1871.989056607352</v>
      </c>
      <c r="BT19" s="24">
        <f>EchelleFPAparam!$S$3/('crmcfgWLEN.txt'!$U19+K$53)*(SIN(EchelleFPAparam!$T$3-EchelleFPAparam!$M$3/2)+SIN('Standard Settings'!$F14+EchelleFPAparam!$M$3))</f>
        <v>1811.6023128458248</v>
      </c>
      <c r="BU19" s="25">
        <f t="shared" si="33"/>
        <v>2504.5479659583789</v>
      </c>
      <c r="BV19" s="25">
        <f t="shared" si="2"/>
        <v>2397.329859054475</v>
      </c>
      <c r="BW19" s="25">
        <f t="shared" si="3"/>
        <v>2298.9339291669235</v>
      </c>
      <c r="BX19" s="25">
        <f t="shared" si="4"/>
        <v>2208.3125142351141</v>
      </c>
      <c r="BY19" s="25">
        <f t="shared" si="5"/>
        <v>2124.5777439427707</v>
      </c>
      <c r="BZ19" s="25">
        <f t="shared" si="6"/>
        <v>2046.972160664124</v>
      </c>
      <c r="CA19" s="25">
        <f t="shared" si="7"/>
        <v>1974.8455981791849</v>
      </c>
      <c r="CB19" s="25">
        <f t="shared" si="8"/>
        <v>1907.6368152766636</v>
      </c>
      <c r="CC19" s="25">
        <f t="shared" si="9"/>
        <v>1844.858780424637</v>
      </c>
      <c r="CD19" s="25">
        <f t="shared" si="10"/>
        <v>1786.086787312785</v>
      </c>
      <c r="CE19" s="25">
        <f t="shared" si="34"/>
        <v>2602.7655332508643</v>
      </c>
      <c r="CF19" s="25">
        <f t="shared" si="11"/>
        <v>2487.7951367546439</v>
      </c>
      <c r="CG19" s="25">
        <f t="shared" si="12"/>
        <v>2382.5315265911754</v>
      </c>
      <c r="CH19" s="25">
        <f t="shared" si="13"/>
        <v>2285.797163857399</v>
      </c>
      <c r="CI19" s="25">
        <f t="shared" si="14"/>
        <v>2196.5973284832035</v>
      </c>
      <c r="CJ19" s="25">
        <f t="shared" si="15"/>
        <v>2114.0860019973743</v>
      </c>
      <c r="CK19" s="25">
        <f t="shared" si="16"/>
        <v>2037.5391092324921</v>
      </c>
      <c r="CL19" s="25">
        <f t="shared" si="17"/>
        <v>1966.3333326697916</v>
      </c>
      <c r="CM19" s="25">
        <f t="shared" si="18"/>
        <v>1899.9291917805963</v>
      </c>
      <c r="CN19" s="25">
        <f t="shared" si="19"/>
        <v>1837.8574188290977</v>
      </c>
      <c r="CO19" s="26">
        <f>(EchelleFPAparam!$S$3/($U19+B$53)*COS((AG19-EchelleFPAparam!$AE15)*EchelleFPAparam!$C$3/EchelleFPAparam!$E$3))*(SIN('Standard Settings'!$F14)+SIN('Standard Settings'!$F14+EchelleFPAparam!$M$3+(EchelleFPAparam!$F$3*EchelleFPAparam!$B$6)*COS(EchelleFPAparam!$AC$3)-(AG19-1024)*SIN(EchelleFPAparam!$AC$3)*EchelleFPAparam!$C$3/EchelleFPAparam!$E$3))</f>
        <v>2509.4576045300601</v>
      </c>
      <c r="CP19" s="26">
        <f>(EchelleFPAparam!$S$3/($U19+C$53)*COS((AH19-EchelleFPAparam!$AE15)*EchelleFPAparam!$C$3/EchelleFPAparam!$E$3))*(SIN('Standard Settings'!$F14)+SIN('Standard Settings'!$F14+EchelleFPAparam!$M$3+(EchelleFPAparam!$F$3*EchelleFPAparam!$B$6)*COS(EchelleFPAparam!$AC$3)-(AH19-1024)*SIN(EchelleFPAparam!$AC$3)*EchelleFPAparam!$C$3/EchelleFPAparam!$E$3))</f>
        <v>2400.6201044406039</v>
      </c>
      <c r="CQ19" s="26">
        <f>(EchelleFPAparam!$S$3/($U19+D$53)*COS((AI19-EchelleFPAparam!$AE15)*EchelleFPAparam!$C$3/EchelleFPAparam!$E$3))*(SIN('Standard Settings'!$F14)+SIN('Standard Settings'!$F14+EchelleFPAparam!$M$3+(EchelleFPAparam!$F$3*EchelleFPAparam!$B$6)*COS(EchelleFPAparam!$AC$3)-(AI19-1024)*SIN(EchelleFPAparam!$AC$3)*EchelleFPAparam!$C$3/EchelleFPAparam!$E$3))</f>
        <v>2300.7895792870481</v>
      </c>
      <c r="CR19" s="26">
        <f>(EchelleFPAparam!$S$3/($U19+E$53)*COS((AJ19-EchelleFPAparam!$AE15)*EchelleFPAparam!$C$3/EchelleFPAparam!$E$3))*(SIN('Standard Settings'!$F14)+SIN('Standard Settings'!$F14+EchelleFPAparam!$M$3+(EchelleFPAparam!$F$3*EchelleFPAparam!$B$6)*COS(EchelleFPAparam!$AC$3)-(AJ19-1024)*SIN(EchelleFPAparam!$AC$3)*EchelleFPAparam!$C$3/EchelleFPAparam!$E$3))</f>
        <v>2208.8935769317368</v>
      </c>
      <c r="CS19" s="26">
        <f>(EchelleFPAparam!$S$3/($U19+F$53)*COS((AK19-EchelleFPAparam!$AE15)*EchelleFPAparam!$C$3/EchelleFPAparam!$E$3))*(SIN('Standard Settings'!$F14)+SIN('Standard Settings'!$F14+EchelleFPAparam!$M$3+(EchelleFPAparam!$F$3*EchelleFPAparam!$B$6)*COS(EchelleFPAparam!$AC$3)-(AK19-1024)*SIN(EchelleFPAparam!$AC$3)*EchelleFPAparam!$C$3/EchelleFPAparam!$E$3))</f>
        <v>2124.027966820599</v>
      </c>
      <c r="CT19" s="26">
        <f>(EchelleFPAparam!$S$3/($U19+G$53)*COS((AL19-EchelleFPAparam!$AE15)*EchelleFPAparam!$C$3/EchelleFPAparam!$E$3))*(SIN('Standard Settings'!$F14)+SIN('Standard Settings'!$F14+EchelleFPAparam!$M$3+(EchelleFPAparam!$F$3*EchelleFPAparam!$B$6)*COS(EchelleFPAparam!$AC$3)-(AL19-1024)*SIN(EchelleFPAparam!$AC$3)*EchelleFPAparam!$C$3/EchelleFPAparam!$E$3))</f>
        <v>2045.4179691023573</v>
      </c>
      <c r="CU19" s="26">
        <f>(EchelleFPAparam!$S$3/($U19+H$53)*COS((AM19-EchelleFPAparam!$AE15)*EchelleFPAparam!$C$3/EchelleFPAparam!$E$3))*(SIN('Standard Settings'!$F14)+SIN('Standard Settings'!$F14+EchelleFPAparam!$M$3+(EchelleFPAparam!$F$3*EchelleFPAparam!$B$6)*COS(EchelleFPAparam!$AC$3)-(AM19-1024)*SIN(EchelleFPAparam!$AC$3)*EchelleFPAparam!$C$3/EchelleFPAparam!$E$3))</f>
        <v>1972.3996416084128</v>
      </c>
      <c r="CV19" s="26">
        <f>(EchelleFPAparam!$S$3/($U19+I$53)*COS((AN19-EchelleFPAparam!$AE15)*EchelleFPAparam!$C$3/EchelleFPAparam!$E$3))*(SIN('Standard Settings'!$F14)+SIN('Standard Settings'!$F14+EchelleFPAparam!$M$3+(EchelleFPAparam!$F$3*EchelleFPAparam!$B$6)*COS(EchelleFPAparam!$AC$3)-(AN19-1024)*SIN(EchelleFPAparam!$AC$3)*EchelleFPAparam!$C$3/EchelleFPAparam!$E$3))</f>
        <v>1904.3984936231107</v>
      </c>
      <c r="CW19" s="26">
        <f>(EchelleFPAparam!$S$3/($U19+J$53)*COS((AO19-EchelleFPAparam!$AE15)*EchelleFPAparam!$C$3/EchelleFPAparam!$E$3))*(SIN('Standard Settings'!$F14)+SIN('Standard Settings'!$F14+EchelleFPAparam!$M$3+(EchelleFPAparam!$F$3*EchelleFPAparam!$B$6)*COS(EchelleFPAparam!$AC$3)-(AO19-1024)*SIN(EchelleFPAparam!$AC$3)*EchelleFPAparam!$C$3/EchelleFPAparam!$E$3))</f>
        <v>1840.2689099887102</v>
      </c>
      <c r="CX19" s="26">
        <f>(EchelleFPAparam!$S$3/($U19+K$53)*COS((AP19-EchelleFPAparam!$AE15)*EchelleFPAparam!$C$3/EchelleFPAparam!$E$3))*(SIN('Standard Settings'!$F14)+SIN('Standard Settings'!$F14+EchelleFPAparam!$M$3+(EchelleFPAparam!$F$3*EchelleFPAparam!$B$6)*COS(EchelleFPAparam!$AC$3)-(AP19-1024)*SIN(EchelleFPAparam!$AC$3)*EchelleFPAparam!$C$3/EchelleFPAparam!$E$3))</f>
        <v>1780.9053967632681</v>
      </c>
      <c r="CY19" s="26">
        <f>(EchelleFPAparam!$S$3/($U19+B$53)*COS((AG19-EchelleFPAparam!$AE15)*EchelleFPAparam!$C$3/EchelleFPAparam!$E$3))*(SIN('Standard Settings'!$F14)+SIN('Standard Settings'!$F14+EchelleFPAparam!$M$3+EchelleFPAparam!$G$3*EchelleFPAparam!$B$6*COS(EchelleFPAparam!$AC$3)-(AG19-1024)*SIN(EchelleFPAparam!$AC$3)*EchelleFPAparam!$C$3/EchelleFPAparam!$E$3))</f>
        <v>2527.4785551356003</v>
      </c>
      <c r="CZ19" s="26">
        <f>(EchelleFPAparam!$S$3/($U19+C$53)*COS((AH19-EchelleFPAparam!$AE15)*EchelleFPAparam!$C$3/EchelleFPAparam!$E$3))*(SIN('Standard Settings'!$F14)+SIN('Standard Settings'!$F14+EchelleFPAparam!$M$3+EchelleFPAparam!$G$3*EchelleFPAparam!$B$6*COS(EchelleFPAparam!$AC$3)-(AH19-1024)*SIN(EchelleFPAparam!$AC$3)*EchelleFPAparam!$C$3/EchelleFPAparam!$E$3))</f>
        <v>2417.8557002022276</v>
      </c>
      <c r="DA19" s="26">
        <f>(EchelleFPAparam!$S$3/($U19+D$53)*COS((AI19-EchelleFPAparam!$AE15)*EchelleFPAparam!$C$3/EchelleFPAparam!$E$3))*(SIN('Standard Settings'!$F14)+SIN('Standard Settings'!$F14+EchelleFPAparam!$M$3+EchelleFPAparam!$G$3*EchelleFPAparam!$B$6*COS(EchelleFPAparam!$AC$3)-(AI19-1024)*SIN(EchelleFPAparam!$AC$3)*EchelleFPAparam!$C$3/EchelleFPAparam!$E$3))</f>
        <v>2317.3050806875499</v>
      </c>
      <c r="DB19" s="26">
        <f>(EchelleFPAparam!$S$3/($U19+E$53)*COS((AJ19-EchelleFPAparam!$AE15)*EchelleFPAparam!$C$3/EchelleFPAparam!$E$3))*(SIN('Standard Settings'!$F14)+SIN('Standard Settings'!$F14+EchelleFPAparam!$M$3+EchelleFPAparam!$G$3*EchelleFPAparam!$B$6*COS(EchelleFPAparam!$AC$3)-(AJ19-1024)*SIN(EchelleFPAparam!$AC$3)*EchelleFPAparam!$C$3/EchelleFPAparam!$E$3))</f>
        <v>2224.7465045584245</v>
      </c>
      <c r="DC19" s="26">
        <f>(EchelleFPAparam!$S$3/($U19+F$53)*COS((AK19-EchelleFPAparam!$AE15)*EchelleFPAparam!$C$3/EchelleFPAparam!$E$3))*(SIN('Standard Settings'!$F14)+SIN('Standard Settings'!$F14+EchelleFPAparam!$M$3+EchelleFPAparam!$G$3*EchelleFPAparam!$B$6*COS(EchelleFPAparam!$AC$3)-(AK19-1024)*SIN(EchelleFPAparam!$AC$3)*EchelleFPAparam!$C$3/EchelleFPAparam!$E$3))</f>
        <v>2139.2692222528499</v>
      </c>
      <c r="DD19" s="26">
        <f>(EchelleFPAparam!$S$3/($U19+G$53)*COS((AL19-EchelleFPAparam!$AE15)*EchelleFPAparam!$C$3/EchelleFPAparam!$E$3))*(SIN('Standard Settings'!$F14)+SIN('Standard Settings'!$F14+EchelleFPAparam!$M$3+EchelleFPAparam!$G$3*EchelleFPAparam!$B$6*COS(EchelleFPAparam!$AC$3)-(AL19-1024)*SIN(EchelleFPAparam!$AC$3)*EchelleFPAparam!$C$3/EchelleFPAparam!$E$3))</f>
        <v>2060.0928488249874</v>
      </c>
      <c r="DE19" s="26">
        <f>(EchelleFPAparam!$S$3/($U19+H$53)*COS((AM19-EchelleFPAparam!$AE15)*EchelleFPAparam!$C$3/EchelleFPAparam!$E$3))*(SIN('Standard Settings'!$F14)+SIN('Standard Settings'!$F14+EchelleFPAparam!$M$3+EchelleFPAparam!$G$3*EchelleFPAparam!$B$6*COS(EchelleFPAparam!$AC$3)-(AM19-1024)*SIN(EchelleFPAparam!$AC$3)*EchelleFPAparam!$C$3/EchelleFPAparam!$E$3))</f>
        <v>1986.5485948211126</v>
      </c>
      <c r="DF19" s="26">
        <f>(EchelleFPAparam!$S$3/($U19+I$53)*COS((AN19-EchelleFPAparam!$AE15)*EchelleFPAparam!$C$3/EchelleFPAparam!$E$3))*(SIN('Standard Settings'!$F14)+SIN('Standard Settings'!$F14+EchelleFPAparam!$M$3+EchelleFPAparam!$G$3*EchelleFPAparam!$B$6*COS(EchelleFPAparam!$AC$3)-(AN19-1024)*SIN(EchelleFPAparam!$AC$3)*EchelleFPAparam!$C$3/EchelleFPAparam!$E$3))</f>
        <v>1918.0578969150397</v>
      </c>
      <c r="DG19" s="26">
        <f>(EchelleFPAparam!$S$3/($U19+J$53)*COS((AO19-EchelleFPAparam!$AE15)*EchelleFPAparam!$C$3/EchelleFPAparam!$E$3))*(SIN('Standard Settings'!$F14)+SIN('Standard Settings'!$F14+EchelleFPAparam!$M$3+EchelleFPAparam!$G$3*EchelleFPAparam!$B$6*COS(EchelleFPAparam!$AC$3)-(AO19-1024)*SIN(EchelleFPAparam!$AC$3)*EchelleFPAparam!$C$3/EchelleFPAparam!$E$3))</f>
        <v>1853.4842737661065</v>
      </c>
      <c r="DH19" s="26">
        <f>(EchelleFPAparam!$S$3/($U19+K$53)*COS((AP19-EchelleFPAparam!$AE15)*EchelleFPAparam!$C$3/EchelleFPAparam!$E$3))*(SIN('Standard Settings'!$F14)+SIN('Standard Settings'!$F14+EchelleFPAparam!$M$3+EchelleFPAparam!$G$3*EchelleFPAparam!$B$6*COS(EchelleFPAparam!$AC$3)-(AP19-1024)*SIN(EchelleFPAparam!$AC$3)*EchelleFPAparam!$C$3/EchelleFPAparam!$E$3))</f>
        <v>1793.6944584833288</v>
      </c>
      <c r="DI19" s="26">
        <f>(EchelleFPAparam!$S$3/($U19+B$53)*COS((AQ19-EchelleFPAparam!$AE15)*EchelleFPAparam!$C$3/EchelleFPAparam!$E$3))*(SIN('Standard Settings'!$F14)+SIN('Standard Settings'!$F14+EchelleFPAparam!$M$3+EchelleFPAparam!$H$3*EchelleFPAparam!$B$6*COS(EchelleFPAparam!$AC$3)-(AQ19-1024)*SIN(EchelleFPAparam!$AC$3)*EchelleFPAparam!$C$3/EchelleFPAparam!$E$3))</f>
        <v>2528.7189323434518</v>
      </c>
      <c r="DJ19" s="26">
        <f>(EchelleFPAparam!$S$3/($U19+C$53)*COS((AR19-EchelleFPAparam!$AE15)*EchelleFPAparam!$C$3/EchelleFPAparam!$E$3))*(SIN('Standard Settings'!$F14)+SIN('Standard Settings'!$F14+EchelleFPAparam!$M$3+EchelleFPAparam!$H$3*EchelleFPAparam!$B$6*COS(EchelleFPAparam!$AC$3)-(AR19-1024)*SIN(EchelleFPAparam!$AC$3)*EchelleFPAparam!$C$3/EchelleFPAparam!$E$3))</f>
        <v>2419.0479359236629</v>
      </c>
      <c r="DK19" s="26">
        <f>(EchelleFPAparam!$S$3/($U19+D$53)*COS((AS19-EchelleFPAparam!$AE15)*EchelleFPAparam!$C$3/EchelleFPAparam!$E$3))*(SIN('Standard Settings'!$F14)+SIN('Standard Settings'!$F14+EchelleFPAparam!$M$3+EchelleFPAparam!$H$3*EchelleFPAparam!$B$6*COS(EchelleFPAparam!$AC$3)-(AS19-1024)*SIN(EchelleFPAparam!$AC$3)*EchelleFPAparam!$C$3/EchelleFPAparam!$E$3))</f>
        <v>2318.4446310805774</v>
      </c>
      <c r="DL19" s="26">
        <f>(EchelleFPAparam!$S$3/($U19+E$53)*COS((AT19-EchelleFPAparam!$AE15)*EchelleFPAparam!$C$3/EchelleFPAparam!$E$3))*(SIN('Standard Settings'!$F14)+SIN('Standard Settings'!$F14+EchelleFPAparam!$M$3+EchelleFPAparam!$H$3*EchelleFPAparam!$B$6*COS(EchelleFPAparam!$AC$3)-(AT19-1024)*SIN(EchelleFPAparam!$AC$3)*EchelleFPAparam!$C$3/EchelleFPAparam!$E$3))</f>
        <v>2225.8388124283447</v>
      </c>
      <c r="DM19" s="26">
        <f>(EchelleFPAparam!$S$3/($U19+F$53)*COS((AU19-EchelleFPAparam!$AE15)*EchelleFPAparam!$C$3/EchelleFPAparam!$E$3))*(SIN('Standard Settings'!$F14)+SIN('Standard Settings'!$F14+EchelleFPAparam!$M$3+EchelleFPAparam!$H$3*EchelleFPAparam!$B$6*COS(EchelleFPAparam!$AC$3)-(AU19-1024)*SIN(EchelleFPAparam!$AC$3)*EchelleFPAparam!$C$3/EchelleFPAparam!$E$3))</f>
        <v>2140.3183196664654</v>
      </c>
      <c r="DN19" s="26">
        <f>(EchelleFPAparam!$S$3/($U19+G$53)*COS((AV19-EchelleFPAparam!$AE15)*EchelleFPAparam!$C$3/EchelleFPAparam!$E$3))*(SIN('Standard Settings'!$F14)+SIN('Standard Settings'!$F14+EchelleFPAparam!$M$3+EchelleFPAparam!$H$3*EchelleFPAparam!$B$6*COS(EchelleFPAparam!$AC$3)-(AV19-1024)*SIN(EchelleFPAparam!$AC$3)*EchelleFPAparam!$C$3/EchelleFPAparam!$E$3))</f>
        <v>2061.1024330192322</v>
      </c>
      <c r="DO19" s="26">
        <f>(EchelleFPAparam!$S$3/($U19+H$53)*COS((AW19-EchelleFPAparam!$AE15)*EchelleFPAparam!$C$3/EchelleFPAparam!$E$3))*(SIN('Standard Settings'!$F14)+SIN('Standard Settings'!$F14+EchelleFPAparam!$M$3+EchelleFPAparam!$H$3*EchelleFPAparam!$B$6*COS(EchelleFPAparam!$AC$3)-(AW19-1024)*SIN(EchelleFPAparam!$AC$3)*EchelleFPAparam!$C$3/EchelleFPAparam!$E$3))</f>
        <v>1987.5221144245452</v>
      </c>
      <c r="DP19" s="26">
        <f>(EchelleFPAparam!$S$3/($U19+I$53)*COS((AX19-EchelleFPAparam!$AE15)*EchelleFPAparam!$C$3/EchelleFPAparam!$E$3))*(SIN('Standard Settings'!$F14)+SIN('Standard Settings'!$F14+EchelleFPAparam!$M$3+EchelleFPAparam!$H$3*EchelleFPAparam!$B$6*COS(EchelleFPAparam!$AC$3)-(AX19-1024)*SIN(EchelleFPAparam!$AC$3)*EchelleFPAparam!$C$3/EchelleFPAparam!$E$3))</f>
        <v>1918.9980404145263</v>
      </c>
      <c r="DQ19" s="26">
        <f>(EchelleFPAparam!$S$3/($U19+J$53)*COS((AY19-EchelleFPAparam!$AE15)*EchelleFPAparam!$C$3/EchelleFPAparam!$E$3))*(SIN('Standard Settings'!$F14)+SIN('Standard Settings'!$F14+EchelleFPAparam!$M$3+EchelleFPAparam!$H$3*EchelleFPAparam!$B$6*COS(EchelleFPAparam!$AC$3)-(AY19-1024)*SIN(EchelleFPAparam!$AC$3)*EchelleFPAparam!$C$3/EchelleFPAparam!$E$3))</f>
        <v>1854.393883718531</v>
      </c>
      <c r="DR19" s="26">
        <f>(EchelleFPAparam!$S$3/($U19+K$53)*COS((AZ19-EchelleFPAparam!$AE15)*EchelleFPAparam!$C$3/EchelleFPAparam!$E$3))*(SIN('Standard Settings'!$F14)+SIN('Standard Settings'!$F14+EchelleFPAparam!$M$3+EchelleFPAparam!$H$3*EchelleFPAparam!$B$6*COS(EchelleFPAparam!$AC$3)-(AZ19-1024)*SIN(EchelleFPAparam!$AC$3)*EchelleFPAparam!$C$3/EchelleFPAparam!$E$3))</f>
        <v>1794.5747261792237</v>
      </c>
      <c r="DS19" s="26">
        <f>(EchelleFPAparam!$S$3/($U19+B$53)*COS((AQ19-EchelleFPAparam!$AE15)*EchelleFPAparam!$C$3/EchelleFPAparam!$E$3))*(SIN('Standard Settings'!$F14)+SIN('Standard Settings'!$F14+EchelleFPAparam!$M$3+EchelleFPAparam!$I$3*EchelleFPAparam!$B$6*COS(EchelleFPAparam!$AC$3)-(AQ19-1024)*SIN(EchelleFPAparam!$AC$3)*EchelleFPAparam!$C$3/EchelleFPAparam!$E$3))</f>
        <v>2545.9350899800829</v>
      </c>
      <c r="DT19" s="26">
        <f>(EchelleFPAparam!$S$3/($U19+C$53)*COS((AR19-EchelleFPAparam!$AE15)*EchelleFPAparam!$C$3/EchelleFPAparam!$E$3))*(SIN('Standard Settings'!$F14)+SIN('Standard Settings'!$F14+EchelleFPAparam!$M$3+EchelleFPAparam!$I$3*EchelleFPAparam!$B$6*COS(EchelleFPAparam!$AC$3)-(AR19-1024)*SIN(EchelleFPAparam!$AC$3)*EchelleFPAparam!$C$3/EchelleFPAparam!$E$3))</f>
        <v>2435.5135673518516</v>
      </c>
      <c r="DU19" s="26">
        <f>(EchelleFPAparam!$S$3/($U19+D$53)*COS((AS19-EchelleFPAparam!$AE15)*EchelleFPAparam!$C$3/EchelleFPAparam!$E$3))*(SIN('Standard Settings'!$F14)+SIN('Standard Settings'!$F14+EchelleFPAparam!$M$3+EchelleFPAparam!$I$3*EchelleFPAparam!$B$6*COS(EchelleFPAparam!$AC$3)-(AS19-1024)*SIN(EchelleFPAparam!$AC$3)*EchelleFPAparam!$C$3/EchelleFPAparam!$E$3))</f>
        <v>2334.2221807954265</v>
      </c>
      <c r="DV19" s="26">
        <f>(EchelleFPAparam!$S$3/($U19+E$53)*COS((AT19-EchelleFPAparam!$AE15)*EchelleFPAparam!$C$3/EchelleFPAparam!$E$3))*(SIN('Standard Settings'!$F14)+SIN('Standard Settings'!$F14+EchelleFPAparam!$M$3+EchelleFPAparam!$I$3*EchelleFPAparam!$B$6*COS(EchelleFPAparam!$AC$3)-(AT19-1024)*SIN(EchelleFPAparam!$AC$3)*EchelleFPAparam!$C$3/EchelleFPAparam!$E$3))</f>
        <v>2240.9832571867832</v>
      </c>
      <c r="DW19" s="26">
        <f>(EchelleFPAparam!$S$3/($U19+F$53)*COS((AU19-EchelleFPAparam!$AE15)*EchelleFPAparam!$C$3/EchelleFPAparam!$E$3))*(SIN('Standard Settings'!$F14)+SIN('Standard Settings'!$F14+EchelleFPAparam!$M$3+EchelleFPAparam!$I$3*EchelleFPAparam!$B$6*COS(EchelleFPAparam!$AC$3)-(AU19-1024)*SIN(EchelleFPAparam!$AC$3)*EchelleFPAparam!$C$3/EchelleFPAparam!$E$3))</f>
        <v>2154.8783145356988</v>
      </c>
      <c r="DX19" s="26">
        <f>(EchelleFPAparam!$S$3/($U19+G$53)*COS((AV19-EchelleFPAparam!$AE15)*EchelleFPAparam!$C$3/EchelleFPAparam!$E$3))*(SIN('Standard Settings'!$F14)+SIN('Standard Settings'!$F14+EchelleFPAparam!$M$3+EchelleFPAparam!$I$3*EchelleFPAparam!$B$6*COS(EchelleFPAparam!$AC$3)-(AV19-1024)*SIN(EchelleFPAparam!$AC$3)*EchelleFPAparam!$C$3/EchelleFPAparam!$E$3))</f>
        <v>2075.1212734191263</v>
      </c>
      <c r="DY19" s="26">
        <f>(EchelleFPAparam!$S$3/($U19+H$53)*COS((AW19-EchelleFPAparam!$AE15)*EchelleFPAparam!$C$3/EchelleFPAparam!$E$3))*(SIN('Standard Settings'!$F14)+SIN('Standard Settings'!$F14+EchelleFPAparam!$M$3+EchelleFPAparam!$I$3*EchelleFPAparam!$B$6*COS(EchelleFPAparam!$AC$3)-(AW19-1024)*SIN(EchelleFPAparam!$AC$3)*EchelleFPAparam!$C$3/EchelleFPAparam!$E$3))</f>
        <v>2001.0384442014829</v>
      </c>
      <c r="DZ19" s="26">
        <f>(EchelleFPAparam!$S$3/($U19+I$53)*COS((AX19-EchelleFPAparam!$AE15)*EchelleFPAparam!$C$3/EchelleFPAparam!$E$3))*(SIN('Standard Settings'!$F14)+SIN('Standard Settings'!$F14+EchelleFPAparam!$M$3+EchelleFPAparam!$I$3*EchelleFPAparam!$B$6*COS(EchelleFPAparam!$AC$3)-(AX19-1024)*SIN(EchelleFPAparam!$AC$3)*EchelleFPAparam!$C$3/EchelleFPAparam!$E$3))</f>
        <v>1932.0465918035336</v>
      </c>
      <c r="EA19" s="26">
        <f>(EchelleFPAparam!$S$3/($U19+J$53)*COS((AY19-EchelleFPAparam!$AE15)*EchelleFPAparam!$C$3/EchelleFPAparam!$E$3))*(SIN('Standard Settings'!$F14)+SIN('Standard Settings'!$F14+EchelleFPAparam!$M$3+EchelleFPAparam!$I$3*EchelleFPAparam!$B$6*COS(EchelleFPAparam!$AC$3)-(AY19-1024)*SIN(EchelleFPAparam!$AC$3)*EchelleFPAparam!$C$3/EchelleFPAparam!$E$3))</f>
        <v>1867.0190659853938</v>
      </c>
      <c r="EB19" s="26">
        <f>(EchelleFPAparam!$S$3/($U19+K$53)*COS((AZ19-EchelleFPAparam!$AE15)*EchelleFPAparam!$C$3/EchelleFPAparam!$E$3))*(SIN('Standard Settings'!$F14)+SIN('Standard Settings'!$F14+EchelleFPAparam!$M$3+EchelleFPAparam!$I$3*EchelleFPAparam!$B$6*COS(EchelleFPAparam!$AC$3)-(AZ19-1024)*SIN(EchelleFPAparam!$AC$3)*EchelleFPAparam!$C$3/EchelleFPAparam!$E$3))</f>
        <v>1806.7926445019941</v>
      </c>
      <c r="EC19" s="26">
        <f>(EchelleFPAparam!$S$3/($U19+B$53)*COS((BA19-EchelleFPAparam!$AE15)*EchelleFPAparam!$C$3/EchelleFPAparam!$E$3))*(SIN('Standard Settings'!$F14)+SIN('Standard Settings'!$F14+EchelleFPAparam!$M$3+EchelleFPAparam!$J$3*EchelleFPAparam!$B$6*COS(EchelleFPAparam!$AC$3)-(BA19-1024)*SIN(EchelleFPAparam!$AC$3)*EchelleFPAparam!$C$3/EchelleFPAparam!$E$3))</f>
        <v>2547.1525306955568</v>
      </c>
      <c r="ED19" s="26">
        <f>(EchelleFPAparam!$S$3/($U19+C$53)*COS((BB19-EchelleFPAparam!$AE15)*EchelleFPAparam!$C$3/EchelleFPAparam!$E$3))*(SIN('Standard Settings'!$F14)+SIN('Standard Settings'!$F14+EchelleFPAparam!$M$3+EchelleFPAparam!$J$3*EchelleFPAparam!$B$6*COS(EchelleFPAparam!$AC$3)-(BB19-1024)*SIN(EchelleFPAparam!$AC$3)*EchelleFPAparam!$C$3/EchelleFPAparam!$E$3))</f>
        <v>2436.6720622032872</v>
      </c>
      <c r="EE19" s="26">
        <f>(EchelleFPAparam!$S$3/($U19+D$53)*COS((BC19-EchelleFPAparam!$AE15)*EchelleFPAparam!$C$3/EchelleFPAparam!$E$3))*(SIN('Standard Settings'!$F14)+SIN('Standard Settings'!$F14+EchelleFPAparam!$M$3+EchelleFPAparam!$J$3*EchelleFPAparam!$B$6*COS(EchelleFPAparam!$AC$3)-(BC19-1024)*SIN(EchelleFPAparam!$AC$3)*EchelleFPAparam!$C$3/EchelleFPAparam!$E$3))</f>
        <v>2335.3351096052934</v>
      </c>
      <c r="EF19" s="26">
        <f>(EchelleFPAparam!$S$3/($U19+E$53)*COS((BD19-EchelleFPAparam!$AE15)*EchelleFPAparam!$C$3/EchelleFPAparam!$E$3))*(SIN('Standard Settings'!$F14)+SIN('Standard Settings'!$F14+EchelleFPAparam!$M$3+EchelleFPAparam!$J$3*EchelleFPAparam!$B$6*COS(EchelleFPAparam!$AC$3)-(BD19-1024)*SIN(EchelleFPAparam!$AC$3)*EchelleFPAparam!$C$3/EchelleFPAparam!$E$3))</f>
        <v>2242.0530287686397</v>
      </c>
      <c r="EG19" s="26">
        <f>(EchelleFPAparam!$S$3/($U19+F$53)*COS((BE19-EchelleFPAparam!$AE15)*EchelleFPAparam!$C$3/EchelleFPAparam!$E$3))*(SIN('Standard Settings'!$F14)+SIN('Standard Settings'!$F14+EchelleFPAparam!$M$3+EchelleFPAparam!$J$3*EchelleFPAparam!$B$6*COS(EchelleFPAparam!$AC$3)-(BE19-1024)*SIN(EchelleFPAparam!$AC$3)*EchelleFPAparam!$C$3/EchelleFPAparam!$E$3))</f>
        <v>2155.9078366149461</v>
      </c>
      <c r="EH19" s="26">
        <f>(EchelleFPAparam!$S$3/($U19+G$53)*COS((BF19-EchelleFPAparam!$AE15)*EchelleFPAparam!$C$3/EchelleFPAparam!$E$3))*(SIN('Standard Settings'!$F14)+SIN('Standard Settings'!$F14+EchelleFPAparam!$M$3+EchelleFPAparam!$J$3*EchelleFPAparam!$B$6*COS(EchelleFPAparam!$AC$3)-(BF19-1024)*SIN(EchelleFPAparam!$AC$3)*EchelleFPAparam!$C$3/EchelleFPAparam!$E$3))</f>
        <v>2076.1130265553397</v>
      </c>
      <c r="EI19" s="26">
        <f>(EchelleFPAparam!$S$3/($U19+H$53)*COS((BG19-EchelleFPAparam!$AE15)*EchelleFPAparam!$C$3/EchelleFPAparam!$E$3))*(SIN('Standard Settings'!$F14)+SIN('Standard Settings'!$F14+EchelleFPAparam!$M$3+EchelleFPAparam!$J$3*EchelleFPAparam!$B$6*COS(EchelleFPAparam!$AC$3)-(BG19-1024)*SIN(EchelleFPAparam!$AC$3)*EchelleFPAparam!$C$3/EchelleFPAparam!$E$3))</f>
        <v>2001.99451259222</v>
      </c>
      <c r="EJ19" s="26">
        <f>(EchelleFPAparam!$S$3/($U19+I$53)*COS((BH19-EchelleFPAparam!$AE15)*EchelleFPAparam!$C$3/EchelleFPAparam!$E$3))*(SIN('Standard Settings'!$F14)+SIN('Standard Settings'!$F14+EchelleFPAparam!$M$3+EchelleFPAparam!$J$3*EchelleFPAparam!$B$6*COS(EchelleFPAparam!$AC$3)-(BH19-1024)*SIN(EchelleFPAparam!$AC$3)*EchelleFPAparam!$C$3/EchelleFPAparam!$E$3))</f>
        <v>1932.9694130647404</v>
      </c>
      <c r="EK19" s="26">
        <f>(EchelleFPAparam!$S$3/($U19+J$53)*COS((BI19-EchelleFPAparam!$AE15)*EchelleFPAparam!$C$3/EchelleFPAparam!$E$3))*(SIN('Standard Settings'!$F14)+SIN('Standard Settings'!$F14+EchelleFPAparam!$M$3+EchelleFPAparam!$J$3*EchelleFPAparam!$B$6*COS(EchelleFPAparam!$AC$3)-(BI19-1024)*SIN(EchelleFPAparam!$AC$3)*EchelleFPAparam!$C$3/EchelleFPAparam!$E$3))</f>
        <v>1867.9118558434081</v>
      </c>
      <c r="EL19" s="26">
        <f>(EchelleFPAparam!$S$3/($U19+K$53)*COS((BJ19-EchelleFPAparam!$AE15)*EchelleFPAparam!$C$3/EchelleFPAparam!$E$3))*(SIN('Standard Settings'!$F14)+SIN('Standard Settings'!$F14+EchelleFPAparam!$M$3+EchelleFPAparam!$J$3*EchelleFPAparam!$B$6*COS(EchelleFPAparam!$AC$3)-(BJ19-1024)*SIN(EchelleFPAparam!$AC$3)*EchelleFPAparam!$C$3/EchelleFPAparam!$E$3))</f>
        <v>1807.6566346871691</v>
      </c>
      <c r="EM19" s="26">
        <f>(EchelleFPAparam!$S$3/($U19+B$53)*COS((BA19-EchelleFPAparam!$AE15)*EchelleFPAparam!$C$3/EchelleFPAparam!$E$3))*(SIN('Standard Settings'!$F14)+SIN('Standard Settings'!$F14+EchelleFPAparam!$M$3+EchelleFPAparam!$K$3*EchelleFPAparam!$B$6*COS(EchelleFPAparam!$AC$3)-(BA19-1024)*SIN(EchelleFPAparam!$AC$3)*EchelleFPAparam!$C$3/EchelleFPAparam!$E$3))</f>
        <v>2563.5503784723733</v>
      </c>
      <c r="EN19" s="26">
        <f>(EchelleFPAparam!$S$3/($U19+C$53)*COS((BB19-EchelleFPAparam!$AE15)*EchelleFPAparam!$C$3/EchelleFPAparam!$E$3))*(SIN('Standard Settings'!$F14)+SIN('Standard Settings'!$F14+EchelleFPAparam!$M$3+EchelleFPAparam!$K$3*EchelleFPAparam!$B$6*COS(EchelleFPAparam!$AC$3)-(BB19-1024)*SIN(EchelleFPAparam!$AC$3)*EchelleFPAparam!$C$3/EchelleFPAparam!$E$3))</f>
        <v>2452.3549057286391</v>
      </c>
      <c r="EO19" s="26">
        <f>(EchelleFPAparam!$S$3/($U19+D$53)*COS((BC19-EchelleFPAparam!$AE15)*EchelleFPAparam!$C$3/EchelleFPAparam!$E$3))*(SIN('Standard Settings'!$F14)+SIN('Standard Settings'!$F14+EchelleFPAparam!$M$3+EchelleFPAparam!$K$3*EchelleFPAparam!$B$6*COS(EchelleFPAparam!$AC$3)-(BC19-1024)*SIN(EchelleFPAparam!$AC$3)*EchelleFPAparam!$C$3/EchelleFPAparam!$E$3))</f>
        <v>2350.3623906107509</v>
      </c>
      <c r="EP19" s="26">
        <f>(EchelleFPAparam!$S$3/($U19+E$53)*COS((BD19-EchelleFPAparam!$AE15)*EchelleFPAparam!$C$3/EchelleFPAparam!$E$3))*(SIN('Standard Settings'!$F14)+SIN('Standard Settings'!$F14+EchelleFPAparam!$M$3+EchelleFPAparam!$K$3*EchelleFPAparam!$B$6*COS(EchelleFPAparam!$AC$3)-(BD19-1024)*SIN(EchelleFPAparam!$AC$3)*EchelleFPAparam!$C$3/EchelleFPAparam!$E$3))</f>
        <v>2256.477142285743</v>
      </c>
      <c r="EQ19" s="26">
        <f>(EchelleFPAparam!$S$3/($U19+F$53)*COS((BE19-EchelleFPAparam!$AE15)*EchelleFPAparam!$C$3/EchelleFPAparam!$E$3))*(SIN('Standard Settings'!$F14)+SIN('Standard Settings'!$F14+EchelleFPAparam!$M$3+EchelleFPAparam!$K$3*EchelleFPAparam!$B$6*COS(EchelleFPAparam!$AC$3)-(BE19-1024)*SIN(EchelleFPAparam!$AC$3)*EchelleFPAparam!$C$3/EchelleFPAparam!$E$3))</f>
        <v>2169.7751419484393</v>
      </c>
      <c r="ER19" s="26">
        <f>(EchelleFPAparam!$S$3/($U19+G$53)*COS((BF19-EchelleFPAparam!$AE15)*EchelleFPAparam!$C$3/EchelleFPAparam!$E$3))*(SIN('Standard Settings'!$F14)+SIN('Standard Settings'!$F14+EchelleFPAparam!$M$3+EchelleFPAparam!$K$3*EchelleFPAparam!$B$6*COS(EchelleFPAparam!$AC$3)-(BF19-1024)*SIN(EchelleFPAparam!$AC$3)*EchelleFPAparam!$C$3/EchelleFPAparam!$E$3))</f>
        <v>2089.4647785457623</v>
      </c>
      <c r="ES19" s="26">
        <f>(EchelleFPAparam!$S$3/($U19+H$53)*COS((BG19-EchelleFPAparam!$AE15)*EchelleFPAparam!$C$3/EchelleFPAparam!$E$3))*(SIN('Standard Settings'!$F14)+SIN('Standard Settings'!$F14+EchelleFPAparam!$M$3+EchelleFPAparam!$K$3*EchelleFPAparam!$B$6*COS(EchelleFPAparam!$AC$3)-(BG19-1024)*SIN(EchelleFPAparam!$AC$3)*EchelleFPAparam!$C$3/EchelleFPAparam!$E$3))</f>
        <v>2014.8675472829846</v>
      </c>
      <c r="ET19" s="26">
        <f>(EchelleFPAparam!$S$3/($U19+I$53)*COS((BH19-EchelleFPAparam!$AE15)*EchelleFPAparam!$C$3/EchelleFPAparam!$E$3))*(SIN('Standard Settings'!$F14)+SIN('Standard Settings'!$F14+EchelleFPAparam!$M$3+EchelleFPAparam!$K$3*EchelleFPAparam!$B$6*COS(EchelleFPAparam!$AC$3)-(BH19-1024)*SIN(EchelleFPAparam!$AC$3)*EchelleFPAparam!$C$3/EchelleFPAparam!$E$3))</f>
        <v>1945.3967131166983</v>
      </c>
      <c r="EU19" s="26">
        <f>(EchelleFPAparam!$S$3/($U19+J$53)*COS((BI19-EchelleFPAparam!$AE15)*EchelleFPAparam!$C$3/EchelleFPAparam!$E$3))*(SIN('Standard Settings'!$F14)+SIN('Standard Settings'!$F14+EchelleFPAparam!$M$3+EchelleFPAparam!$K$3*EchelleFPAparam!$B$6*COS(EchelleFPAparam!$AC$3)-(BI19-1024)*SIN(EchelleFPAparam!$AC$3)*EchelleFPAparam!$C$3/EchelleFPAparam!$E$3))</f>
        <v>1879.9369442130733</v>
      </c>
      <c r="EV19" s="26">
        <f>(EchelleFPAparam!$S$3/($U19+K$53)*COS((BJ19-EchelleFPAparam!$AE15)*EchelleFPAparam!$C$3/EchelleFPAparam!$E$3))*(SIN('Standard Settings'!$F14)+SIN('Standard Settings'!$F14+EchelleFPAparam!$M$3+EchelleFPAparam!$K$3*EchelleFPAparam!$B$6*COS(EchelleFPAparam!$AC$3)-(BJ19-1024)*SIN(EchelleFPAparam!$AC$3)*EchelleFPAparam!$C$3/EchelleFPAparam!$E$3))</f>
        <v>1819.2938169803936</v>
      </c>
      <c r="EW19" s="60">
        <f t="shared" si="40"/>
        <v>1904.3984936231107</v>
      </c>
      <c r="EX19" s="60">
        <f t="shared" si="41"/>
        <v>2452.3549057286391</v>
      </c>
      <c r="EY19" s="90">
        <v>0.39</v>
      </c>
      <c r="EZ19" s="90">
        <v>0.36</v>
      </c>
      <c r="FA19" s="50">
        <v>30000</v>
      </c>
      <c r="FB19" s="50">
        <v>5000</v>
      </c>
      <c r="FC19" s="50">
        <v>5000</v>
      </c>
      <c r="FD19" s="50">
        <v>10000</v>
      </c>
      <c r="FE19" s="95">
        <v>100</v>
      </c>
      <c r="FF19" s="50">
        <v>5000</v>
      </c>
      <c r="FG19" s="50">
        <v>400</v>
      </c>
      <c r="FH19" s="50">
        <f t="shared" si="27"/>
        <v>1250</v>
      </c>
      <c r="FI19" s="50">
        <f t="shared" si="28"/>
        <v>1250</v>
      </c>
      <c r="FJ19" s="50">
        <f t="shared" si="29"/>
        <v>2500</v>
      </c>
      <c r="FK19" s="95">
        <f t="shared" si="30"/>
        <v>25</v>
      </c>
      <c r="FL19" s="50">
        <f t="shared" si="31"/>
        <v>1250</v>
      </c>
      <c r="FM19" s="50">
        <f t="shared" si="32"/>
        <v>100</v>
      </c>
      <c r="FN19" s="50">
        <v>500</v>
      </c>
      <c r="FO19" s="91">
        <f>1/(F19*EchelleFPAparam!$Q$3)</f>
        <v>-5356.6734838237553</v>
      </c>
      <c r="FP19" s="91">
        <f t="shared" si="22"/>
        <v>-38.082587129215021</v>
      </c>
      <c r="FQ19" s="50">
        <v>-999999</v>
      </c>
      <c r="FR19" s="50">
        <v>-999999</v>
      </c>
      <c r="FS19" s="90">
        <v>1</v>
      </c>
      <c r="FT19" s="90">
        <v>1315.376</v>
      </c>
      <c r="FU19" s="90">
        <f>1459.679-180</f>
        <v>1279.6790000000001</v>
      </c>
      <c r="FV19" s="50">
        <v>-999999</v>
      </c>
      <c r="FW19" s="50">
        <v>-999999</v>
      </c>
      <c r="FX19" s="50">
        <v>-999999</v>
      </c>
      <c r="FY19" s="90">
        <v>1</v>
      </c>
      <c r="FZ19" s="90">
        <v>1685.7470000000001</v>
      </c>
      <c r="GA19" s="90">
        <f>1728.258-180</f>
        <v>1548.258</v>
      </c>
      <c r="GB19" s="50">
        <v>-999999</v>
      </c>
      <c r="GC19" s="50">
        <v>-999999</v>
      </c>
      <c r="GD19" s="50">
        <v>-999999</v>
      </c>
      <c r="GE19" s="90">
        <v>2</v>
      </c>
      <c r="GF19" s="90">
        <v>1875.865</v>
      </c>
      <c r="GG19" s="90">
        <f>1732.664-180</f>
        <v>1552.664</v>
      </c>
      <c r="GH19" s="50">
        <v>-999999</v>
      </c>
      <c r="GI19" s="50">
        <v>-999999</v>
      </c>
      <c r="GJ19" s="50">
        <v>-999999</v>
      </c>
      <c r="GK19" s="90">
        <v>2</v>
      </c>
      <c r="GL19" s="90">
        <v>1242.069</v>
      </c>
      <c r="GM19" s="90">
        <f>1728.886-180</f>
        <v>1548.886</v>
      </c>
      <c r="GN19" s="50">
        <v>-999999</v>
      </c>
      <c r="GO19" s="50">
        <v>-999999</v>
      </c>
      <c r="GP19" s="50">
        <v>-999999</v>
      </c>
      <c r="GQ19" s="90">
        <v>3</v>
      </c>
      <c r="GR19" s="90">
        <v>850.58</v>
      </c>
      <c r="GS19" s="90">
        <f>1732.834-180</f>
        <v>1552.8340000000001</v>
      </c>
      <c r="GT19" s="50">
        <v>-999999</v>
      </c>
      <c r="GU19" s="50">
        <v>-999999</v>
      </c>
      <c r="GV19" s="50">
        <v>-999999</v>
      </c>
      <c r="GW19" s="50">
        <v>-999999</v>
      </c>
      <c r="GX19" s="50">
        <v>-999999</v>
      </c>
      <c r="GY19" s="50">
        <v>-999999</v>
      </c>
      <c r="GZ19" s="50">
        <v>-999999</v>
      </c>
      <c r="HA19" s="50">
        <v>-999999</v>
      </c>
      <c r="HB19" s="50">
        <v>-999999</v>
      </c>
      <c r="HC19" s="50">
        <v>-999999</v>
      </c>
      <c r="HD19" s="50">
        <v>-999999</v>
      </c>
      <c r="HE19" s="50">
        <v>-999999</v>
      </c>
      <c r="HF19" s="50">
        <v>-999999</v>
      </c>
      <c r="HG19" s="50">
        <v>-999999</v>
      </c>
      <c r="HH19" s="50">
        <v>-999999</v>
      </c>
      <c r="HI19" s="50">
        <v>-999999</v>
      </c>
      <c r="HJ19" s="50">
        <v>-999999</v>
      </c>
      <c r="HK19" s="50">
        <v>-999999</v>
      </c>
      <c r="HL19" s="50">
        <v>-999999</v>
      </c>
      <c r="HM19" s="50">
        <v>-999999</v>
      </c>
      <c r="HN19" s="50">
        <v>-999999</v>
      </c>
      <c r="HO19" s="50">
        <v>-999999</v>
      </c>
      <c r="HP19" s="50">
        <v>-999999</v>
      </c>
      <c r="HQ19" s="50">
        <v>-999999</v>
      </c>
      <c r="HR19" s="50">
        <v>-999999</v>
      </c>
      <c r="HS19" s="50">
        <v>-999999</v>
      </c>
      <c r="HT19" s="50">
        <v>-999999</v>
      </c>
      <c r="HU19" s="50">
        <v>-999999</v>
      </c>
      <c r="HV19" s="50">
        <v>-999999</v>
      </c>
      <c r="HW19" s="50">
        <v>-999999</v>
      </c>
      <c r="HX19" s="50">
        <v>-999999</v>
      </c>
      <c r="HY19" s="50"/>
      <c r="HZ19" s="50"/>
      <c r="IA19" s="50"/>
      <c r="IB19" s="50"/>
      <c r="IC19" s="50"/>
      <c r="ID19" s="50"/>
      <c r="IE19" s="50"/>
      <c r="IF19" s="50"/>
      <c r="IG19" s="50"/>
      <c r="IH19" s="50"/>
      <c r="II19" s="50"/>
      <c r="IJ19" s="50"/>
      <c r="IK19" s="50"/>
      <c r="IL19" s="50"/>
      <c r="IM19" s="50"/>
      <c r="IN19" s="50"/>
      <c r="IO19" s="50"/>
      <c r="IP19" s="50"/>
      <c r="IQ19" s="50"/>
      <c r="IR19" s="50"/>
      <c r="IS19" s="50"/>
      <c r="IT19" s="50"/>
      <c r="IU19" s="50"/>
      <c r="IV19" s="50"/>
      <c r="IW19" s="50"/>
      <c r="IX19" s="50"/>
      <c r="IY19" s="50"/>
      <c r="IZ19" s="50"/>
      <c r="JA19" s="50"/>
      <c r="JB19" s="50"/>
      <c r="JC19" s="50"/>
      <c r="JD19" s="50"/>
      <c r="JE19" s="50"/>
      <c r="JF19" s="50"/>
      <c r="JG19" s="50"/>
      <c r="JH19" s="50"/>
      <c r="JI19" s="50"/>
      <c r="JJ19" s="50"/>
      <c r="JK19" s="50"/>
      <c r="JL19" s="50"/>
      <c r="JM19" s="50"/>
      <c r="JN19" s="50"/>
      <c r="JO19" s="50"/>
      <c r="JP19" s="50"/>
      <c r="JQ19" s="50"/>
      <c r="JR19" s="50"/>
      <c r="JS19" s="50"/>
      <c r="JT19" s="50"/>
      <c r="JU19" s="50"/>
      <c r="JV19" s="50"/>
      <c r="JW19" s="52">
        <f t="shared" si="23"/>
        <v>2756.8210185982707</v>
      </c>
      <c r="JX19" s="27">
        <f t="shared" si="24"/>
        <v>302086.5454173183</v>
      </c>
      <c r="JY19" s="107">
        <f>JW19*EchelleFPAparam!$Q$3</f>
        <v>-2.6258720202148526E-2</v>
      </c>
      <c r="KA19" s="19"/>
      <c r="KB19" s="19"/>
      <c r="KC19" s="19"/>
      <c r="KD19" s="19"/>
      <c r="KE19" s="19"/>
      <c r="KF19" s="19"/>
      <c r="KG19" s="19"/>
      <c r="KH19" s="19"/>
      <c r="KI19" s="19"/>
      <c r="KJ19" s="19"/>
      <c r="KK19" s="19"/>
      <c r="KL19" s="19"/>
      <c r="KM19" s="19"/>
      <c r="KW19" s="19"/>
      <c r="KX19" s="19"/>
      <c r="KY19" s="19"/>
      <c r="KZ19" s="19"/>
      <c r="LA19" s="19"/>
      <c r="LB19" s="19"/>
      <c r="LC19" s="19"/>
      <c r="LD19" s="19"/>
      <c r="LE19" s="19"/>
      <c r="LF19" s="19"/>
    </row>
    <row r="20" spans="1:318" x14ac:dyDescent="0.2">
      <c r="A20" s="53">
        <f t="shared" si="35"/>
        <v>14</v>
      </c>
      <c r="B20" s="96">
        <f t="shared" si="0"/>
        <v>3425.8910424003661</v>
      </c>
      <c r="C20" s="27" t="str">
        <f>'Standard Settings'!B15</f>
        <v>L/1/7</v>
      </c>
      <c r="D20" s="27">
        <f>'Standard Settings'!H15</f>
        <v>17</v>
      </c>
      <c r="E20" s="19">
        <f t="shared" si="1"/>
        <v>9.0788233163903165E-3</v>
      </c>
      <c r="F20" s="18">
        <f>((EchelleFPAparam!$S$3/('crmcfgWLEN.txt'!$U20+F$53))*(SIN('Standard Settings'!$F15+0.0005)+SIN('Standard Settings'!$F15+0.0005+EchelleFPAparam!$M$3))-(EchelleFPAparam!$S$3/('crmcfgWLEN.txt'!$U20+F$53))*(SIN('Standard Settings'!$F15-0.0005)+SIN('Standard Settings'!$F15-0.0005+EchelleFPAparam!$M$3)))*1000*EchelleFPAparam!$O$3/180</f>
        <v>24.693592482880792</v>
      </c>
      <c r="G20" s="20" t="str">
        <f>'Standard Settings'!C15</f>
        <v>L</v>
      </c>
      <c r="H20" s="46"/>
      <c r="I20" s="59" t="s">
        <v>361</v>
      </c>
      <c r="J20" s="57"/>
      <c r="K20" s="27" t="str">
        <f>'Standard Settings'!$D15</f>
        <v>LM</v>
      </c>
      <c r="L20" s="46"/>
      <c r="M20" s="12">
        <v>2.5</v>
      </c>
      <c r="N20" s="12">
        <v>2.5</v>
      </c>
      <c r="O20" s="47" t="s">
        <v>384</v>
      </c>
      <c r="P20" s="47" t="s">
        <v>384</v>
      </c>
      <c r="Q20" s="27">
        <f>'Standard Settings'!$E15</f>
        <v>69.163650000000004</v>
      </c>
      <c r="R20" s="106">
        <f>'Standard Settings'!$J15</f>
        <v>130000</v>
      </c>
      <c r="S20" s="21">
        <f>'Standard Settings'!$G15</f>
        <v>14</v>
      </c>
      <c r="T20" s="21">
        <f>'Standard Settings'!$I15</f>
        <v>20</v>
      </c>
      <c r="U20" s="22">
        <f t="shared" si="25"/>
        <v>13</v>
      </c>
      <c r="V20" s="22">
        <f t="shared" si="26"/>
        <v>22</v>
      </c>
      <c r="W20" s="23">
        <f>IF(AND($U20-$S20+B$53&gt;=0,$U20-$T20+B$53&lt;=0),(EchelleFPAparam!$S$3/('crmcfgWLEN.txt'!$U20+B$53))*(SIN('Standard Settings'!$F15)+SIN('Standard Settings'!$F15+EchelleFPAparam!$M$3)),-1)</f>
        <v>-1</v>
      </c>
      <c r="X20" s="23">
        <f>IF(AND($U20-$S20+C$53&gt;=0,$U20-$T20+C$53&lt;=0),(EchelleFPAparam!$S$3/('crmcfgWLEN.txt'!$U20+C$53))*(SIN('Standard Settings'!$F15)+SIN('Standard Settings'!$F15+EchelleFPAparam!$M$3)),-1)</f>
        <v>4160.0105514861589</v>
      </c>
      <c r="Y20" s="23">
        <f>IF(AND($U20-$S20+D$53&gt;=0,$U20-$T20+D$53&lt;=0),(EchelleFPAparam!$S$3/('crmcfgWLEN.txt'!$U20+D$53))*(SIN('Standard Settings'!$F15)+SIN('Standard Settings'!$F15+EchelleFPAparam!$M$3)),-1)</f>
        <v>3882.6765147204146</v>
      </c>
      <c r="Z20" s="23">
        <f>IF(AND($U20-$S20+E$53&gt;=0,$U20-$T20+E$53&lt;=0),(EchelleFPAparam!$S$3/('crmcfgWLEN.txt'!$U20+E$53))*(SIN('Standard Settings'!$F15)+SIN('Standard Settings'!$F15+EchelleFPAparam!$M$3)),-1)</f>
        <v>3640.0092325503892</v>
      </c>
      <c r="AA20" s="23">
        <f>IF(AND($U20-$S20+F$53&gt;=0,$U20-$T20+F$53&lt;=0),(EchelleFPAparam!$S$3/('crmcfgWLEN.txt'!$U20+F$53))*(SIN('Standard Settings'!$F15)+SIN('Standard Settings'!$F15+EchelleFPAparam!$M$3)),-1)</f>
        <v>3425.8910424003661</v>
      </c>
      <c r="AB20" s="23">
        <f>IF(AND($U20-$S20+G$53&gt;=0,$U20-$T20+G$53&lt;=0),(EchelleFPAparam!$S$3/('crmcfgWLEN.txt'!$U20+G$53))*(SIN('Standard Settings'!$F15)+SIN('Standard Settings'!$F15+EchelleFPAparam!$M$3)),-1)</f>
        <v>3235.5637622670124</v>
      </c>
      <c r="AC20" s="23">
        <f>IF(AND($U20-$S20+H$53&gt;=0,$U20-$T20+H$53&lt;=0),(EchelleFPAparam!$S$3/('crmcfgWLEN.txt'!$U20+H$53))*(SIN('Standard Settings'!$F15)+SIN('Standard Settings'!$F15+EchelleFPAparam!$M$3)),-1)</f>
        <v>3065.2709326740119</v>
      </c>
      <c r="AD20" s="23">
        <f>IF(AND($U20-$S20+I$53&gt;=0,$U20-$T20+I$53&lt;=0),(EchelleFPAparam!$S$3/('crmcfgWLEN.txt'!$U20+I$53))*(SIN('Standard Settings'!$F15)+SIN('Standard Settings'!$F15+EchelleFPAparam!$M$3)),-1)</f>
        <v>2912.0073860403113</v>
      </c>
      <c r="AE20" s="23">
        <f>IF(AND($U20-$S20+J$53&gt;=0,$U20-$T20+J$53&lt;=0),(EchelleFPAparam!$S$3/('crmcfgWLEN.txt'!$U20+J$53))*(SIN('Standard Settings'!$F15)+SIN('Standard Settings'!$F15+EchelleFPAparam!$M$3)),-1)</f>
        <v>-1</v>
      </c>
      <c r="AF20" s="23">
        <f>IF(AND($U20-$S20+K$53&gt;=0,$U20-$T20+K$53&lt;=0),(EchelleFPAparam!$S$3/('crmcfgWLEN.txt'!$U20+K$53))*(SIN('Standard Settings'!$F15)+SIN('Standard Settings'!$F15+EchelleFPAparam!$M$3)),-1)</f>
        <v>-1</v>
      </c>
      <c r="AG20" s="159">
        <v>-100.1</v>
      </c>
      <c r="AH20" s="157">
        <v>144.69999999999999</v>
      </c>
      <c r="AI20" s="157">
        <v>512.70000000000005</v>
      </c>
      <c r="AJ20" s="157">
        <v>834.3</v>
      </c>
      <c r="AK20" s="157">
        <v>1117.5999999999999</v>
      </c>
      <c r="AL20" s="157">
        <v>1369.3</v>
      </c>
      <c r="AM20" s="157">
        <v>1594.7</v>
      </c>
      <c r="AN20" s="157">
        <v>1791.6</v>
      </c>
      <c r="AO20" s="159">
        <v>-100.1</v>
      </c>
      <c r="AP20" s="159">
        <v>-100.1</v>
      </c>
      <c r="AQ20" s="160">
        <v>-100.1</v>
      </c>
      <c r="AR20" s="157">
        <v>164.3</v>
      </c>
      <c r="AS20" s="157">
        <v>534.6</v>
      </c>
      <c r="AT20" s="157">
        <v>857.9</v>
      </c>
      <c r="AU20" s="157">
        <v>1142.8</v>
      </c>
      <c r="AV20" s="157">
        <v>1395.9</v>
      </c>
      <c r="AW20" s="157">
        <v>1622.4</v>
      </c>
      <c r="AX20" s="157">
        <v>1700.1</v>
      </c>
      <c r="AY20" s="160">
        <v>1826.8</v>
      </c>
      <c r="AZ20" s="160">
        <v>-100.1</v>
      </c>
      <c r="BA20" s="161">
        <v>-100.1</v>
      </c>
      <c r="BB20" s="157">
        <v>183.3</v>
      </c>
      <c r="BC20" s="157">
        <v>556</v>
      </c>
      <c r="BD20" s="157">
        <v>881.4</v>
      </c>
      <c r="BE20" s="157">
        <v>1168.2</v>
      </c>
      <c r="BF20" s="157">
        <v>1422.9</v>
      </c>
      <c r="BG20" s="157">
        <v>1651.3</v>
      </c>
      <c r="BH20" s="157">
        <v>1856</v>
      </c>
      <c r="BI20" s="161">
        <v>100.1</v>
      </c>
      <c r="BJ20" s="161">
        <v>-100.1</v>
      </c>
      <c r="BK20" s="24">
        <f>EchelleFPAparam!$S$3/('crmcfgWLEN.txt'!$U20+B$53)*(SIN(EchelleFPAparam!$T$3-EchelleFPAparam!$M$3/2)+SIN('Standard Settings'!$F15+EchelleFPAparam!$M$3))</f>
        <v>4417.8737153871289</v>
      </c>
      <c r="BL20" s="24">
        <f>EchelleFPAparam!$S$3/('crmcfgWLEN.txt'!$U20+C$53)*(SIN(EchelleFPAparam!$T$3-EchelleFPAparam!$M$3/2)+SIN('Standard Settings'!$F15+EchelleFPAparam!$M$3))</f>
        <v>4102.3113071451908</v>
      </c>
      <c r="BM20" s="24">
        <f>EchelleFPAparam!$S$3/('crmcfgWLEN.txt'!$U20+D$53)*(SIN(EchelleFPAparam!$T$3-EchelleFPAparam!$M$3/2)+SIN('Standard Settings'!$F15+EchelleFPAparam!$M$3))</f>
        <v>3828.8238866688448</v>
      </c>
      <c r="BN20" s="24">
        <f>EchelleFPAparam!$S$3/('crmcfgWLEN.txt'!$U20+E$53)*(SIN(EchelleFPAparam!$T$3-EchelleFPAparam!$M$3/2)+SIN('Standard Settings'!$F15+EchelleFPAparam!$M$3))</f>
        <v>3589.5223937520423</v>
      </c>
      <c r="BO20" s="24">
        <f>EchelleFPAparam!$S$3/('crmcfgWLEN.txt'!$U20+F$53)*(SIN(EchelleFPAparam!$T$3-EchelleFPAparam!$M$3/2)+SIN('Standard Settings'!$F15+EchelleFPAparam!$M$3))</f>
        <v>3378.374017648981</v>
      </c>
      <c r="BP20" s="24">
        <f>EchelleFPAparam!$S$3/('crmcfgWLEN.txt'!$U20+G$53)*(SIN(EchelleFPAparam!$T$3-EchelleFPAparam!$M$3/2)+SIN('Standard Settings'!$F15+EchelleFPAparam!$M$3))</f>
        <v>3190.6865722240377</v>
      </c>
      <c r="BQ20" s="24">
        <f>EchelleFPAparam!$S$3/('crmcfgWLEN.txt'!$U20+H$53)*(SIN(EchelleFPAparam!$T$3-EchelleFPAparam!$M$3/2)+SIN('Standard Settings'!$F15+EchelleFPAparam!$M$3))</f>
        <v>3022.75570000172</v>
      </c>
      <c r="BR20" s="24">
        <f>EchelleFPAparam!$S$3/('crmcfgWLEN.txt'!$U20+I$53)*(SIN(EchelleFPAparam!$T$3-EchelleFPAparam!$M$3/2)+SIN('Standard Settings'!$F15+EchelleFPAparam!$M$3))</f>
        <v>2871.6179150016337</v>
      </c>
      <c r="BS20" s="24">
        <f>EchelleFPAparam!$S$3/('crmcfgWLEN.txt'!$U20+J$53)*(SIN(EchelleFPAparam!$T$3-EchelleFPAparam!$M$3/2)+SIN('Standard Settings'!$F15+EchelleFPAparam!$M$3))</f>
        <v>2734.874204763461</v>
      </c>
      <c r="BT20" s="24">
        <f>EchelleFPAparam!$S$3/('crmcfgWLEN.txt'!$U20+K$53)*(SIN(EchelleFPAparam!$T$3-EchelleFPAparam!$M$3/2)+SIN('Standard Settings'!$F15+EchelleFPAparam!$M$3))</f>
        <v>2610.5617409105762</v>
      </c>
      <c r="BU20" s="25">
        <f t="shared" si="33"/>
        <v>4291.6487520903538</v>
      </c>
      <c r="BV20" s="25">
        <f t="shared" si="2"/>
        <v>3991.4380285736993</v>
      </c>
      <c r="BW20" s="25">
        <f t="shared" si="3"/>
        <v>3730.6489152157974</v>
      </c>
      <c r="BX20" s="25">
        <f t="shared" si="4"/>
        <v>3501.9730670751633</v>
      </c>
      <c r="BY20" s="25">
        <f t="shared" si="5"/>
        <v>3299.8071800292369</v>
      </c>
      <c r="BZ20" s="25">
        <f t="shared" si="6"/>
        <v>3119.7824261746146</v>
      </c>
      <c r="CA20" s="25">
        <f t="shared" si="7"/>
        <v>2958.4417489378534</v>
      </c>
      <c r="CB20" s="25">
        <f t="shared" si="8"/>
        <v>2813.0134677567025</v>
      </c>
      <c r="CC20" s="25">
        <f t="shared" si="9"/>
        <v>2681.2492203563343</v>
      </c>
      <c r="CD20" s="25">
        <f t="shared" si="10"/>
        <v>2561.305859006603</v>
      </c>
      <c r="CE20" s="25">
        <f t="shared" si="34"/>
        <v>4551.748676459466</v>
      </c>
      <c r="CF20" s="25">
        <f t="shared" si="11"/>
        <v>4219.5202016350531</v>
      </c>
      <c r="CG20" s="25">
        <f t="shared" si="12"/>
        <v>3932.3056133355703</v>
      </c>
      <c r="CH20" s="25">
        <f t="shared" si="13"/>
        <v>3681.5614294892739</v>
      </c>
      <c r="CI20" s="25">
        <f t="shared" si="14"/>
        <v>3460.7733839331027</v>
      </c>
      <c r="CJ20" s="25">
        <f t="shared" si="15"/>
        <v>3264.8885855315734</v>
      </c>
      <c r="CK20" s="25">
        <f t="shared" si="16"/>
        <v>3089.928048890647</v>
      </c>
      <c r="CL20" s="25">
        <f t="shared" si="17"/>
        <v>2932.7161685123065</v>
      </c>
      <c r="CM20" s="25">
        <f t="shared" si="18"/>
        <v>2790.6879640443481</v>
      </c>
      <c r="CN20" s="25">
        <f t="shared" si="19"/>
        <v>2661.7492260264698</v>
      </c>
      <c r="CO20" s="26">
        <f>(EchelleFPAparam!$S$3/($U20+B$53)*COS((AG20-EchelleFPAparam!$AE16)*EchelleFPAparam!$C$3/EchelleFPAparam!$E$3))*(SIN('Standard Settings'!$F15)+SIN('Standard Settings'!$F15+EchelleFPAparam!$M$3+(EchelleFPAparam!$F$3*EchelleFPAparam!$B$6)*COS(EchelleFPAparam!$AC$3)-(AG20-1024)*SIN(EchelleFPAparam!$AC$3)*EchelleFPAparam!$C$3/EchelleFPAparam!$E$3))</f>
        <v>4438.9934873662787</v>
      </c>
      <c r="CP20" s="26">
        <f>(EchelleFPAparam!$S$3/($U20+C$53)*COS((AH20-EchelleFPAparam!$AE16)*EchelleFPAparam!$C$3/EchelleFPAparam!$E$3))*(SIN('Standard Settings'!$F15)+SIN('Standard Settings'!$F15+EchelleFPAparam!$M$3+(EchelleFPAparam!$F$3*EchelleFPAparam!$B$6)*COS(EchelleFPAparam!$AC$3)-(AH20-1024)*SIN(EchelleFPAparam!$AC$3)*EchelleFPAparam!$C$3/EchelleFPAparam!$E$3))</f>
        <v>4122.208450327902</v>
      </c>
      <c r="CQ20" s="26">
        <f>(EchelleFPAparam!$S$3/($U20+D$53)*COS((AI20-EchelleFPAparam!$AE16)*EchelleFPAparam!$C$3/EchelleFPAparam!$E$3))*(SIN('Standard Settings'!$F15)+SIN('Standard Settings'!$F15+EchelleFPAparam!$M$3+(EchelleFPAparam!$F$3*EchelleFPAparam!$B$6)*COS(EchelleFPAparam!$AC$3)-(AI20-1024)*SIN(EchelleFPAparam!$AC$3)*EchelleFPAparam!$C$3/EchelleFPAparam!$E$3))</f>
        <v>3847.7342347086319</v>
      </c>
      <c r="CR20" s="26">
        <f>(EchelleFPAparam!$S$3/($U20+E$53)*COS((AJ20-EchelleFPAparam!$AE16)*EchelleFPAparam!$C$3/EchelleFPAparam!$E$3))*(SIN('Standard Settings'!$F15)+SIN('Standard Settings'!$F15+EchelleFPAparam!$M$3+(EchelleFPAparam!$F$3*EchelleFPAparam!$B$6)*COS(EchelleFPAparam!$AC$3)-(AJ20-1024)*SIN(EchelleFPAparam!$AC$3)*EchelleFPAparam!$C$3/EchelleFPAparam!$E$3))</f>
        <v>3607.4724467291749</v>
      </c>
      <c r="CS20" s="26">
        <f>(EchelleFPAparam!$S$3/($U20+F$53)*COS((AK20-EchelleFPAparam!$AE16)*EchelleFPAparam!$C$3/EchelleFPAparam!$E$3))*(SIN('Standard Settings'!$F15)+SIN('Standard Settings'!$F15+EchelleFPAparam!$M$3+(EchelleFPAparam!$F$3*EchelleFPAparam!$B$6)*COS(EchelleFPAparam!$AC$3)-(AK20-1024)*SIN(EchelleFPAparam!$AC$3)*EchelleFPAparam!$C$3/EchelleFPAparam!$E$3))</f>
        <v>3395.4106752897655</v>
      </c>
      <c r="CT20" s="26">
        <f>(EchelleFPAparam!$S$3/($U20+G$53)*COS((AL20-EchelleFPAparam!$AE16)*EchelleFPAparam!$C$3/EchelleFPAparam!$E$3))*(SIN('Standard Settings'!$F15)+SIN('Standard Settings'!$F15+EchelleFPAparam!$M$3+(EchelleFPAparam!$F$3*EchelleFPAparam!$B$6)*COS(EchelleFPAparam!$AC$3)-(AL20-1024)*SIN(EchelleFPAparam!$AC$3)*EchelleFPAparam!$C$3/EchelleFPAparam!$E$3))</f>
        <v>3206.865705780378</v>
      </c>
      <c r="CU20" s="26">
        <f>(EchelleFPAparam!$S$3/($U20+H$53)*COS((AM20-EchelleFPAparam!$AE16)*EchelleFPAparam!$C$3/EchelleFPAparam!$E$3))*(SIN('Standard Settings'!$F15)+SIN('Standard Settings'!$F15+EchelleFPAparam!$M$3+(EchelleFPAparam!$F$3*EchelleFPAparam!$B$6)*COS(EchelleFPAparam!$AC$3)-(AM20-1024)*SIN(EchelleFPAparam!$AC$3)*EchelleFPAparam!$C$3/EchelleFPAparam!$E$3))</f>
        <v>3038.1356121841272</v>
      </c>
      <c r="CV20" s="26">
        <f>(EchelleFPAparam!$S$3/($U20+I$53)*COS((AN20-EchelleFPAparam!$AE16)*EchelleFPAparam!$C$3/EchelleFPAparam!$E$3))*(SIN('Standard Settings'!$F15)+SIN('Standard Settings'!$F15+EchelleFPAparam!$M$3+(EchelleFPAparam!$F$3*EchelleFPAparam!$B$6)*COS(EchelleFPAparam!$AC$3)-(AN20-1024)*SIN(EchelleFPAparam!$AC$3)*EchelleFPAparam!$C$3/EchelleFPAparam!$E$3))</f>
        <v>2886.2552331210982</v>
      </c>
      <c r="CW20" s="26">
        <f>(EchelleFPAparam!$S$3/($U20+J$53)*COS((AO20-EchelleFPAparam!$AE16)*EchelleFPAparam!$C$3/EchelleFPAparam!$E$3))*(SIN('Standard Settings'!$F15)+SIN('Standard Settings'!$F15+EchelleFPAparam!$M$3+(EchelleFPAparam!$F$3*EchelleFPAparam!$B$6)*COS(EchelleFPAparam!$AC$3)-(AO20-1024)*SIN(EchelleFPAparam!$AC$3)*EchelleFPAparam!$C$3/EchelleFPAparam!$E$3))</f>
        <v>2747.9483493219823</v>
      </c>
      <c r="CX20" s="26">
        <f>(EchelleFPAparam!$S$3/($U20+K$53)*COS((AP20-EchelleFPAparam!$AE16)*EchelleFPAparam!$C$3/EchelleFPAparam!$E$3))*(SIN('Standard Settings'!$F15)+SIN('Standard Settings'!$F15+EchelleFPAparam!$M$3+(EchelleFPAparam!$F$3*EchelleFPAparam!$B$6)*COS(EchelleFPAparam!$AC$3)-(AP20-1024)*SIN(EchelleFPAparam!$AC$3)*EchelleFPAparam!$C$3/EchelleFPAparam!$E$3))</f>
        <v>2623.0416061709834</v>
      </c>
      <c r="CY20" s="26">
        <f>(EchelleFPAparam!$S$3/($U20+B$53)*COS((AG20-EchelleFPAparam!$AE16)*EchelleFPAparam!$C$3/EchelleFPAparam!$E$3))*(SIN('Standard Settings'!$F15)+SIN('Standard Settings'!$F15+EchelleFPAparam!$M$3+EchelleFPAparam!$G$3*EchelleFPAparam!$B$6*COS(EchelleFPAparam!$AC$3)-(AG20-1024)*SIN(EchelleFPAparam!$AC$3)*EchelleFPAparam!$C$3/EchelleFPAparam!$E$3))</f>
        <v>4464.7500559085074</v>
      </c>
      <c r="CZ20" s="26">
        <f>(EchelleFPAparam!$S$3/($U20+C$53)*COS((AH20-EchelleFPAparam!$AE16)*EchelleFPAparam!$C$3/EchelleFPAparam!$E$3))*(SIN('Standard Settings'!$F15)+SIN('Standard Settings'!$F15+EchelleFPAparam!$M$3+EchelleFPAparam!$G$3*EchelleFPAparam!$B$6*COS(EchelleFPAparam!$AC$3)-(AH20-1024)*SIN(EchelleFPAparam!$AC$3)*EchelleFPAparam!$C$3/EchelleFPAparam!$E$3))</f>
        <v>4146.1230373238677</v>
      </c>
      <c r="DA20" s="26">
        <f>(EchelleFPAparam!$S$3/($U20+D$53)*COS((AI20-EchelleFPAparam!$AE16)*EchelleFPAparam!$C$3/EchelleFPAparam!$E$3))*(SIN('Standard Settings'!$F15)+SIN('Standard Settings'!$F15+EchelleFPAparam!$M$3+EchelleFPAparam!$G$3*EchelleFPAparam!$B$6*COS(EchelleFPAparam!$AC$3)-(AI20-1024)*SIN(EchelleFPAparam!$AC$3)*EchelleFPAparam!$C$3/EchelleFPAparam!$E$3))</f>
        <v>3870.0510343529818</v>
      </c>
      <c r="DB20" s="26">
        <f>(EchelleFPAparam!$S$3/($U20+E$53)*COS((AJ20-EchelleFPAparam!$AE16)*EchelleFPAparam!$C$3/EchelleFPAparam!$E$3))*(SIN('Standard Settings'!$F15)+SIN('Standard Settings'!$F15+EchelleFPAparam!$M$3+EchelleFPAparam!$G$3*EchelleFPAparam!$B$6*COS(EchelleFPAparam!$AC$3)-(AJ20-1024)*SIN(EchelleFPAparam!$AC$3)*EchelleFPAparam!$C$3/EchelleFPAparam!$E$3))</f>
        <v>3628.3912645896612</v>
      </c>
      <c r="DC20" s="26">
        <f>(EchelleFPAparam!$S$3/($U20+F$53)*COS((AK20-EchelleFPAparam!$AE16)*EchelleFPAparam!$C$3/EchelleFPAparam!$E$3))*(SIN('Standard Settings'!$F15)+SIN('Standard Settings'!$F15+EchelleFPAparam!$M$3+EchelleFPAparam!$G$3*EchelleFPAparam!$B$6*COS(EchelleFPAparam!$AC$3)-(AK20-1024)*SIN(EchelleFPAparam!$AC$3)*EchelleFPAparam!$C$3/EchelleFPAparam!$E$3))</f>
        <v>3415.096097024581</v>
      </c>
      <c r="DD20" s="26">
        <f>(EchelleFPAparam!$S$3/($U20+G$53)*COS((AL20-EchelleFPAparam!$AE16)*EchelleFPAparam!$C$3/EchelleFPAparam!$E$3))*(SIN('Standard Settings'!$F15)+SIN('Standard Settings'!$F15+EchelleFPAparam!$M$3+EchelleFPAparam!$G$3*EchelleFPAparam!$B$6*COS(EchelleFPAparam!$AC$3)-(AL20-1024)*SIN(EchelleFPAparam!$AC$3)*EchelleFPAparam!$C$3/EchelleFPAparam!$E$3))</f>
        <v>3225.4549009288439</v>
      </c>
      <c r="DE20" s="26">
        <f>(EchelleFPAparam!$S$3/($U20+H$53)*COS((AM20-EchelleFPAparam!$AE16)*EchelleFPAparam!$C$3/EchelleFPAparam!$E$3))*(SIN('Standard Settings'!$F15)+SIN('Standard Settings'!$F15+EchelleFPAparam!$M$3+EchelleFPAparam!$G$3*EchelleFPAparam!$B$6*COS(EchelleFPAparam!$AC$3)-(AM20-1024)*SIN(EchelleFPAparam!$AC$3)*EchelleFPAparam!$C$3/EchelleFPAparam!$E$3))</f>
        <v>3055.7440952992702</v>
      </c>
      <c r="DF20" s="26">
        <f>(EchelleFPAparam!$S$3/($U20+I$53)*COS((AN20-EchelleFPAparam!$AE16)*EchelleFPAparam!$C$3/EchelleFPAparam!$E$3))*(SIN('Standard Settings'!$F15)+SIN('Standard Settings'!$F15+EchelleFPAparam!$M$3+EchelleFPAparam!$G$3*EchelleFPAparam!$B$6*COS(EchelleFPAparam!$AC$3)-(AN20-1024)*SIN(EchelleFPAparam!$AC$3)*EchelleFPAparam!$C$3/EchelleFPAparam!$E$3))</f>
        <v>2902.9812570703916</v>
      </c>
      <c r="DG20" s="26">
        <f>(EchelleFPAparam!$S$3/($U20+J$53)*COS((AO20-EchelleFPAparam!$AE16)*EchelleFPAparam!$C$3/EchelleFPAparam!$E$3))*(SIN('Standard Settings'!$F15)+SIN('Standard Settings'!$F15+EchelleFPAparam!$M$3+EchelleFPAparam!$G$3*EchelleFPAparam!$B$6*COS(EchelleFPAparam!$AC$3)-(AO20-1024)*SIN(EchelleFPAparam!$AC$3)*EchelleFPAparam!$C$3/EchelleFPAparam!$E$3))</f>
        <v>2763.8928917528856</v>
      </c>
      <c r="DH20" s="26">
        <f>(EchelleFPAparam!$S$3/($U20+K$53)*COS((AP20-EchelleFPAparam!$AE16)*EchelleFPAparam!$C$3/EchelleFPAparam!$E$3))*(SIN('Standard Settings'!$F15)+SIN('Standard Settings'!$F15+EchelleFPAparam!$M$3+EchelleFPAparam!$G$3*EchelleFPAparam!$B$6*COS(EchelleFPAparam!$AC$3)-(AP20-1024)*SIN(EchelleFPAparam!$AC$3)*EchelleFPAparam!$C$3/EchelleFPAparam!$E$3))</f>
        <v>2638.2613966732092</v>
      </c>
      <c r="DI20" s="26">
        <f>(EchelleFPAparam!$S$3/($U20+B$53)*COS((AQ20-EchelleFPAparam!$AE16)*EchelleFPAparam!$C$3/EchelleFPAparam!$E$3))*(SIN('Standard Settings'!$F15)+SIN('Standard Settings'!$F15+EchelleFPAparam!$M$3+EchelleFPAparam!$H$3*EchelleFPAparam!$B$6*COS(EchelleFPAparam!$AC$3)-(AQ20-1024)*SIN(EchelleFPAparam!$AC$3)*EchelleFPAparam!$C$3/EchelleFPAparam!$E$3))</f>
        <v>4466.5131266590697</v>
      </c>
      <c r="DJ20" s="26">
        <f>(EchelleFPAparam!$S$3/($U20+C$53)*COS((AR20-EchelleFPAparam!$AE16)*EchelleFPAparam!$C$3/EchelleFPAparam!$E$3))*(SIN('Standard Settings'!$F15)+SIN('Standard Settings'!$F15+EchelleFPAparam!$M$3+EchelleFPAparam!$H$3*EchelleFPAparam!$B$6*COS(EchelleFPAparam!$AC$3)-(AR20-1024)*SIN(EchelleFPAparam!$AC$3)*EchelleFPAparam!$C$3/EchelleFPAparam!$E$3))</f>
        <v>4147.781192127939</v>
      </c>
      <c r="DK20" s="26">
        <f>(EchelleFPAparam!$S$3/($U20+D$53)*COS((AS20-EchelleFPAparam!$AE16)*EchelleFPAparam!$C$3/EchelleFPAparam!$E$3))*(SIN('Standard Settings'!$F15)+SIN('Standard Settings'!$F15+EchelleFPAparam!$M$3+EchelleFPAparam!$H$3*EchelleFPAparam!$B$6*COS(EchelleFPAparam!$AC$3)-(AS20-1024)*SIN(EchelleFPAparam!$AC$3)*EchelleFPAparam!$C$3/EchelleFPAparam!$E$3))</f>
        <v>3871.5962788493862</v>
      </c>
      <c r="DL20" s="26">
        <f>(EchelleFPAparam!$S$3/($U20+E$53)*COS((AT20-EchelleFPAparam!$AE16)*EchelleFPAparam!$C$3/EchelleFPAparam!$E$3))*(SIN('Standard Settings'!$F15)+SIN('Standard Settings'!$F15+EchelleFPAparam!$M$3+EchelleFPAparam!$H$3*EchelleFPAparam!$B$6*COS(EchelleFPAparam!$AC$3)-(AT20-1024)*SIN(EchelleFPAparam!$AC$3)*EchelleFPAparam!$C$3/EchelleFPAparam!$E$3))</f>
        <v>3629.837073122053</v>
      </c>
      <c r="DM20" s="26">
        <f>(EchelleFPAparam!$S$3/($U20+F$53)*COS((AU20-EchelleFPAparam!$AE16)*EchelleFPAparam!$C$3/EchelleFPAparam!$E$3))*(SIN('Standard Settings'!$F15)+SIN('Standard Settings'!$F15+EchelleFPAparam!$M$3+EchelleFPAparam!$H$3*EchelleFPAparam!$B$6*COS(EchelleFPAparam!$AC$3)-(AU20-1024)*SIN(EchelleFPAparam!$AC$3)*EchelleFPAparam!$C$3/EchelleFPAparam!$E$3))</f>
        <v>3416.4540739349968</v>
      </c>
      <c r="DN20" s="26">
        <f>(EchelleFPAparam!$S$3/($U20+G$53)*COS((AV20-EchelleFPAparam!$AE16)*EchelleFPAparam!$C$3/EchelleFPAparam!$E$3))*(SIN('Standard Settings'!$F15)+SIN('Standard Settings'!$F15+EchelleFPAparam!$M$3+EchelleFPAparam!$H$3*EchelleFPAparam!$B$6*COS(EchelleFPAparam!$AC$3)-(AV20-1024)*SIN(EchelleFPAparam!$AC$3)*EchelleFPAparam!$C$3/EchelleFPAparam!$E$3))</f>
        <v>3226.7347315113348</v>
      </c>
      <c r="DO20" s="26">
        <f>(EchelleFPAparam!$S$3/($U20+H$53)*COS((AW20-EchelleFPAparam!$AE16)*EchelleFPAparam!$C$3/EchelleFPAparam!$E$3))*(SIN('Standard Settings'!$F15)+SIN('Standard Settings'!$F15+EchelleFPAparam!$M$3+EchelleFPAparam!$H$3*EchelleFPAparam!$B$6*COS(EchelleFPAparam!$AC$3)-(AW20-1024)*SIN(EchelleFPAparam!$AC$3)*EchelleFPAparam!$C$3/EchelleFPAparam!$E$3))</f>
        <v>3056.9539792023143</v>
      </c>
      <c r="DP20" s="26">
        <f>(EchelleFPAparam!$S$3/($U20+I$53)*COS((AX20-EchelleFPAparam!$AE16)*EchelleFPAparam!$C$3/EchelleFPAparam!$E$3))*(SIN('Standard Settings'!$F15)+SIN('Standard Settings'!$F15+EchelleFPAparam!$M$3+EchelleFPAparam!$H$3*EchelleFPAparam!$B$6*COS(EchelleFPAparam!$AC$3)-(AX20-1024)*SIN(EchelleFPAparam!$AC$3)*EchelleFPAparam!$C$3/EchelleFPAparam!$E$3))</f>
        <v>2904.1168593375655</v>
      </c>
      <c r="DQ20" s="26">
        <f>(EchelleFPAparam!$S$3/($U20+J$53)*COS((AY20-EchelleFPAparam!$AE16)*EchelleFPAparam!$C$3/EchelleFPAparam!$E$3))*(SIN('Standard Settings'!$F15)+SIN('Standard Settings'!$F15+EchelleFPAparam!$M$3+EchelleFPAparam!$H$3*EchelleFPAparam!$B$6*COS(EchelleFPAparam!$AC$3)-(AY20-1024)*SIN(EchelleFPAparam!$AC$3)*EchelleFPAparam!$C$3/EchelleFPAparam!$E$3))</f>
        <v>2765.836932236341</v>
      </c>
      <c r="DR20" s="26">
        <f>(EchelleFPAparam!$S$3/($U20+K$53)*COS((AZ20-EchelleFPAparam!$AE16)*EchelleFPAparam!$C$3/EchelleFPAparam!$E$3))*(SIN('Standard Settings'!$F15)+SIN('Standard Settings'!$F15+EchelleFPAparam!$M$3+EchelleFPAparam!$H$3*EchelleFPAparam!$B$6*COS(EchelleFPAparam!$AC$3)-(AZ20-1024)*SIN(EchelleFPAparam!$AC$3)*EchelleFPAparam!$C$3/EchelleFPAparam!$E$3))</f>
        <v>2639.3032112076326</v>
      </c>
      <c r="DS20" s="26">
        <f>(EchelleFPAparam!$S$3/($U20+B$53)*COS((AQ20-EchelleFPAparam!$AE16)*EchelleFPAparam!$C$3/EchelleFPAparam!$E$3))*(SIN('Standard Settings'!$F15)+SIN('Standard Settings'!$F15+EchelleFPAparam!$M$3+EchelleFPAparam!$I$3*EchelleFPAparam!$B$6*COS(EchelleFPAparam!$AC$3)-(AQ20-1024)*SIN(EchelleFPAparam!$AC$3)*EchelleFPAparam!$C$3/EchelleFPAparam!$E$3))</f>
        <v>4490.842543640365</v>
      </c>
      <c r="DT20" s="26">
        <f>(EchelleFPAparam!$S$3/($U20+C$53)*COS((AR20-EchelleFPAparam!$AE16)*EchelleFPAparam!$C$3/EchelleFPAparam!$E$3))*(SIN('Standard Settings'!$F15)+SIN('Standard Settings'!$F15+EchelleFPAparam!$M$3+EchelleFPAparam!$I$3*EchelleFPAparam!$B$6*COS(EchelleFPAparam!$AC$3)-(AR20-1024)*SIN(EchelleFPAparam!$AC$3)*EchelleFPAparam!$C$3/EchelleFPAparam!$E$3))</f>
        <v>4170.3702590739913</v>
      </c>
      <c r="DU20" s="26">
        <f>(EchelleFPAparam!$S$3/($U20+D$53)*COS((AS20-EchelleFPAparam!$AE16)*EchelleFPAparam!$C$3/EchelleFPAparam!$E$3))*(SIN('Standard Settings'!$F15)+SIN('Standard Settings'!$F15+EchelleFPAparam!$M$3+EchelleFPAparam!$I$3*EchelleFPAparam!$B$6*COS(EchelleFPAparam!$AC$3)-(AS20-1024)*SIN(EchelleFPAparam!$AC$3)*EchelleFPAparam!$C$3/EchelleFPAparam!$E$3))</f>
        <v>3892.6757430281968</v>
      </c>
      <c r="DV20" s="26">
        <f>(EchelleFPAparam!$S$3/($U20+E$53)*COS((AT20-EchelleFPAparam!$AE16)*EchelleFPAparam!$C$3/EchelleFPAparam!$E$3))*(SIN('Standard Settings'!$F15)+SIN('Standard Settings'!$F15+EchelleFPAparam!$M$3+EchelleFPAparam!$I$3*EchelleFPAparam!$B$6*COS(EchelleFPAparam!$AC$3)-(AT20-1024)*SIN(EchelleFPAparam!$AC$3)*EchelleFPAparam!$C$3/EchelleFPAparam!$E$3))</f>
        <v>3649.5957563706897</v>
      </c>
      <c r="DW20" s="26">
        <f>(EchelleFPAparam!$S$3/($U20+F$53)*COS((AU20-EchelleFPAparam!$AE16)*EchelleFPAparam!$C$3/EchelleFPAparam!$E$3))*(SIN('Standard Settings'!$F15)+SIN('Standard Settings'!$F15+EchelleFPAparam!$M$3+EchelleFPAparam!$I$3*EchelleFPAparam!$B$6*COS(EchelleFPAparam!$AC$3)-(AU20-1024)*SIN(EchelleFPAparam!$AC$3)*EchelleFPAparam!$C$3/EchelleFPAparam!$E$3))</f>
        <v>3435.0475040869642</v>
      </c>
      <c r="DX20" s="26">
        <f>(EchelleFPAparam!$S$3/($U20+G$53)*COS((AV20-EchelleFPAparam!$AE16)*EchelleFPAparam!$C$3/EchelleFPAparam!$E$3))*(SIN('Standard Settings'!$F15)+SIN('Standard Settings'!$F15+EchelleFPAparam!$M$3+EchelleFPAparam!$I$3*EchelleFPAparam!$B$6*COS(EchelleFPAparam!$AC$3)-(AV20-1024)*SIN(EchelleFPAparam!$AC$3)*EchelleFPAparam!$C$3/EchelleFPAparam!$E$3))</f>
        <v>3244.292525396761</v>
      </c>
      <c r="DY20" s="26">
        <f>(EchelleFPAparam!$S$3/($U20+H$53)*COS((AW20-EchelleFPAparam!$AE16)*EchelleFPAparam!$C$3/EchelleFPAparam!$E$3))*(SIN('Standard Settings'!$F15)+SIN('Standard Settings'!$F15+EchelleFPAparam!$M$3+EchelleFPAparam!$I$3*EchelleFPAparam!$B$6*COS(EchelleFPAparam!$AC$3)-(AW20-1024)*SIN(EchelleFPAparam!$AC$3)*EchelleFPAparam!$C$3/EchelleFPAparam!$E$3))</f>
        <v>3073.5852886592747</v>
      </c>
      <c r="DZ20" s="26">
        <f>(EchelleFPAparam!$S$3/($U20+I$53)*COS((AX20-EchelleFPAparam!$AE16)*EchelleFPAparam!$C$3/EchelleFPAparam!$E$3))*(SIN('Standard Settings'!$F15)+SIN('Standard Settings'!$F15+EchelleFPAparam!$M$3+EchelleFPAparam!$I$3*EchelleFPAparam!$B$6*COS(EchelleFPAparam!$AC$3)-(AX20-1024)*SIN(EchelleFPAparam!$AC$3)*EchelleFPAparam!$C$3/EchelleFPAparam!$E$3))</f>
        <v>2919.9157979526558</v>
      </c>
      <c r="EA20" s="26">
        <f>(EchelleFPAparam!$S$3/($U20+J$53)*COS((AY20-EchelleFPAparam!$AE16)*EchelleFPAparam!$C$3/EchelleFPAparam!$E$3))*(SIN('Standard Settings'!$F15)+SIN('Standard Settings'!$F15+EchelleFPAparam!$M$3+EchelleFPAparam!$I$3*EchelleFPAparam!$B$6*COS(EchelleFPAparam!$AC$3)-(AY20-1024)*SIN(EchelleFPAparam!$AC$3)*EchelleFPAparam!$C$3/EchelleFPAparam!$E$3))</f>
        <v>2780.8822620962155</v>
      </c>
      <c r="EB20" s="26">
        <f>(EchelleFPAparam!$S$3/($U20+K$53)*COS((AZ20-EchelleFPAparam!$AE16)*EchelleFPAparam!$C$3/EchelleFPAparam!$E$3))*(SIN('Standard Settings'!$F15)+SIN('Standard Settings'!$F15+EchelleFPAparam!$M$3+EchelleFPAparam!$I$3*EchelleFPAparam!$B$6*COS(EchelleFPAparam!$AC$3)-(AZ20-1024)*SIN(EchelleFPAparam!$AC$3)*EchelleFPAparam!$C$3/EchelleFPAparam!$E$3))</f>
        <v>2653.6796848783979</v>
      </c>
      <c r="EC20" s="26">
        <f>(EchelleFPAparam!$S$3/($U20+B$53)*COS((BA20-EchelleFPAparam!$AE16)*EchelleFPAparam!$C$3/EchelleFPAparam!$E$3))*(SIN('Standard Settings'!$F15)+SIN('Standard Settings'!$F15+EchelleFPAparam!$M$3+EchelleFPAparam!$J$3*EchelleFPAparam!$B$6*COS(EchelleFPAparam!$AC$3)-(BA20-1024)*SIN(EchelleFPAparam!$AC$3)*EchelleFPAparam!$C$3/EchelleFPAparam!$E$3))</f>
        <v>4492.5524811136165</v>
      </c>
      <c r="ED20" s="26">
        <f>(EchelleFPAparam!$S$3/($U20+C$53)*COS((BB20-EchelleFPAparam!$AE16)*EchelleFPAparam!$C$3/EchelleFPAparam!$E$3))*(SIN('Standard Settings'!$F15)+SIN('Standard Settings'!$F15+EchelleFPAparam!$M$3+EchelleFPAparam!$J$3*EchelleFPAparam!$B$6*COS(EchelleFPAparam!$AC$3)-(BB20-1024)*SIN(EchelleFPAparam!$AC$3)*EchelleFPAparam!$C$3/EchelleFPAparam!$E$3))</f>
        <v>4171.9779798496493</v>
      </c>
      <c r="EE20" s="26">
        <f>(EchelleFPAparam!$S$3/($U20+D$53)*COS((BC20-EchelleFPAparam!$AE16)*EchelleFPAparam!$C$3/EchelleFPAparam!$E$3))*(SIN('Standard Settings'!$F15)+SIN('Standard Settings'!$F15+EchelleFPAparam!$M$3+EchelleFPAparam!$J$3*EchelleFPAparam!$B$6*COS(EchelleFPAparam!$AC$3)-(BC20-1024)*SIN(EchelleFPAparam!$AC$3)*EchelleFPAparam!$C$3/EchelleFPAparam!$E$3))</f>
        <v>3894.1739948140794</v>
      </c>
      <c r="EF20" s="26">
        <f>(EchelleFPAparam!$S$3/($U20+E$53)*COS((BD20-EchelleFPAparam!$AE16)*EchelleFPAparam!$C$3/EchelleFPAparam!$E$3))*(SIN('Standard Settings'!$F15)+SIN('Standard Settings'!$F15+EchelleFPAparam!$M$3+EchelleFPAparam!$J$3*EchelleFPAparam!$B$6*COS(EchelleFPAparam!$AC$3)-(BD20-1024)*SIN(EchelleFPAparam!$AC$3)*EchelleFPAparam!$C$3/EchelleFPAparam!$E$3))</f>
        <v>3650.9977205432788</v>
      </c>
      <c r="EG20" s="26">
        <f>(EchelleFPAparam!$S$3/($U20+F$53)*COS((BE20-EchelleFPAparam!$AE16)*EchelleFPAparam!$C$3/EchelleFPAparam!$E$3))*(SIN('Standard Settings'!$F15)+SIN('Standard Settings'!$F15+EchelleFPAparam!$M$3+EchelleFPAparam!$J$3*EchelleFPAparam!$B$6*COS(EchelleFPAparam!$AC$3)-(BE20-1024)*SIN(EchelleFPAparam!$AC$3)*EchelleFPAparam!$C$3/EchelleFPAparam!$E$3))</f>
        <v>3436.3642572773015</v>
      </c>
      <c r="EH20" s="26">
        <f>(EchelleFPAparam!$S$3/($U20+G$53)*COS((BF20-EchelleFPAparam!$AE16)*EchelleFPAparam!$C$3/EchelleFPAparam!$E$3))*(SIN('Standard Settings'!$F15)+SIN('Standard Settings'!$F15+EchelleFPAparam!$M$3+EchelleFPAparam!$J$3*EchelleFPAparam!$B$6*COS(EchelleFPAparam!$AC$3)-(BF20-1024)*SIN(EchelleFPAparam!$AC$3)*EchelleFPAparam!$C$3/EchelleFPAparam!$E$3))</f>
        <v>3245.5333714529215</v>
      </c>
      <c r="EI20" s="26">
        <f>(EchelleFPAparam!$S$3/($U20+H$53)*COS((BG20-EchelleFPAparam!$AE16)*EchelleFPAparam!$C$3/EchelleFPAparam!$E$3))*(SIN('Standard Settings'!$F15)+SIN('Standard Settings'!$F15+EchelleFPAparam!$M$3+EchelleFPAparam!$J$3*EchelleFPAparam!$B$6*COS(EchelleFPAparam!$AC$3)-(BG20-1024)*SIN(EchelleFPAparam!$AC$3)*EchelleFPAparam!$C$3/EchelleFPAparam!$E$3))</f>
        <v>3074.7582463198833</v>
      </c>
      <c r="EJ20" s="26">
        <f>(EchelleFPAparam!$S$3/($U20+I$53)*COS((BH20-EchelleFPAparam!$AE16)*EchelleFPAparam!$C$3/EchelleFPAparam!$E$3))*(SIN('Standard Settings'!$F15)+SIN('Standard Settings'!$F15+EchelleFPAparam!$M$3+EchelleFPAparam!$J$3*EchelleFPAparam!$B$6*COS(EchelleFPAparam!$AC$3)-(BH20-1024)*SIN(EchelleFPAparam!$AC$3)*EchelleFPAparam!$C$3/EchelleFPAparam!$E$3))</f>
        <v>2921.0380958916899</v>
      </c>
      <c r="EK20" s="26">
        <f>(EchelleFPAparam!$S$3/($U20+J$53)*COS((BI20-EchelleFPAparam!$AE16)*EchelleFPAparam!$C$3/EchelleFPAparam!$E$3))*(SIN('Standard Settings'!$F15)+SIN('Standard Settings'!$F15+EchelleFPAparam!$M$3+EchelleFPAparam!$J$3*EchelleFPAparam!$B$6*COS(EchelleFPAparam!$AC$3)-(BI20-1024)*SIN(EchelleFPAparam!$AC$3)*EchelleFPAparam!$C$3/EchelleFPAparam!$E$3))</f>
        <v>2781.2588944444842</v>
      </c>
      <c r="EL20" s="26">
        <f>(EchelleFPAparam!$S$3/($U20+K$53)*COS((BJ20-EchelleFPAparam!$AE16)*EchelleFPAparam!$C$3/EchelleFPAparam!$E$3))*(SIN('Standard Settings'!$F15)+SIN('Standard Settings'!$F15+EchelleFPAparam!$M$3+EchelleFPAparam!$J$3*EchelleFPAparam!$B$6*COS(EchelleFPAparam!$AC$3)-(BJ20-1024)*SIN(EchelleFPAparam!$AC$3)*EchelleFPAparam!$C$3/EchelleFPAparam!$E$3))</f>
        <v>2654.6901024762278</v>
      </c>
      <c r="EM20" s="26">
        <f>(EchelleFPAparam!$S$3/($U20+B$53)*COS((BA20-EchelleFPAparam!$AE16)*EchelleFPAparam!$C$3/EchelleFPAparam!$E$3))*(SIN('Standard Settings'!$F15)+SIN('Standard Settings'!$F15+EchelleFPAparam!$M$3+EchelleFPAparam!$K$3*EchelleFPAparam!$B$6*COS(EchelleFPAparam!$AC$3)-(BA20-1024)*SIN(EchelleFPAparam!$AC$3)*EchelleFPAparam!$C$3/EchelleFPAparam!$E$3))</f>
        <v>4515.4350940504391</v>
      </c>
      <c r="EN20" s="26">
        <f>(EchelleFPAparam!$S$3/($U20+C$53)*COS((BB20-EchelleFPAparam!$AE16)*EchelleFPAparam!$C$3/EchelleFPAparam!$E$3))*(SIN('Standard Settings'!$F15)+SIN('Standard Settings'!$F15+EchelleFPAparam!$M$3+EchelleFPAparam!$K$3*EchelleFPAparam!$B$6*COS(EchelleFPAparam!$AC$3)-(BB20-1024)*SIN(EchelleFPAparam!$AC$3)*EchelleFPAparam!$C$3/EchelleFPAparam!$E$3))</f>
        <v>4193.2232677940865</v>
      </c>
      <c r="EO20" s="26">
        <f>(EchelleFPAparam!$S$3/($U20+D$53)*COS((BC20-EchelleFPAparam!$AE16)*EchelleFPAparam!$C$3/EchelleFPAparam!$E$3))*(SIN('Standard Settings'!$F15)+SIN('Standard Settings'!$F15+EchelleFPAparam!$M$3+EchelleFPAparam!$K$3*EchelleFPAparam!$B$6*COS(EchelleFPAparam!$AC$3)-(BC20-1024)*SIN(EchelleFPAparam!$AC$3)*EchelleFPAparam!$C$3/EchelleFPAparam!$E$3))</f>
        <v>3913.9990844125209</v>
      </c>
      <c r="EP20" s="26">
        <f>(EchelleFPAparam!$S$3/($U20+E$53)*COS((BD20-EchelleFPAparam!$AE16)*EchelleFPAparam!$C$3/EchelleFPAparam!$E$3))*(SIN('Standard Settings'!$F15)+SIN('Standard Settings'!$F15+EchelleFPAparam!$M$3+EchelleFPAparam!$K$3*EchelleFPAparam!$B$6*COS(EchelleFPAparam!$AC$3)-(BD20-1024)*SIN(EchelleFPAparam!$AC$3)*EchelleFPAparam!$C$3/EchelleFPAparam!$E$3))</f>
        <v>3669.580294401042</v>
      </c>
      <c r="EQ20" s="26">
        <f>(EchelleFPAparam!$S$3/($U20+F$53)*COS((BE20-EchelleFPAparam!$AE16)*EchelleFPAparam!$C$3/EchelleFPAparam!$E$3))*(SIN('Standard Settings'!$F15)+SIN('Standard Settings'!$F15+EchelleFPAparam!$M$3+EchelleFPAparam!$K$3*EchelleFPAparam!$B$6*COS(EchelleFPAparam!$AC$3)-(BE20-1024)*SIN(EchelleFPAparam!$AC$3)*EchelleFPAparam!$C$3/EchelleFPAparam!$E$3))</f>
        <v>3453.8506607039758</v>
      </c>
      <c r="ER20" s="26">
        <f>(EchelleFPAparam!$S$3/($U20+G$53)*COS((BF20-EchelleFPAparam!$AE16)*EchelleFPAparam!$C$3/EchelleFPAparam!$E$3))*(SIN('Standard Settings'!$F15)+SIN('Standard Settings'!$F15+EchelleFPAparam!$M$3+EchelleFPAparam!$K$3*EchelleFPAparam!$B$6*COS(EchelleFPAparam!$AC$3)-(BF20-1024)*SIN(EchelleFPAparam!$AC$3)*EchelleFPAparam!$C$3/EchelleFPAparam!$E$3))</f>
        <v>3262.0455649308096</v>
      </c>
      <c r="ES20" s="26">
        <f>(EchelleFPAparam!$S$3/($U20+H$53)*COS((BG20-EchelleFPAparam!$AE16)*EchelleFPAparam!$C$3/EchelleFPAparam!$E$3))*(SIN('Standard Settings'!$F15)+SIN('Standard Settings'!$F15+EchelleFPAparam!$M$3+EchelleFPAparam!$K$3*EchelleFPAparam!$B$6*COS(EchelleFPAparam!$AC$3)-(BG20-1024)*SIN(EchelleFPAparam!$AC$3)*EchelleFPAparam!$C$3/EchelleFPAparam!$E$3))</f>
        <v>3090.398924202254</v>
      </c>
      <c r="ET20" s="26">
        <f>(EchelleFPAparam!$S$3/($U20+I$53)*COS((BH20-EchelleFPAparam!$AE16)*EchelleFPAparam!$C$3/EchelleFPAparam!$E$3))*(SIN('Standard Settings'!$F15)+SIN('Standard Settings'!$F15+EchelleFPAparam!$M$3+EchelleFPAparam!$K$3*EchelleFPAparam!$B$6*COS(EchelleFPAparam!$AC$3)-(BH20-1024)*SIN(EchelleFPAparam!$AC$3)*EchelleFPAparam!$C$3/EchelleFPAparam!$E$3))</f>
        <v>2935.8945581397597</v>
      </c>
      <c r="EU20" s="26">
        <f>(EchelleFPAparam!$S$3/($U20+J$53)*COS((BI20-EchelleFPAparam!$AE16)*EchelleFPAparam!$C$3/EchelleFPAparam!$E$3))*(SIN('Standard Settings'!$F15)+SIN('Standard Settings'!$F15+EchelleFPAparam!$M$3+EchelleFPAparam!$K$3*EchelleFPAparam!$B$6*COS(EchelleFPAparam!$AC$3)-(BI20-1024)*SIN(EchelleFPAparam!$AC$3)*EchelleFPAparam!$C$3/EchelleFPAparam!$E$3))</f>
        <v>2795.4229948174043</v>
      </c>
      <c r="EV20" s="26">
        <f>(EchelleFPAparam!$S$3/($U20+K$53)*COS((BJ20-EchelleFPAparam!$AE16)*EchelleFPAparam!$C$3/EchelleFPAparam!$E$3))*(SIN('Standard Settings'!$F15)+SIN('Standard Settings'!$F15+EchelleFPAparam!$M$3+EchelleFPAparam!$K$3*EchelleFPAparam!$B$6*COS(EchelleFPAparam!$AC$3)-(BJ20-1024)*SIN(EchelleFPAparam!$AC$3)*EchelleFPAparam!$C$3/EchelleFPAparam!$E$3))</f>
        <v>2668.2116464843502</v>
      </c>
      <c r="EW20" s="60">
        <f t="shared" si="40"/>
        <v>2886.2552331210982</v>
      </c>
      <c r="EX20" s="60">
        <f t="shared" si="41"/>
        <v>4193.2232677940865</v>
      </c>
      <c r="EY20" s="90">
        <v>0.39</v>
      </c>
      <c r="EZ20" s="90">
        <v>0.36</v>
      </c>
      <c r="FA20" s="50">
        <v>10000</v>
      </c>
      <c r="FB20" s="95">
        <v>1000</v>
      </c>
      <c r="FC20" s="95">
        <v>1000</v>
      </c>
      <c r="FD20" s="50">
        <v>2500</v>
      </c>
      <c r="FE20" s="50">
        <v>2000</v>
      </c>
      <c r="FF20" s="50">
        <v>5000</v>
      </c>
      <c r="FG20" s="95">
        <v>1000</v>
      </c>
      <c r="FH20" s="95">
        <f t="shared" si="27"/>
        <v>250</v>
      </c>
      <c r="FI20" s="95">
        <f t="shared" si="28"/>
        <v>250</v>
      </c>
      <c r="FJ20" s="50">
        <f t="shared" si="29"/>
        <v>625</v>
      </c>
      <c r="FK20" s="50">
        <f t="shared" si="30"/>
        <v>500</v>
      </c>
      <c r="FL20" s="50">
        <f t="shared" si="31"/>
        <v>1250</v>
      </c>
      <c r="FM20" s="95">
        <f t="shared" si="32"/>
        <v>250</v>
      </c>
      <c r="FN20" s="50">
        <v>500</v>
      </c>
      <c r="FO20" s="91">
        <f>1/(F20*EchelleFPAparam!$Q$3)</f>
        <v>-4251.583754498407</v>
      </c>
      <c r="FP20" s="91">
        <f t="shared" si="22"/>
        <v>-38.599377721926423</v>
      </c>
      <c r="FQ20" s="50">
        <v>-999999</v>
      </c>
      <c r="FR20" s="50">
        <v>-999999</v>
      </c>
      <c r="FS20" s="90">
        <v>1</v>
      </c>
      <c r="FT20" s="90">
        <v>1432.2860000000001</v>
      </c>
      <c r="FU20" s="90">
        <v>831.79</v>
      </c>
      <c r="FV20" s="50">
        <v>-999999</v>
      </c>
      <c r="FW20" s="50">
        <v>-999999</v>
      </c>
      <c r="FX20" s="50">
        <v>-999999</v>
      </c>
      <c r="FY20" s="90">
        <v>1</v>
      </c>
      <c r="FZ20" s="90">
        <v>962.91899999999998</v>
      </c>
      <c r="GA20" s="90">
        <v>1588.0509999999999</v>
      </c>
      <c r="GB20" s="50">
        <v>-999999</v>
      </c>
      <c r="GC20" s="50">
        <v>-999999</v>
      </c>
      <c r="GD20" s="50">
        <v>-999999</v>
      </c>
      <c r="GE20" s="90">
        <v>2</v>
      </c>
      <c r="GF20" s="90">
        <v>151.905</v>
      </c>
      <c r="GG20" s="90">
        <v>838.16800000000001</v>
      </c>
      <c r="GH20" s="50">
        <v>-999999</v>
      </c>
      <c r="GI20" s="50">
        <v>-999999</v>
      </c>
      <c r="GJ20" s="50">
        <v>-999999</v>
      </c>
      <c r="GK20" s="90">
        <v>3</v>
      </c>
      <c r="GL20" s="90">
        <v>190.501</v>
      </c>
      <c r="GM20" s="90">
        <v>542.22500000000002</v>
      </c>
      <c r="GN20" s="50">
        <v>-999999</v>
      </c>
      <c r="GO20" s="50">
        <v>-999999</v>
      </c>
      <c r="GP20" s="50">
        <v>-999999</v>
      </c>
      <c r="GQ20" s="50">
        <v>-999999</v>
      </c>
      <c r="GR20" s="50">
        <v>-999999</v>
      </c>
      <c r="GS20" s="50">
        <v>-999999</v>
      </c>
      <c r="GT20" s="50">
        <v>-999999</v>
      </c>
      <c r="GU20" s="50">
        <v>-999999</v>
      </c>
      <c r="GV20" s="50">
        <v>-999999</v>
      </c>
      <c r="GW20" s="50">
        <v>-999999</v>
      </c>
      <c r="GX20" s="50">
        <v>-999999</v>
      </c>
      <c r="GY20" s="50">
        <v>-999999</v>
      </c>
      <c r="GZ20" s="50">
        <v>-999999</v>
      </c>
      <c r="HA20" s="50">
        <v>-999999</v>
      </c>
      <c r="HB20" s="50">
        <v>-999999</v>
      </c>
      <c r="HC20" s="50">
        <v>-999999</v>
      </c>
      <c r="HD20" s="50">
        <v>-999999</v>
      </c>
      <c r="HE20" s="50">
        <v>-999999</v>
      </c>
      <c r="HF20" s="50">
        <v>-999999</v>
      </c>
      <c r="HG20" s="50">
        <v>-999999</v>
      </c>
      <c r="HH20" s="50">
        <v>-999999</v>
      </c>
      <c r="HI20" s="50">
        <v>-999999</v>
      </c>
      <c r="HJ20" s="50">
        <v>-999999</v>
      </c>
      <c r="HK20" s="50">
        <v>-999999</v>
      </c>
      <c r="HL20" s="50">
        <v>-999999</v>
      </c>
      <c r="HM20" s="50">
        <v>-999999</v>
      </c>
      <c r="HN20" s="50">
        <v>-999999</v>
      </c>
      <c r="HO20" s="50">
        <v>-999999</v>
      </c>
      <c r="HP20" s="50">
        <v>-999999</v>
      </c>
      <c r="HQ20" s="50">
        <v>-999999</v>
      </c>
      <c r="HR20" s="50">
        <v>-999999</v>
      </c>
      <c r="HS20" s="50">
        <v>-999999</v>
      </c>
      <c r="HT20" s="50">
        <v>-999999</v>
      </c>
      <c r="HU20" s="50">
        <v>-999999</v>
      </c>
      <c r="HV20" s="50">
        <v>-999999</v>
      </c>
      <c r="HW20" s="50">
        <v>-999999</v>
      </c>
      <c r="HX20" s="50">
        <v>-999999</v>
      </c>
      <c r="HY20" s="50"/>
      <c r="HZ20" s="50"/>
      <c r="IA20" s="50"/>
      <c r="IB20" s="50"/>
      <c r="IC20" s="50"/>
      <c r="ID20" s="50"/>
      <c r="IE20" s="50"/>
      <c r="IF20" s="50"/>
      <c r="IG20" s="50"/>
      <c r="IH20" s="50"/>
      <c r="II20" s="50"/>
      <c r="IJ20" s="50"/>
      <c r="IK20" s="50"/>
      <c r="IL20" s="50"/>
      <c r="IM20" s="50"/>
      <c r="IN20" s="50"/>
      <c r="IO20" s="50"/>
      <c r="IP20" s="50"/>
      <c r="IQ20" s="50"/>
      <c r="IR20" s="50"/>
      <c r="IS20" s="50"/>
      <c r="IT20" s="50"/>
      <c r="IU20" s="50"/>
      <c r="IV20" s="50"/>
      <c r="IW20" s="50"/>
      <c r="IX20" s="50"/>
      <c r="IY20" s="50"/>
      <c r="IZ20" s="50"/>
      <c r="JA20" s="50"/>
      <c r="JB20" s="50"/>
      <c r="JC20" s="50"/>
      <c r="JD20" s="50"/>
      <c r="JE20" s="50"/>
      <c r="JF20" s="50"/>
      <c r="JG20" s="50"/>
      <c r="JH20" s="50"/>
      <c r="JI20" s="50"/>
      <c r="JJ20" s="50"/>
      <c r="JK20" s="50"/>
      <c r="JL20" s="50"/>
      <c r="JM20" s="50"/>
      <c r="JN20" s="50"/>
      <c r="JO20" s="50"/>
      <c r="JP20" s="50"/>
      <c r="JQ20" s="50"/>
      <c r="JR20" s="50"/>
      <c r="JS20" s="50"/>
      <c r="JT20" s="50"/>
      <c r="JU20" s="50"/>
      <c r="JV20" s="50"/>
      <c r="JW20" s="52">
        <f t="shared" si="23"/>
        <v>2719.911118690964</v>
      </c>
      <c r="JX20" s="27">
        <f t="shared" si="24"/>
        <v>377349.67660572106</v>
      </c>
      <c r="JY20" s="107">
        <f>JW20*EchelleFPAparam!$Q$3</f>
        <v>-2.590715340553143E-2</v>
      </c>
      <c r="KA20" s="19"/>
      <c r="KB20" s="19"/>
      <c r="KC20" s="19"/>
      <c r="KD20" s="19"/>
      <c r="KE20" s="19"/>
      <c r="KF20" s="19"/>
      <c r="KG20" s="19"/>
      <c r="KH20" s="19"/>
      <c r="KI20" s="19"/>
      <c r="KJ20" s="19"/>
      <c r="KK20" s="19"/>
      <c r="KL20" s="19"/>
      <c r="KM20" s="19"/>
      <c r="KW20" s="19"/>
      <c r="KX20" s="19"/>
      <c r="KY20" s="19"/>
      <c r="KZ20" s="19"/>
      <c r="LA20" s="19"/>
      <c r="LB20" s="19"/>
      <c r="LC20" s="19"/>
      <c r="LD20" s="19"/>
      <c r="LE20" s="19"/>
      <c r="LF20" s="19"/>
    </row>
    <row r="21" spans="1:318" x14ac:dyDescent="0.2">
      <c r="A21" s="53">
        <f t="shared" si="35"/>
        <v>15</v>
      </c>
      <c r="B21" s="96">
        <f t="shared" si="0"/>
        <v>3411.6084651258498</v>
      </c>
      <c r="C21" s="27" t="str">
        <f>'Standard Settings'!B16</f>
        <v>L/2/7</v>
      </c>
      <c r="D21" s="27">
        <f>'Standard Settings'!H16</f>
        <v>17</v>
      </c>
      <c r="E21" s="19">
        <f t="shared" si="1"/>
        <v>9.2812564554314303E-3</v>
      </c>
      <c r="F21" s="18">
        <f>((EchelleFPAparam!$S$3/('crmcfgWLEN.txt'!$U21+F$53))*(SIN('Standard Settings'!$F16+0.0005)+SIN('Standard Settings'!$F16+0.0005+EchelleFPAparam!$M$3))-(EchelleFPAparam!$S$3/('crmcfgWLEN.txt'!$U21+F$53))*(SIN('Standard Settings'!$F16-0.0005)+SIN('Standard Settings'!$F16-0.0005+EchelleFPAparam!$M$3)))*1000*EchelleFPAparam!$O$3/180</f>
        <v>25.288763641805598</v>
      </c>
      <c r="G21" s="20" t="str">
        <f>'Standard Settings'!C16</f>
        <v>L</v>
      </c>
      <c r="H21" s="46"/>
      <c r="I21" s="59" t="s">
        <v>361</v>
      </c>
      <c r="J21" s="57"/>
      <c r="K21" s="27" t="str">
        <f>'Standard Settings'!$D16</f>
        <v>LM</v>
      </c>
      <c r="L21" s="46"/>
      <c r="M21" s="12">
        <v>2.5</v>
      </c>
      <c r="N21" s="12">
        <v>2.5</v>
      </c>
      <c r="O21" s="47" t="s">
        <v>384</v>
      </c>
      <c r="P21" s="47" t="s">
        <v>384</v>
      </c>
      <c r="Q21" s="27">
        <f>'Standard Settings'!$E16</f>
        <v>68.592150000000004</v>
      </c>
      <c r="R21" s="106">
        <f>'Standard Settings'!$J16</f>
        <v>190000</v>
      </c>
      <c r="S21" s="21">
        <f>'Standard Settings'!$G16</f>
        <v>14</v>
      </c>
      <c r="T21" s="21">
        <f>'Standard Settings'!$I16</f>
        <v>20</v>
      </c>
      <c r="U21" s="22">
        <f t="shared" si="25"/>
        <v>13</v>
      </c>
      <c r="V21" s="22">
        <f t="shared" si="26"/>
        <v>22</v>
      </c>
      <c r="W21" s="23">
        <f>IF(AND($U21-$S21+B$53&gt;=0,$U21-$T21+B$53&lt;=0),(EchelleFPAparam!$S$3/('crmcfgWLEN.txt'!$U21+B$53))*(SIN('Standard Settings'!$F16)+SIN('Standard Settings'!$F16+EchelleFPAparam!$M$3)),-1)</f>
        <v>-1</v>
      </c>
      <c r="X21" s="23">
        <f>IF(AND($U21-$S21+C$53&gt;=0,$U21-$T21+C$53&lt;=0),(EchelleFPAparam!$S$3/('crmcfgWLEN.txt'!$U21+C$53))*(SIN('Standard Settings'!$F16)+SIN('Standard Settings'!$F16+EchelleFPAparam!$M$3)),-1)</f>
        <v>4142.6674219385322</v>
      </c>
      <c r="Y21" s="23">
        <f>IF(AND($U21-$S21+D$53&gt;=0,$U21-$T21+D$53&lt;=0),(EchelleFPAparam!$S$3/('crmcfgWLEN.txt'!$U21+D$53))*(SIN('Standard Settings'!$F16)+SIN('Standard Settings'!$F16+EchelleFPAparam!$M$3)),-1)</f>
        <v>3866.4895938092964</v>
      </c>
      <c r="Z21" s="23">
        <f>IF(AND($U21-$S21+E$53&gt;=0,$U21-$T21+E$53&lt;=0),(EchelleFPAparam!$S$3/('crmcfgWLEN.txt'!$U21+E$53))*(SIN('Standard Settings'!$F16)+SIN('Standard Settings'!$F16+EchelleFPAparam!$M$3)),-1)</f>
        <v>3624.8339941962154</v>
      </c>
      <c r="AA21" s="23">
        <f>IF(AND($U21-$S21+F$53&gt;=0,$U21-$T21+F$53&lt;=0),(EchelleFPAparam!$S$3/('crmcfgWLEN.txt'!$U21+F$53))*(SIN('Standard Settings'!$F16)+SIN('Standard Settings'!$F16+EchelleFPAparam!$M$3)),-1)</f>
        <v>3411.6084651258498</v>
      </c>
      <c r="AB21" s="23">
        <f>IF(AND($U21-$S21+G$53&gt;=0,$U21-$T21+G$53&lt;=0),(EchelleFPAparam!$S$3/('crmcfgWLEN.txt'!$U21+G$53))*(SIN('Standard Settings'!$F16)+SIN('Standard Settings'!$F16+EchelleFPAparam!$M$3)),-1)</f>
        <v>3222.0746615077474</v>
      </c>
      <c r="AC21" s="23">
        <f>IF(AND($U21-$S21+H$53&gt;=0,$U21-$T21+H$53&lt;=0),(EchelleFPAparam!$S$3/('crmcfgWLEN.txt'!$U21+H$53))*(SIN('Standard Settings'!$F16)+SIN('Standard Settings'!$F16+EchelleFPAparam!$M$3)),-1)</f>
        <v>3052.4917845862869</v>
      </c>
      <c r="AD21" s="23">
        <f>IF(AND($U21-$S21+I$53&gt;=0,$U21-$T21+I$53&lt;=0),(EchelleFPAparam!$S$3/('crmcfgWLEN.txt'!$U21+I$53))*(SIN('Standard Settings'!$F16)+SIN('Standard Settings'!$F16+EchelleFPAparam!$M$3)),-1)</f>
        <v>2899.8671953569724</v>
      </c>
      <c r="AE21" s="23">
        <f>IF(AND($U21-$S21+J$53&gt;=0,$U21-$T21+J$53&lt;=0),(EchelleFPAparam!$S$3/('crmcfgWLEN.txt'!$U21+J$53))*(SIN('Standard Settings'!$F16)+SIN('Standard Settings'!$F16+EchelleFPAparam!$M$3)),-1)</f>
        <v>-1</v>
      </c>
      <c r="AF21" s="23">
        <f>IF(AND($U21-$S21+K$53&gt;=0,$U21-$T21+K$53&lt;=0),(EchelleFPAparam!$S$3/('crmcfgWLEN.txt'!$U21+K$53))*(SIN('Standard Settings'!$F16)+SIN('Standard Settings'!$F16+EchelleFPAparam!$M$3)),-1)</f>
        <v>-1</v>
      </c>
      <c r="AG21" s="159">
        <v>-100.1</v>
      </c>
      <c r="AH21" s="157">
        <v>170.54428382867101</v>
      </c>
      <c r="AI21" s="157">
        <v>537.04350372722604</v>
      </c>
      <c r="AJ21" s="157">
        <v>857.19087532041499</v>
      </c>
      <c r="AK21" s="157">
        <v>1139.2613981034599</v>
      </c>
      <c r="AL21" s="157">
        <v>1389.9071299170701</v>
      </c>
      <c r="AM21" s="157">
        <v>1614.4708191990001</v>
      </c>
      <c r="AN21" s="157">
        <v>1836.0599949933601</v>
      </c>
      <c r="AO21" s="159">
        <v>-100.1</v>
      </c>
      <c r="AP21" s="159">
        <v>-100.1</v>
      </c>
      <c r="AQ21" s="160">
        <v>-100.1</v>
      </c>
      <c r="AR21" s="157">
        <v>189.61224544932699</v>
      </c>
      <c r="AS21" s="157">
        <v>558.30042333894505</v>
      </c>
      <c r="AT21" s="157">
        <v>880.34417354746301</v>
      </c>
      <c r="AU21" s="157">
        <v>1164.03313837574</v>
      </c>
      <c r="AV21" s="157">
        <v>1416.09642485164</v>
      </c>
      <c r="AW21" s="157">
        <v>1641.93652276274</v>
      </c>
      <c r="AX21" s="157">
        <v>1850.9491299891099</v>
      </c>
      <c r="AY21" s="160">
        <v>-100.1</v>
      </c>
      <c r="AZ21" s="160">
        <v>-100.1</v>
      </c>
      <c r="BA21" s="161">
        <v>-100.1</v>
      </c>
      <c r="BB21" s="157">
        <v>208.04586389260601</v>
      </c>
      <c r="BC21" s="157">
        <v>579.20529658932196</v>
      </c>
      <c r="BD21" s="157">
        <v>903.33288414454796</v>
      </c>
      <c r="BE21" s="157">
        <v>1200</v>
      </c>
      <c r="BF21" s="157">
        <v>1442.5743681976401</v>
      </c>
      <c r="BG21" s="157">
        <v>1669.6663253618301</v>
      </c>
      <c r="BH21" s="157">
        <v>1874.5609338207801</v>
      </c>
      <c r="BI21" s="161">
        <v>-100.1</v>
      </c>
      <c r="BJ21" s="161">
        <v>-100.1</v>
      </c>
      <c r="BK21" s="24">
        <f>EchelleFPAparam!$S$3/('crmcfgWLEN.txt'!$U21+B$53)*(SIN(EchelleFPAparam!$T$3-EchelleFPAparam!$M$3/2)+SIN('Standard Settings'!$F16+EchelleFPAparam!$M$3))</f>
        <v>4407.9109415550101</v>
      </c>
      <c r="BL21" s="24">
        <f>EchelleFPAparam!$S$3/('crmcfgWLEN.txt'!$U21+C$53)*(SIN(EchelleFPAparam!$T$3-EchelleFPAparam!$M$3/2)+SIN('Standard Settings'!$F16+EchelleFPAparam!$M$3))</f>
        <v>4093.0601600153664</v>
      </c>
      <c r="BM21" s="24">
        <f>EchelleFPAparam!$S$3/('crmcfgWLEN.txt'!$U21+D$53)*(SIN(EchelleFPAparam!$T$3-EchelleFPAparam!$M$3/2)+SIN('Standard Settings'!$F16+EchelleFPAparam!$M$3))</f>
        <v>3820.189482681008</v>
      </c>
      <c r="BN21" s="24">
        <f>EchelleFPAparam!$S$3/('crmcfgWLEN.txt'!$U21+E$53)*(SIN(EchelleFPAparam!$T$3-EchelleFPAparam!$M$3/2)+SIN('Standard Settings'!$F16+EchelleFPAparam!$M$3))</f>
        <v>3581.4276400134454</v>
      </c>
      <c r="BO21" s="24">
        <f>EchelleFPAparam!$S$3/('crmcfgWLEN.txt'!$U21+F$53)*(SIN(EchelleFPAparam!$T$3-EchelleFPAparam!$M$3/2)+SIN('Standard Settings'!$F16+EchelleFPAparam!$M$3))</f>
        <v>3370.7554258950076</v>
      </c>
      <c r="BP21" s="24">
        <f>EchelleFPAparam!$S$3/('crmcfgWLEN.txt'!$U21+G$53)*(SIN(EchelleFPAparam!$T$3-EchelleFPAparam!$M$3/2)+SIN('Standard Settings'!$F16+EchelleFPAparam!$M$3))</f>
        <v>3183.4912355675069</v>
      </c>
      <c r="BQ21" s="24">
        <f>EchelleFPAparam!$S$3/('crmcfgWLEN.txt'!$U21+H$53)*(SIN(EchelleFPAparam!$T$3-EchelleFPAparam!$M$3/2)+SIN('Standard Settings'!$F16+EchelleFPAparam!$M$3))</f>
        <v>3015.9390652744805</v>
      </c>
      <c r="BR21" s="24">
        <f>EchelleFPAparam!$S$3/('crmcfgWLEN.txt'!$U21+I$53)*(SIN(EchelleFPAparam!$T$3-EchelleFPAparam!$M$3/2)+SIN('Standard Settings'!$F16+EchelleFPAparam!$M$3))</f>
        <v>2865.1421120107566</v>
      </c>
      <c r="BS21" s="24">
        <f>EchelleFPAparam!$S$3/('crmcfgWLEN.txt'!$U21+J$53)*(SIN(EchelleFPAparam!$T$3-EchelleFPAparam!$M$3/2)+SIN('Standard Settings'!$F16+EchelleFPAparam!$M$3))</f>
        <v>2728.7067733435774</v>
      </c>
      <c r="BT21" s="24">
        <f>EchelleFPAparam!$S$3/('crmcfgWLEN.txt'!$U21+K$53)*(SIN(EchelleFPAparam!$T$3-EchelleFPAparam!$M$3/2)+SIN('Standard Settings'!$F16+EchelleFPAparam!$M$3))</f>
        <v>2604.6746472825062</v>
      </c>
      <c r="BU21" s="25">
        <f t="shared" si="33"/>
        <v>4281.9706289391524</v>
      </c>
      <c r="BV21" s="25">
        <f t="shared" si="2"/>
        <v>3982.4369124473837</v>
      </c>
      <c r="BW21" s="25">
        <f t="shared" si="3"/>
        <v>3722.2359062020078</v>
      </c>
      <c r="BX21" s="25">
        <f t="shared" si="4"/>
        <v>3494.0757463545806</v>
      </c>
      <c r="BY21" s="25">
        <f t="shared" si="5"/>
        <v>3292.3657648276817</v>
      </c>
      <c r="BZ21" s="25">
        <f t="shared" si="6"/>
        <v>3112.7469858882287</v>
      </c>
      <c r="CA21" s="25">
        <f t="shared" si="7"/>
        <v>2951.7701489920446</v>
      </c>
      <c r="CB21" s="25">
        <f t="shared" si="8"/>
        <v>2806.669824010537</v>
      </c>
      <c r="CC21" s="25">
        <f t="shared" si="9"/>
        <v>2675.2027189642913</v>
      </c>
      <c r="CD21" s="25">
        <f t="shared" si="10"/>
        <v>2555.5298426167983</v>
      </c>
      <c r="CE21" s="25">
        <f t="shared" si="34"/>
        <v>4541.4840003900099</v>
      </c>
      <c r="CF21" s="25">
        <f t="shared" si="11"/>
        <v>4210.0047360158051</v>
      </c>
      <c r="CG21" s="25">
        <f t="shared" si="12"/>
        <v>3923.437847077792</v>
      </c>
      <c r="CH21" s="25">
        <f t="shared" si="13"/>
        <v>3673.2591179625078</v>
      </c>
      <c r="CI21" s="25">
        <f t="shared" si="14"/>
        <v>3452.9689728680569</v>
      </c>
      <c r="CJ21" s="25">
        <f t="shared" si="15"/>
        <v>3257.5259154644259</v>
      </c>
      <c r="CK21" s="25">
        <f t="shared" si="16"/>
        <v>3082.9599333916908</v>
      </c>
      <c r="CL21" s="25">
        <f t="shared" si="17"/>
        <v>2926.1025824790704</v>
      </c>
      <c r="CM21" s="25">
        <f t="shared" si="18"/>
        <v>2784.3946666771199</v>
      </c>
      <c r="CN21" s="25">
        <f t="shared" si="19"/>
        <v>2655.746699190006</v>
      </c>
      <c r="CO21" s="26">
        <f>(EchelleFPAparam!$S$3/($U21+B$53)*COS((AG21-EchelleFPAparam!$AE17)*EchelleFPAparam!$C$3/EchelleFPAparam!$E$3))*(SIN('Standard Settings'!$F16)+SIN('Standard Settings'!$F16+EchelleFPAparam!$M$3+(EchelleFPAparam!$F$3*EchelleFPAparam!$B$6)*COS(EchelleFPAparam!$AC$3)-(AG21-1024)*SIN(EchelleFPAparam!$AC$3)*EchelleFPAparam!$C$3/EchelleFPAparam!$E$3))</f>
        <v>4419.468837780124</v>
      </c>
      <c r="CP21" s="26">
        <f>(EchelleFPAparam!$S$3/($U21+C$53)*COS((AH21-EchelleFPAparam!$AE17)*EchelleFPAparam!$C$3/EchelleFPAparam!$E$3))*(SIN('Standard Settings'!$F16)+SIN('Standard Settings'!$F16+EchelleFPAparam!$M$3+(EchelleFPAparam!$F$3*EchelleFPAparam!$B$6)*COS(EchelleFPAparam!$AC$3)-(AH21-1024)*SIN(EchelleFPAparam!$AC$3)*EchelleFPAparam!$C$3/EchelleFPAparam!$E$3))</f>
        <v>4104.1070646537937</v>
      </c>
      <c r="CQ21" s="26">
        <f>(EchelleFPAparam!$S$3/($U21+D$53)*COS((AI21-EchelleFPAparam!$AE17)*EchelleFPAparam!$C$3/EchelleFPAparam!$E$3))*(SIN('Standard Settings'!$F16)+SIN('Standard Settings'!$F16+EchelleFPAparam!$M$3+(EchelleFPAparam!$F$3*EchelleFPAparam!$B$6)*COS(EchelleFPAparam!$AC$3)-(AI21-1024)*SIN(EchelleFPAparam!$AC$3)*EchelleFPAparam!$C$3/EchelleFPAparam!$E$3))</f>
        <v>3830.8341235981093</v>
      </c>
      <c r="CR21" s="26">
        <f>(EchelleFPAparam!$S$3/($U21+E$53)*COS((AJ21-EchelleFPAparam!$AE17)*EchelleFPAparam!$C$3/EchelleFPAparam!$E$3))*(SIN('Standard Settings'!$F16)+SIN('Standard Settings'!$F16+EchelleFPAparam!$M$3+(EchelleFPAparam!$F$3*EchelleFPAparam!$B$6)*COS(EchelleFPAparam!$AC$3)-(AJ21-1024)*SIN(EchelleFPAparam!$AC$3)*EchelleFPAparam!$C$3/EchelleFPAparam!$E$3))</f>
        <v>3591.6247232267042</v>
      </c>
      <c r="CS21" s="26">
        <f>(EchelleFPAparam!$S$3/($U21+F$53)*COS((AK21-EchelleFPAparam!$AE17)*EchelleFPAparam!$C$3/EchelleFPAparam!$E$3))*(SIN('Standard Settings'!$F16)+SIN('Standard Settings'!$F16+EchelleFPAparam!$M$3+(EchelleFPAparam!$F$3*EchelleFPAparam!$B$6)*COS(EchelleFPAparam!$AC$3)-(AK21-1024)*SIN(EchelleFPAparam!$AC$3)*EchelleFPAparam!$C$3/EchelleFPAparam!$E$3))</f>
        <v>3380.4925354537268</v>
      </c>
      <c r="CT21" s="26">
        <f>(EchelleFPAparam!$S$3/($U21+G$53)*COS((AL21-EchelleFPAparam!$AE17)*EchelleFPAparam!$C$3/EchelleFPAparam!$E$3))*(SIN('Standard Settings'!$F16)+SIN('Standard Settings'!$F16+EchelleFPAparam!$M$3+(EchelleFPAparam!$F$3*EchelleFPAparam!$B$6)*COS(EchelleFPAparam!$AC$3)-(AL21-1024)*SIN(EchelleFPAparam!$AC$3)*EchelleFPAparam!$C$3/EchelleFPAparam!$E$3))</f>
        <v>3192.7745495808094</v>
      </c>
      <c r="CU21" s="26">
        <f>(EchelleFPAparam!$S$3/($U21+H$53)*COS((AM21-EchelleFPAparam!$AE17)*EchelleFPAparam!$C$3/EchelleFPAparam!$E$3))*(SIN('Standard Settings'!$F16)+SIN('Standard Settings'!$F16+EchelleFPAparam!$M$3+(EchelleFPAparam!$F$3*EchelleFPAparam!$B$6)*COS(EchelleFPAparam!$AC$3)-(AM21-1024)*SIN(EchelleFPAparam!$AC$3)*EchelleFPAparam!$C$3/EchelleFPAparam!$E$3))</f>
        <v>3024.7848808624153</v>
      </c>
      <c r="CV21" s="26">
        <f>(EchelleFPAparam!$S$3/($U21+I$53)*COS((AN21-EchelleFPAparam!$AE17)*EchelleFPAparam!$C$3/EchelleFPAparam!$E$3))*(SIN('Standard Settings'!$F16)+SIN('Standard Settings'!$F16+EchelleFPAparam!$M$3+(EchelleFPAparam!$F$3*EchelleFPAparam!$B$6)*COS(EchelleFPAparam!$AC$3)-(AN21-1024)*SIN(EchelleFPAparam!$AC$3)*EchelleFPAparam!$C$3/EchelleFPAparam!$E$3))</f>
        <v>2873.5733993660592</v>
      </c>
      <c r="CW21" s="26">
        <f>(EchelleFPAparam!$S$3/($U21+J$53)*COS((AO21-EchelleFPAparam!$AE17)*EchelleFPAparam!$C$3/EchelleFPAparam!$E$3))*(SIN('Standard Settings'!$F16)+SIN('Standard Settings'!$F16+EchelleFPAparam!$M$3+(EchelleFPAparam!$F$3*EchelleFPAparam!$B$6)*COS(EchelleFPAparam!$AC$3)-(AO21-1024)*SIN(EchelleFPAparam!$AC$3)*EchelleFPAparam!$C$3/EchelleFPAparam!$E$3))</f>
        <v>2735.8616614829339</v>
      </c>
      <c r="CX21" s="26">
        <f>(EchelleFPAparam!$S$3/($U21+K$53)*COS((AP21-EchelleFPAparam!$AE17)*EchelleFPAparam!$C$3/EchelleFPAparam!$E$3))*(SIN('Standard Settings'!$F16)+SIN('Standard Settings'!$F16+EchelleFPAparam!$M$3+(EchelleFPAparam!$F$3*EchelleFPAparam!$B$6)*COS(EchelleFPAparam!$AC$3)-(AP21-1024)*SIN(EchelleFPAparam!$AC$3)*EchelleFPAparam!$C$3/EchelleFPAparam!$E$3))</f>
        <v>2611.50431323371</v>
      </c>
      <c r="CY21" s="26">
        <f>(EchelleFPAparam!$S$3/($U21+B$53)*COS((AG21-EchelleFPAparam!$AE17)*EchelleFPAparam!$C$3/EchelleFPAparam!$E$3))*(SIN('Standard Settings'!$F16)+SIN('Standard Settings'!$F16+EchelleFPAparam!$M$3+EchelleFPAparam!$G$3*EchelleFPAparam!$B$6*COS(EchelleFPAparam!$AC$3)-(AG21-1024)*SIN(EchelleFPAparam!$AC$3)*EchelleFPAparam!$C$3/EchelleFPAparam!$E$3))</f>
        <v>4445.7610155260491</v>
      </c>
      <c r="CZ21" s="26">
        <f>(EchelleFPAparam!$S$3/($U21+C$53)*COS((AH21-EchelleFPAparam!$AE17)*EchelleFPAparam!$C$3/EchelleFPAparam!$E$3))*(SIN('Standard Settings'!$F16)+SIN('Standard Settings'!$F16+EchelleFPAparam!$M$3+EchelleFPAparam!$G$3*EchelleFPAparam!$B$6*COS(EchelleFPAparam!$AC$3)-(AH21-1024)*SIN(EchelleFPAparam!$AC$3)*EchelleFPAparam!$C$3/EchelleFPAparam!$E$3))</f>
        <v>4128.518803299452</v>
      </c>
      <c r="DA21" s="26">
        <f>(EchelleFPAparam!$S$3/($U21+D$53)*COS((AI21-EchelleFPAparam!$AE17)*EchelleFPAparam!$C$3/EchelleFPAparam!$E$3))*(SIN('Standard Settings'!$F16)+SIN('Standard Settings'!$F16+EchelleFPAparam!$M$3+EchelleFPAparam!$G$3*EchelleFPAparam!$B$6*COS(EchelleFPAparam!$AC$3)-(AI21-1024)*SIN(EchelleFPAparam!$AC$3)*EchelleFPAparam!$C$3/EchelleFPAparam!$E$3))</f>
        <v>3853.6149684734305</v>
      </c>
      <c r="DB21" s="26">
        <f>(EchelleFPAparam!$S$3/($U21+E$53)*COS((AJ21-EchelleFPAparam!$AE17)*EchelleFPAparam!$C$3/EchelleFPAparam!$E$3))*(SIN('Standard Settings'!$F16)+SIN('Standard Settings'!$F16+EchelleFPAparam!$M$3+EchelleFPAparam!$G$3*EchelleFPAparam!$B$6*COS(EchelleFPAparam!$AC$3)-(AJ21-1024)*SIN(EchelleFPAparam!$AC$3)*EchelleFPAparam!$C$3/EchelleFPAparam!$E$3))</f>
        <v>3612.9786111911158</v>
      </c>
      <c r="DC21" s="26">
        <f>(EchelleFPAparam!$S$3/($U21+F$53)*COS((AK21-EchelleFPAparam!$AE17)*EchelleFPAparam!$C$3/EchelleFPAparam!$E$3))*(SIN('Standard Settings'!$F16)+SIN('Standard Settings'!$F16+EchelleFPAparam!$M$3+EchelleFPAparam!$G$3*EchelleFPAparam!$B$6*COS(EchelleFPAparam!$AC$3)-(AK21-1024)*SIN(EchelleFPAparam!$AC$3)*EchelleFPAparam!$C$3/EchelleFPAparam!$E$3))</f>
        <v>3400.5874546057939</v>
      </c>
      <c r="DD21" s="26">
        <f>(EchelleFPAparam!$S$3/($U21+G$53)*COS((AL21-EchelleFPAparam!$AE17)*EchelleFPAparam!$C$3/EchelleFPAparam!$E$3))*(SIN('Standard Settings'!$F16)+SIN('Standard Settings'!$F16+EchelleFPAparam!$M$3+EchelleFPAparam!$G$3*EchelleFPAparam!$B$6*COS(EchelleFPAparam!$AC$3)-(AL21-1024)*SIN(EchelleFPAparam!$AC$3)*EchelleFPAparam!$C$3/EchelleFPAparam!$E$3))</f>
        <v>3211.7505062752402</v>
      </c>
      <c r="DE21" s="26">
        <f>(EchelleFPAparam!$S$3/($U21+H$53)*COS((AM21-EchelleFPAparam!$AE17)*EchelleFPAparam!$C$3/EchelleFPAparam!$E$3))*(SIN('Standard Settings'!$F16)+SIN('Standard Settings'!$F16+EchelleFPAparam!$M$3+EchelleFPAparam!$G$3*EchelleFPAparam!$B$6*COS(EchelleFPAparam!$AC$3)-(AM21-1024)*SIN(EchelleFPAparam!$AC$3)*EchelleFPAparam!$C$3/EchelleFPAparam!$E$3))</f>
        <v>3042.7597787266523</v>
      </c>
      <c r="DF21" s="26">
        <f>(EchelleFPAparam!$S$3/($U21+I$53)*COS((AN21-EchelleFPAparam!$AE17)*EchelleFPAparam!$C$3/EchelleFPAparam!$E$3))*(SIN('Standard Settings'!$F16)+SIN('Standard Settings'!$F16+EchelleFPAparam!$M$3+EchelleFPAparam!$G$3*EchelleFPAparam!$B$6*COS(EchelleFPAparam!$AC$3)-(AN21-1024)*SIN(EchelleFPAparam!$AC$3)*EchelleFPAparam!$C$3/EchelleFPAparam!$E$3))</f>
        <v>2890.6472538445878</v>
      </c>
      <c r="DG21" s="26">
        <f>(EchelleFPAparam!$S$3/($U21+J$53)*COS((AO21-EchelleFPAparam!$AE17)*EchelleFPAparam!$C$3/EchelleFPAparam!$E$3))*(SIN('Standard Settings'!$F16)+SIN('Standard Settings'!$F16+EchelleFPAparam!$M$3+EchelleFPAparam!$G$3*EchelleFPAparam!$B$6*COS(EchelleFPAparam!$AC$3)-(AO21-1024)*SIN(EchelleFPAparam!$AC$3)*EchelleFPAparam!$C$3/EchelleFPAparam!$E$3))</f>
        <v>2752.1377715161257</v>
      </c>
      <c r="DH21" s="26">
        <f>(EchelleFPAparam!$S$3/($U21+K$53)*COS((AP21-EchelleFPAparam!$AE17)*EchelleFPAparam!$C$3/EchelleFPAparam!$E$3))*(SIN('Standard Settings'!$F16)+SIN('Standard Settings'!$F16+EchelleFPAparam!$M$3+EchelleFPAparam!$G$3*EchelleFPAparam!$B$6*COS(EchelleFPAparam!$AC$3)-(AP21-1024)*SIN(EchelleFPAparam!$AC$3)*EchelleFPAparam!$C$3/EchelleFPAparam!$E$3))</f>
        <v>2627.0406000835746</v>
      </c>
      <c r="DI21" s="26">
        <f>(EchelleFPAparam!$S$3/($U21+B$53)*COS((AQ21-EchelleFPAparam!$AE17)*EchelleFPAparam!$C$3/EchelleFPAparam!$E$3))*(SIN('Standard Settings'!$F16)+SIN('Standard Settings'!$F16+EchelleFPAparam!$M$3+EchelleFPAparam!$H$3*EchelleFPAparam!$B$6*COS(EchelleFPAparam!$AC$3)-(AQ21-1024)*SIN(EchelleFPAparam!$AC$3)*EchelleFPAparam!$C$3/EchelleFPAparam!$E$3))</f>
        <v>4447.5620283148874</v>
      </c>
      <c r="DJ21" s="26">
        <f>(EchelleFPAparam!$S$3/($U21+C$53)*COS((AR21-EchelleFPAparam!$AE17)*EchelleFPAparam!$C$3/EchelleFPAparam!$E$3))*(SIN('Standard Settings'!$F16)+SIN('Standard Settings'!$F16+EchelleFPAparam!$M$3+EchelleFPAparam!$H$3*EchelleFPAparam!$B$6*COS(EchelleFPAparam!$AC$3)-(AR21-1024)*SIN(EchelleFPAparam!$AC$3)*EchelleFPAparam!$C$3/EchelleFPAparam!$E$3))</f>
        <v>4130.2113598104124</v>
      </c>
      <c r="DK21" s="26">
        <f>(EchelleFPAparam!$S$3/($U21+D$53)*COS((AS21-EchelleFPAparam!$AE17)*EchelleFPAparam!$C$3/EchelleFPAparam!$E$3))*(SIN('Standard Settings'!$F16)+SIN('Standard Settings'!$F16+EchelleFPAparam!$M$3+EchelleFPAparam!$H$3*EchelleFPAparam!$B$6*COS(EchelleFPAparam!$AC$3)-(AS21-1024)*SIN(EchelleFPAparam!$AC$3)*EchelleFPAparam!$C$3/EchelleFPAparam!$E$3))</f>
        <v>3855.192352681368</v>
      </c>
      <c r="DL21" s="26">
        <f>(EchelleFPAparam!$S$3/($U21+E$53)*COS((AT21-EchelleFPAparam!$AE17)*EchelleFPAparam!$C$3/EchelleFPAparam!$E$3))*(SIN('Standard Settings'!$F16)+SIN('Standard Settings'!$F16+EchelleFPAparam!$M$3+EchelleFPAparam!$H$3*EchelleFPAparam!$B$6*COS(EchelleFPAparam!$AC$3)-(AT21-1024)*SIN(EchelleFPAparam!$AC$3)*EchelleFPAparam!$C$3/EchelleFPAparam!$E$3))</f>
        <v>3614.4547895894143</v>
      </c>
      <c r="DM21" s="26">
        <f>(EchelleFPAparam!$S$3/($U21+F$53)*COS((AU21-EchelleFPAparam!$AE17)*EchelleFPAparam!$C$3/EchelleFPAparam!$E$3))*(SIN('Standard Settings'!$F16)+SIN('Standard Settings'!$F16+EchelleFPAparam!$M$3+EchelleFPAparam!$H$3*EchelleFPAparam!$B$6*COS(EchelleFPAparam!$AC$3)-(AU21-1024)*SIN(EchelleFPAparam!$AC$3)*EchelleFPAparam!$C$3/EchelleFPAparam!$E$3))</f>
        <v>3401.9741022306735</v>
      </c>
      <c r="DN21" s="26">
        <f>(EchelleFPAparam!$S$3/($U21+G$53)*COS((AV21-EchelleFPAparam!$AE17)*EchelleFPAparam!$C$3/EchelleFPAparam!$E$3))*(SIN('Standard Settings'!$F16)+SIN('Standard Settings'!$F16+EchelleFPAparam!$M$3+EchelleFPAparam!$H$3*EchelleFPAparam!$B$6*COS(EchelleFPAparam!$AC$3)-(AV21-1024)*SIN(EchelleFPAparam!$AC$3)*EchelleFPAparam!$C$3/EchelleFPAparam!$E$3))</f>
        <v>3213.0574867884184</v>
      </c>
      <c r="DO21" s="26">
        <f>(EchelleFPAparam!$S$3/($U21+H$53)*COS((AW21-EchelleFPAparam!$AE17)*EchelleFPAparam!$C$3/EchelleFPAparam!$E$3))*(SIN('Standard Settings'!$F16)+SIN('Standard Settings'!$F16+EchelleFPAparam!$M$3+EchelleFPAparam!$H$3*EchelleFPAparam!$B$6*COS(EchelleFPAparam!$AC$3)-(AW21-1024)*SIN(EchelleFPAparam!$AC$3)*EchelleFPAparam!$C$3/EchelleFPAparam!$E$3))</f>
        <v>3043.9954678967024</v>
      </c>
      <c r="DP21" s="26">
        <f>(EchelleFPAparam!$S$3/($U21+I$53)*COS((AX21-EchelleFPAparam!$AE17)*EchelleFPAparam!$C$3/EchelleFPAparam!$E$3))*(SIN('Standard Settings'!$F16)+SIN('Standard Settings'!$F16+EchelleFPAparam!$M$3+EchelleFPAparam!$H$3*EchelleFPAparam!$B$6*COS(EchelleFPAparam!$AC$3)-(AX21-1024)*SIN(EchelleFPAparam!$AC$3)*EchelleFPAparam!$C$3/EchelleFPAparam!$E$3))</f>
        <v>2891.817745309027</v>
      </c>
      <c r="DQ21" s="26">
        <f>(EchelleFPAparam!$S$3/($U21+J$53)*COS((AY21-EchelleFPAparam!$AE17)*EchelleFPAparam!$C$3/EchelleFPAparam!$E$3))*(SIN('Standard Settings'!$F16)+SIN('Standard Settings'!$F16+EchelleFPAparam!$M$3+EchelleFPAparam!$H$3*EchelleFPAparam!$B$6*COS(EchelleFPAparam!$AC$3)-(AY21-1024)*SIN(EchelleFPAparam!$AC$3)*EchelleFPAparam!$C$3/EchelleFPAparam!$E$3))</f>
        <v>2753.2526841949302</v>
      </c>
      <c r="DR21" s="26">
        <f>(EchelleFPAparam!$S$3/($U21+K$53)*COS((AZ21-EchelleFPAparam!$AE17)*EchelleFPAparam!$C$3/EchelleFPAparam!$E$3))*(SIN('Standard Settings'!$F16)+SIN('Standard Settings'!$F16+EchelleFPAparam!$M$3+EchelleFPAparam!$H$3*EchelleFPAparam!$B$6*COS(EchelleFPAparam!$AC$3)-(AZ21-1024)*SIN(EchelleFPAparam!$AC$3)*EchelleFPAparam!$C$3/EchelleFPAparam!$E$3))</f>
        <v>2628.104834913343</v>
      </c>
      <c r="DS21" s="26">
        <f>(EchelleFPAparam!$S$3/($U21+B$53)*COS((AQ21-EchelleFPAparam!$AE17)*EchelleFPAparam!$C$3/EchelleFPAparam!$E$3))*(SIN('Standard Settings'!$F16)+SIN('Standard Settings'!$F16+EchelleFPAparam!$M$3+EchelleFPAparam!$I$3*EchelleFPAparam!$B$6*COS(EchelleFPAparam!$AC$3)-(AQ21-1024)*SIN(EchelleFPAparam!$AC$3)*EchelleFPAparam!$C$3/EchelleFPAparam!$E$3))</f>
        <v>4472.4337079698571</v>
      </c>
      <c r="DT21" s="26">
        <f>(EchelleFPAparam!$S$3/($U21+C$53)*COS((AR21-EchelleFPAparam!$AE17)*EchelleFPAparam!$C$3/EchelleFPAparam!$E$3))*(SIN('Standard Settings'!$F16)+SIN('Standard Settings'!$F16+EchelleFPAparam!$M$3+EchelleFPAparam!$I$3*EchelleFPAparam!$B$6*COS(EchelleFPAparam!$AC$3)-(AR21-1024)*SIN(EchelleFPAparam!$AC$3)*EchelleFPAparam!$C$3/EchelleFPAparam!$E$3))</f>
        <v>4153.3037515949673</v>
      </c>
      <c r="DU21" s="26">
        <f>(EchelleFPAparam!$S$3/($U21+D$53)*COS((AS21-EchelleFPAparam!$AE17)*EchelleFPAparam!$C$3/EchelleFPAparam!$E$3))*(SIN('Standard Settings'!$F16)+SIN('Standard Settings'!$F16+EchelleFPAparam!$M$3+EchelleFPAparam!$I$3*EchelleFPAparam!$B$6*COS(EchelleFPAparam!$AC$3)-(AS21-1024)*SIN(EchelleFPAparam!$AC$3)*EchelleFPAparam!$C$3/EchelleFPAparam!$E$3))</f>
        <v>3876.7416264655321</v>
      </c>
      <c r="DV21" s="26">
        <f>(EchelleFPAparam!$S$3/($U21+E$53)*COS((AT21-EchelleFPAparam!$AE17)*EchelleFPAparam!$C$3/EchelleFPAparam!$E$3))*(SIN('Standard Settings'!$F16)+SIN('Standard Settings'!$F16+EchelleFPAparam!$M$3+EchelleFPAparam!$I$3*EchelleFPAparam!$B$6*COS(EchelleFPAparam!$AC$3)-(AT21-1024)*SIN(EchelleFPAparam!$AC$3)*EchelleFPAparam!$C$3/EchelleFPAparam!$E$3))</f>
        <v>3634.653946074829</v>
      </c>
      <c r="DW21" s="26">
        <f>(EchelleFPAparam!$S$3/($U21+F$53)*COS((AU21-EchelleFPAparam!$AE17)*EchelleFPAparam!$C$3/EchelleFPAparam!$E$3))*(SIN('Standard Settings'!$F16)+SIN('Standard Settings'!$F16+EchelleFPAparam!$M$3+EchelleFPAparam!$I$3*EchelleFPAparam!$B$6*COS(EchelleFPAparam!$AC$3)-(AU21-1024)*SIN(EchelleFPAparam!$AC$3)*EchelleFPAparam!$C$3/EchelleFPAparam!$E$3))</f>
        <v>3420.982115451397</v>
      </c>
      <c r="DX21" s="26">
        <f>(EchelleFPAparam!$S$3/($U21+G$53)*COS((AV21-EchelleFPAparam!$AE17)*EchelleFPAparam!$C$3/EchelleFPAparam!$E$3))*(SIN('Standard Settings'!$F16)+SIN('Standard Settings'!$F16+EchelleFPAparam!$M$3+EchelleFPAparam!$I$3*EchelleFPAparam!$B$6*COS(EchelleFPAparam!$AC$3)-(AV21-1024)*SIN(EchelleFPAparam!$AC$3)*EchelleFPAparam!$C$3/EchelleFPAparam!$E$3))</f>
        <v>3231.0068454202446</v>
      </c>
      <c r="DY21" s="26">
        <f>(EchelleFPAparam!$S$3/($U21+H$53)*COS((AW21-EchelleFPAparam!$AE17)*EchelleFPAparam!$C$3/EchelleFPAparam!$E$3))*(SIN('Standard Settings'!$F16)+SIN('Standard Settings'!$F16+EchelleFPAparam!$M$3+EchelleFPAparam!$I$3*EchelleFPAparam!$B$6*COS(EchelleFPAparam!$AC$3)-(AW21-1024)*SIN(EchelleFPAparam!$AC$3)*EchelleFPAparam!$C$3/EchelleFPAparam!$E$3))</f>
        <v>3060.9977406763719</v>
      </c>
      <c r="DZ21" s="26">
        <f>(EchelleFPAparam!$S$3/($U21+I$53)*COS((AX21-EchelleFPAparam!$AE17)*EchelleFPAparam!$C$3/EchelleFPAparam!$E$3))*(SIN('Standard Settings'!$F16)+SIN('Standard Settings'!$F16+EchelleFPAparam!$M$3+EchelleFPAparam!$I$3*EchelleFPAparam!$B$6*COS(EchelleFPAparam!$AC$3)-(AX21-1024)*SIN(EchelleFPAparam!$AC$3)*EchelleFPAparam!$C$3/EchelleFPAparam!$E$3))</f>
        <v>2907.9677054097833</v>
      </c>
      <c r="EA21" s="26">
        <f>(EchelleFPAparam!$S$3/($U21+J$53)*COS((AY21-EchelleFPAparam!$AE17)*EchelleFPAparam!$C$3/EchelleFPAparam!$E$3))*(SIN('Standard Settings'!$F16)+SIN('Standard Settings'!$F16+EchelleFPAparam!$M$3+EchelleFPAparam!$I$3*EchelleFPAparam!$B$6*COS(EchelleFPAparam!$AC$3)-(AY21-1024)*SIN(EchelleFPAparam!$AC$3)*EchelleFPAparam!$C$3/EchelleFPAparam!$E$3))</f>
        <v>2768.6494382670539</v>
      </c>
      <c r="EB21" s="26">
        <f>(EchelleFPAparam!$S$3/($U21+K$53)*COS((AZ21-EchelleFPAparam!$AE17)*EchelleFPAparam!$C$3/EchelleFPAparam!$E$3))*(SIN('Standard Settings'!$F16)+SIN('Standard Settings'!$F16+EchelleFPAparam!$M$3+EchelleFPAparam!$I$3*EchelleFPAparam!$B$6*COS(EchelleFPAparam!$AC$3)-(AZ21-1024)*SIN(EchelleFPAparam!$AC$3)*EchelleFPAparam!$C$3/EchelleFPAparam!$E$3))</f>
        <v>2642.8017365276428</v>
      </c>
      <c r="EC21" s="26">
        <f>(EchelleFPAparam!$S$3/($U21+B$53)*COS((BA21-EchelleFPAparam!$AE17)*EchelleFPAparam!$C$3/EchelleFPAparam!$E$3))*(SIN('Standard Settings'!$F16)+SIN('Standard Settings'!$F16+EchelleFPAparam!$M$3+EchelleFPAparam!$J$3*EchelleFPAparam!$B$6*COS(EchelleFPAparam!$AC$3)-(BA21-1024)*SIN(EchelleFPAparam!$AC$3)*EchelleFPAparam!$C$3/EchelleFPAparam!$E$3))</f>
        <v>4474.1831528216426</v>
      </c>
      <c r="ED21" s="26">
        <f>(EchelleFPAparam!$S$3/($U21+C$53)*COS((BB21-EchelleFPAparam!$AE17)*EchelleFPAparam!$C$3/EchelleFPAparam!$E$3))*(SIN('Standard Settings'!$F16)+SIN('Standard Settings'!$F16+EchelleFPAparam!$M$3+EchelleFPAparam!$J$3*EchelleFPAparam!$B$6*COS(EchelleFPAparam!$AC$3)-(BB21-1024)*SIN(EchelleFPAparam!$AC$3)*EchelleFPAparam!$C$3/EchelleFPAparam!$E$3))</f>
        <v>4154.947318670851</v>
      </c>
      <c r="EE21" s="26">
        <f>(EchelleFPAparam!$S$3/($U21+D$53)*COS((BC21-EchelleFPAparam!$AE17)*EchelleFPAparam!$C$3/EchelleFPAparam!$E$3))*(SIN('Standard Settings'!$F16)+SIN('Standard Settings'!$F16+EchelleFPAparam!$M$3+EchelleFPAparam!$J$3*EchelleFPAparam!$B$6*COS(EchelleFPAparam!$AC$3)-(BC21-1024)*SIN(EchelleFPAparam!$AC$3)*EchelleFPAparam!$C$3/EchelleFPAparam!$E$3))</f>
        <v>3878.273517172659</v>
      </c>
      <c r="EF21" s="26">
        <f>(EchelleFPAparam!$S$3/($U21+E$53)*COS((BD21-EchelleFPAparam!$AE17)*EchelleFPAparam!$C$3/EchelleFPAparam!$E$3))*(SIN('Standard Settings'!$F16)+SIN('Standard Settings'!$F16+EchelleFPAparam!$M$3+EchelleFPAparam!$J$3*EchelleFPAparam!$B$6*COS(EchelleFPAparam!$AC$3)-(BD21-1024)*SIN(EchelleFPAparam!$AC$3)*EchelleFPAparam!$C$3/EchelleFPAparam!$E$3))</f>
        <v>3636.0875345270651</v>
      </c>
      <c r="EG21" s="26">
        <f>(EchelleFPAparam!$S$3/($U21+F$53)*COS((BE21-EchelleFPAparam!$AE17)*EchelleFPAparam!$C$3/EchelleFPAparam!$E$3))*(SIN('Standard Settings'!$F16)+SIN('Standard Settings'!$F16+EchelleFPAparam!$M$3+EchelleFPAparam!$J$3*EchelleFPAparam!$B$6*COS(EchelleFPAparam!$AC$3)-(BE21-1024)*SIN(EchelleFPAparam!$AC$3)*EchelleFPAparam!$C$3/EchelleFPAparam!$E$3))</f>
        <v>3422.3329149743772</v>
      </c>
      <c r="EH21" s="26">
        <f>(EchelleFPAparam!$S$3/($U21+G$53)*COS((BF21-EchelleFPAparam!$AE17)*EchelleFPAparam!$C$3/EchelleFPAparam!$E$3))*(SIN('Standard Settings'!$F16)+SIN('Standard Settings'!$F16+EchelleFPAparam!$M$3+EchelleFPAparam!$J$3*EchelleFPAparam!$B$6*COS(EchelleFPAparam!$AC$3)-(BF21-1024)*SIN(EchelleFPAparam!$AC$3)*EchelleFPAparam!$C$3/EchelleFPAparam!$E$3))</f>
        <v>3232.2759588221779</v>
      </c>
      <c r="EI21" s="26">
        <f>(EchelleFPAparam!$S$3/($U21+H$53)*COS((BG21-EchelleFPAparam!$AE17)*EchelleFPAparam!$C$3/EchelleFPAparam!$E$3))*(SIN('Standard Settings'!$F16)+SIN('Standard Settings'!$F16+EchelleFPAparam!$M$3+EchelleFPAparam!$J$3*EchelleFPAparam!$B$6*COS(EchelleFPAparam!$AC$3)-(BG21-1024)*SIN(EchelleFPAparam!$AC$3)*EchelleFPAparam!$C$3/EchelleFPAparam!$E$3))</f>
        <v>3062.1974553742393</v>
      </c>
      <c r="EJ21" s="26">
        <f>(EchelleFPAparam!$S$3/($U21+I$53)*COS((BH21-EchelleFPAparam!$AE17)*EchelleFPAparam!$C$3/EchelleFPAparam!$E$3))*(SIN('Standard Settings'!$F16)+SIN('Standard Settings'!$F16+EchelleFPAparam!$M$3+EchelleFPAparam!$J$3*EchelleFPAparam!$B$6*COS(EchelleFPAparam!$AC$3)-(BH21-1024)*SIN(EchelleFPAparam!$AC$3)*EchelleFPAparam!$C$3/EchelleFPAparam!$E$3))</f>
        <v>2909.1047172062667</v>
      </c>
      <c r="EK21" s="26">
        <f>(EchelleFPAparam!$S$3/($U21+J$53)*COS((BI21-EchelleFPAparam!$AE17)*EchelleFPAparam!$C$3/EchelleFPAparam!$E$3))*(SIN('Standard Settings'!$F16)+SIN('Standard Settings'!$F16+EchelleFPAparam!$M$3+EchelleFPAparam!$J$3*EchelleFPAparam!$B$6*COS(EchelleFPAparam!$AC$3)-(BI21-1024)*SIN(EchelleFPAparam!$AC$3)*EchelleFPAparam!$C$3/EchelleFPAparam!$E$3))</f>
        <v>2769.7324279372069</v>
      </c>
      <c r="EL21" s="26">
        <f>(EchelleFPAparam!$S$3/($U21+K$53)*COS((BJ21-EchelleFPAparam!$AE17)*EchelleFPAparam!$C$3/EchelleFPAparam!$E$3))*(SIN('Standard Settings'!$F16)+SIN('Standard Settings'!$F16+EchelleFPAparam!$M$3+EchelleFPAparam!$J$3*EchelleFPAparam!$B$6*COS(EchelleFPAparam!$AC$3)-(BJ21-1024)*SIN(EchelleFPAparam!$AC$3)*EchelleFPAparam!$C$3/EchelleFPAparam!$E$3))</f>
        <v>2643.8354993946068</v>
      </c>
      <c r="EM21" s="26">
        <f>(EchelleFPAparam!$S$3/($U21+B$53)*COS((BA21-EchelleFPAparam!$AE17)*EchelleFPAparam!$C$3/EchelleFPAparam!$E$3))*(SIN('Standard Settings'!$F16)+SIN('Standard Settings'!$F16+EchelleFPAparam!$M$3+EchelleFPAparam!$K$3*EchelleFPAparam!$B$6*COS(EchelleFPAparam!$AC$3)-(BA21-1024)*SIN(EchelleFPAparam!$AC$3)*EchelleFPAparam!$C$3/EchelleFPAparam!$E$3))</f>
        <v>4497.6143169692459</v>
      </c>
      <c r="EN21" s="26">
        <f>(EchelleFPAparam!$S$3/($U21+C$53)*COS((BB21-EchelleFPAparam!$AE17)*EchelleFPAparam!$C$3/EchelleFPAparam!$E$3))*(SIN('Standard Settings'!$F16)+SIN('Standard Settings'!$F16+EchelleFPAparam!$M$3+EchelleFPAparam!$K$3*EchelleFPAparam!$B$6*COS(EchelleFPAparam!$AC$3)-(BB21-1024)*SIN(EchelleFPAparam!$AC$3)*EchelleFPAparam!$C$3/EchelleFPAparam!$E$3))</f>
        <v>4176.7017667839864</v>
      </c>
      <c r="EO21" s="26">
        <f>(EchelleFPAparam!$S$3/($U21+D$53)*COS((BC21-EchelleFPAparam!$AE17)*EchelleFPAparam!$C$3/EchelleFPAparam!$E$3))*(SIN('Standard Settings'!$F16)+SIN('Standard Settings'!$F16+EchelleFPAparam!$M$3+EchelleFPAparam!$K$3*EchelleFPAparam!$B$6*COS(EchelleFPAparam!$AC$3)-(BC21-1024)*SIN(EchelleFPAparam!$AC$3)*EchelleFPAparam!$C$3/EchelleFPAparam!$E$3))</f>
        <v>3898.5738634834497</v>
      </c>
      <c r="EP21" s="26">
        <f>(EchelleFPAparam!$S$3/($U21+E$53)*COS((BD21-EchelleFPAparam!$AE17)*EchelleFPAparam!$C$3/EchelleFPAparam!$E$3))*(SIN('Standard Settings'!$F16)+SIN('Standard Settings'!$F16+EchelleFPAparam!$M$3+EchelleFPAparam!$K$3*EchelleFPAparam!$B$6*COS(EchelleFPAparam!$AC$3)-(BD21-1024)*SIN(EchelleFPAparam!$AC$3)*EchelleFPAparam!$C$3/EchelleFPAparam!$E$3))</f>
        <v>3655.1156893166535</v>
      </c>
      <c r="EQ21" s="26">
        <f>(EchelleFPAparam!$S$3/($U21+F$53)*COS((BE21-EchelleFPAparam!$AE17)*EchelleFPAparam!$C$3/EchelleFPAparam!$E$3))*(SIN('Standard Settings'!$F16)+SIN('Standard Settings'!$F16+EchelleFPAparam!$M$3+EchelleFPAparam!$K$3*EchelleFPAparam!$B$6*COS(EchelleFPAparam!$AC$3)-(BE21-1024)*SIN(EchelleFPAparam!$AC$3)*EchelleFPAparam!$C$3/EchelleFPAparam!$E$3))</f>
        <v>3440.2385864710859</v>
      </c>
      <c r="ER21" s="26">
        <f>(EchelleFPAparam!$S$3/($U21+G$53)*COS((BF21-EchelleFPAparam!$AE17)*EchelleFPAparam!$C$3/EchelleFPAparam!$E$3))*(SIN('Standard Settings'!$F16)+SIN('Standard Settings'!$F16+EchelleFPAparam!$M$3+EchelleFPAparam!$K$3*EchelleFPAparam!$B$6*COS(EchelleFPAparam!$AC$3)-(BF21-1024)*SIN(EchelleFPAparam!$AC$3)*EchelleFPAparam!$C$3/EchelleFPAparam!$E$3))</f>
        <v>3249.184258101237</v>
      </c>
      <c r="ES21" s="26">
        <f>(EchelleFPAparam!$S$3/($U21+H$53)*COS((BG21-EchelleFPAparam!$AE17)*EchelleFPAparam!$C$3/EchelleFPAparam!$E$3))*(SIN('Standard Settings'!$F16)+SIN('Standard Settings'!$F16+EchelleFPAparam!$M$3+EchelleFPAparam!$K$3*EchelleFPAparam!$B$6*COS(EchelleFPAparam!$AC$3)-(BG21-1024)*SIN(EchelleFPAparam!$AC$3)*EchelleFPAparam!$C$3/EchelleFPAparam!$E$3))</f>
        <v>3078.2134058130259</v>
      </c>
      <c r="ET21" s="26">
        <f>(EchelleFPAparam!$S$3/($U21+I$53)*COS((BH21-EchelleFPAparam!$AE17)*EchelleFPAparam!$C$3/EchelleFPAparam!$E$3))*(SIN('Standard Settings'!$F16)+SIN('Standard Settings'!$F16+EchelleFPAparam!$M$3+EchelleFPAparam!$K$3*EchelleFPAparam!$B$6*COS(EchelleFPAparam!$AC$3)-(BH21-1024)*SIN(EchelleFPAparam!$AC$3)*EchelleFPAparam!$C$3/EchelleFPAparam!$E$3))</f>
        <v>2924.3176846414963</v>
      </c>
      <c r="EU21" s="26">
        <f>(EchelleFPAparam!$S$3/($U21+J$53)*COS((BI21-EchelleFPAparam!$AE17)*EchelleFPAparam!$C$3/EchelleFPAparam!$E$3))*(SIN('Standard Settings'!$F16)+SIN('Standard Settings'!$F16+EchelleFPAparam!$M$3+EchelleFPAparam!$K$3*EchelleFPAparam!$B$6*COS(EchelleFPAparam!$AC$3)-(BI21-1024)*SIN(EchelleFPAparam!$AC$3)*EchelleFPAparam!$C$3/EchelleFPAparam!$E$3))</f>
        <v>2784.2374343142951</v>
      </c>
      <c r="EV21" s="26">
        <f>(EchelleFPAparam!$S$3/($U21+K$53)*COS((BJ21-EchelleFPAparam!$AE17)*EchelleFPAparam!$C$3/EchelleFPAparam!$E$3))*(SIN('Standard Settings'!$F16)+SIN('Standard Settings'!$F16+EchelleFPAparam!$M$3+EchelleFPAparam!$K$3*EchelleFPAparam!$B$6*COS(EchelleFPAparam!$AC$3)-(BJ21-1024)*SIN(EchelleFPAparam!$AC$3)*EchelleFPAparam!$C$3/EchelleFPAparam!$E$3))</f>
        <v>2657.6811873000092</v>
      </c>
      <c r="EW21" s="60">
        <f t="shared" si="40"/>
        <v>2873.5733993660592</v>
      </c>
      <c r="EX21" s="60">
        <f t="shared" si="41"/>
        <v>4176.7017667839864</v>
      </c>
      <c r="EY21" s="90">
        <v>0.39</v>
      </c>
      <c r="EZ21" s="90">
        <v>0.36</v>
      </c>
      <c r="FA21" s="50">
        <v>10000</v>
      </c>
      <c r="FB21" s="95">
        <v>1000</v>
      </c>
      <c r="FC21" s="95">
        <v>1000</v>
      </c>
      <c r="FD21" s="50">
        <v>2900</v>
      </c>
      <c r="FE21" s="50">
        <v>2000</v>
      </c>
      <c r="FF21" s="50">
        <v>5000</v>
      </c>
      <c r="FG21" s="95">
        <v>1000</v>
      </c>
      <c r="FH21" s="95">
        <f t="shared" si="27"/>
        <v>250</v>
      </c>
      <c r="FI21" s="95">
        <f t="shared" si="28"/>
        <v>250</v>
      </c>
      <c r="FJ21" s="50">
        <f t="shared" si="29"/>
        <v>725</v>
      </c>
      <c r="FK21" s="50">
        <f t="shared" si="30"/>
        <v>500</v>
      </c>
      <c r="FL21" s="50">
        <f t="shared" si="31"/>
        <v>1250</v>
      </c>
      <c r="FM21" s="95">
        <f t="shared" si="32"/>
        <v>250</v>
      </c>
      <c r="FN21" s="50">
        <v>500</v>
      </c>
      <c r="FO21" s="91">
        <f>1/(F21*EchelleFPAparam!$Q$3)</f>
        <v>-4151.5227129120331</v>
      </c>
      <c r="FP21" s="91">
        <f t="shared" si="22"/>
        <v>-38.531346979085008</v>
      </c>
      <c r="FQ21" s="50">
        <v>-999999</v>
      </c>
      <c r="FR21" s="50">
        <v>-999999</v>
      </c>
      <c r="FS21" s="90">
        <v>1</v>
      </c>
      <c r="FT21" s="90">
        <v>1305.2840000000001</v>
      </c>
      <c r="FU21" s="90">
        <v>1814.6969999999999</v>
      </c>
      <c r="FV21" s="50">
        <v>-999999</v>
      </c>
      <c r="FW21" s="50">
        <v>-999999</v>
      </c>
      <c r="FX21" s="50">
        <v>-999999</v>
      </c>
      <c r="FY21" s="90">
        <v>2</v>
      </c>
      <c r="FZ21" s="90">
        <v>276.197</v>
      </c>
      <c r="GA21" s="90">
        <v>1626.2570000000001</v>
      </c>
      <c r="GB21" s="50">
        <v>-999999</v>
      </c>
      <c r="GC21" s="50">
        <v>-999999</v>
      </c>
      <c r="GD21" s="50">
        <v>-999999</v>
      </c>
      <c r="GE21" s="90">
        <v>3</v>
      </c>
      <c r="GF21" s="90">
        <v>585.178</v>
      </c>
      <c r="GG21" s="90">
        <v>1862.4459999999999</v>
      </c>
      <c r="GH21" s="50">
        <v>-999999</v>
      </c>
      <c r="GI21" s="50">
        <v>-999999</v>
      </c>
      <c r="GJ21" s="50">
        <v>-999999</v>
      </c>
      <c r="GK21" s="90">
        <v>3</v>
      </c>
      <c r="GL21" s="90">
        <v>140.13200000000001</v>
      </c>
      <c r="GM21" s="90">
        <v>1426.9770000000001</v>
      </c>
      <c r="GN21" s="50">
        <v>-999999</v>
      </c>
      <c r="GO21" s="50">
        <v>-999999</v>
      </c>
      <c r="GP21" s="50">
        <v>-999999</v>
      </c>
      <c r="GQ21" s="50">
        <v>-999999</v>
      </c>
      <c r="GR21" s="50">
        <v>-999999</v>
      </c>
      <c r="GS21" s="50">
        <v>-999999</v>
      </c>
      <c r="GT21" s="50">
        <v>-999999</v>
      </c>
      <c r="GU21" s="50">
        <v>-999999</v>
      </c>
      <c r="GV21" s="50">
        <v>-999999</v>
      </c>
      <c r="GW21" s="50">
        <v>-999999</v>
      </c>
      <c r="GX21" s="50">
        <v>-999999</v>
      </c>
      <c r="GY21" s="50">
        <v>-999999</v>
      </c>
      <c r="GZ21" s="50">
        <v>-999999</v>
      </c>
      <c r="HA21" s="50">
        <v>-999999</v>
      </c>
      <c r="HB21" s="50">
        <v>-999999</v>
      </c>
      <c r="HC21" s="50">
        <v>-999999</v>
      </c>
      <c r="HD21" s="50">
        <v>-999999</v>
      </c>
      <c r="HE21" s="50">
        <v>-999999</v>
      </c>
      <c r="HF21" s="50">
        <v>-999999</v>
      </c>
      <c r="HG21" s="50">
        <v>-999999</v>
      </c>
      <c r="HH21" s="50">
        <v>-999999</v>
      </c>
      <c r="HI21" s="50">
        <v>-999999</v>
      </c>
      <c r="HJ21" s="50">
        <v>-999999</v>
      </c>
      <c r="HK21" s="50">
        <v>-999999</v>
      </c>
      <c r="HL21" s="50">
        <v>-999999</v>
      </c>
      <c r="HM21" s="50">
        <v>-999999</v>
      </c>
      <c r="HN21" s="50">
        <v>-999999</v>
      </c>
      <c r="HO21" s="50">
        <v>-999999</v>
      </c>
      <c r="HP21" s="50">
        <v>-999999</v>
      </c>
      <c r="HQ21" s="50">
        <v>-999999</v>
      </c>
      <c r="HR21" s="50">
        <v>-999999</v>
      </c>
      <c r="HS21" s="50">
        <v>-999999</v>
      </c>
      <c r="HT21" s="50">
        <v>-999999</v>
      </c>
      <c r="HU21" s="50">
        <v>-999999</v>
      </c>
      <c r="HV21" s="50">
        <v>-999999</v>
      </c>
      <c r="HW21" s="50">
        <v>-999999</v>
      </c>
      <c r="HX21" s="50">
        <v>-999999</v>
      </c>
      <c r="HY21" s="50"/>
      <c r="HZ21" s="50"/>
      <c r="IA21" s="50"/>
      <c r="IB21" s="50"/>
      <c r="IC21" s="50"/>
      <c r="ID21" s="50"/>
      <c r="IE21" s="50"/>
      <c r="IF21" s="50"/>
      <c r="IG21" s="50"/>
      <c r="IH21" s="50"/>
      <c r="II21" s="50"/>
      <c r="IJ21" s="50"/>
      <c r="IK21" s="50"/>
      <c r="IL21" s="50"/>
      <c r="IM21" s="50"/>
      <c r="IN21" s="50"/>
      <c r="IO21" s="50"/>
      <c r="IP21" s="50"/>
      <c r="IQ21" s="50"/>
      <c r="IR21" s="50"/>
      <c r="IS21" s="50"/>
      <c r="IT21" s="50"/>
      <c r="IU21" s="50"/>
      <c r="IV21" s="50"/>
      <c r="IW21" s="50"/>
      <c r="IX21" s="50"/>
      <c r="IY21" s="50"/>
      <c r="IZ21" s="50"/>
      <c r="JA21" s="50"/>
      <c r="JB21" s="50"/>
      <c r="JC21" s="50"/>
      <c r="JD21" s="50"/>
      <c r="JE21" s="50"/>
      <c r="JF21" s="50"/>
      <c r="JG21" s="50"/>
      <c r="JH21" s="50"/>
      <c r="JI21" s="50"/>
      <c r="JJ21" s="50"/>
      <c r="JK21" s="50"/>
      <c r="JL21" s="50"/>
      <c r="JM21" s="50"/>
      <c r="JN21" s="50"/>
      <c r="JO21" s="50"/>
      <c r="JP21" s="50"/>
      <c r="JQ21" s="50"/>
      <c r="JR21" s="50"/>
      <c r="JS21" s="50"/>
      <c r="JT21" s="50"/>
      <c r="JU21" s="50"/>
      <c r="JV21" s="50"/>
      <c r="JW21" s="52">
        <f t="shared" si="23"/>
        <v>2724.7133794052752</v>
      </c>
      <c r="JX21" s="27">
        <f t="shared" si="24"/>
        <v>367580.45438226871</v>
      </c>
      <c r="JY21" s="107">
        <f>JW21*EchelleFPAparam!$Q$3</f>
        <v>-2.5952894938835246E-2</v>
      </c>
      <c r="KA21" s="19"/>
      <c r="KB21" s="19"/>
      <c r="KC21" s="19"/>
      <c r="KD21" s="19"/>
      <c r="KE21" s="19"/>
      <c r="KF21" s="19"/>
      <c r="KG21" s="19"/>
      <c r="KH21" s="19"/>
      <c r="KI21" s="19"/>
      <c r="KJ21" s="19"/>
      <c r="KK21" s="19"/>
      <c r="KL21" s="19"/>
      <c r="KM21" s="19"/>
      <c r="KW21" s="19"/>
      <c r="KX21" s="19"/>
      <c r="KY21" s="19"/>
      <c r="KZ21" s="19"/>
      <c r="LA21" s="19"/>
      <c r="LB21" s="19"/>
      <c r="LC21" s="19"/>
      <c r="LD21" s="19"/>
      <c r="LE21" s="19"/>
      <c r="LF21" s="19"/>
    </row>
    <row r="22" spans="1:318" x14ac:dyDescent="0.2">
      <c r="A22" s="53">
        <f t="shared" si="35"/>
        <v>16</v>
      </c>
      <c r="B22" s="96">
        <f t="shared" si="0"/>
        <v>3376.9649877350294</v>
      </c>
      <c r="C22" s="27" t="str">
        <f>'Standard Settings'!B17</f>
        <v>L/3/7</v>
      </c>
      <c r="D22" s="27">
        <f>'Standard Settings'!H17</f>
        <v>17</v>
      </c>
      <c r="E22" s="19">
        <f t="shared" si="1"/>
        <v>9.7499674569450079E-3</v>
      </c>
      <c r="F22" s="18">
        <f>((EchelleFPAparam!$S$3/('crmcfgWLEN.txt'!$U22+F$53))*(SIN('Standard Settings'!$F17+0.0005)+SIN('Standard Settings'!$F17+0.0005+EchelleFPAparam!$M$3))-(EchelleFPAparam!$S$3/('crmcfgWLEN.txt'!$U22+F$53))*(SIN('Standard Settings'!$F17-0.0005)+SIN('Standard Settings'!$F17-0.0005+EchelleFPAparam!$M$3)))*1000*EchelleFPAparam!$O$3/180</f>
        <v>26.667610012445817</v>
      </c>
      <c r="G22" s="20" t="str">
        <f>'Standard Settings'!C17</f>
        <v>L</v>
      </c>
      <c r="H22" s="46"/>
      <c r="I22" s="59" t="s">
        <v>361</v>
      </c>
      <c r="J22" s="57"/>
      <c r="K22" s="27" t="str">
        <f>'Standard Settings'!$D17</f>
        <v>LM</v>
      </c>
      <c r="L22" s="46"/>
      <c r="M22" s="12">
        <v>2.5</v>
      </c>
      <c r="N22" s="12">
        <v>2.5</v>
      </c>
      <c r="O22" s="47" t="s">
        <v>384</v>
      </c>
      <c r="P22" s="47" t="s">
        <v>384</v>
      </c>
      <c r="Q22" s="27">
        <f>'Standard Settings'!$E17</f>
        <v>67.258650000000003</v>
      </c>
      <c r="R22" s="106">
        <f>'Standard Settings'!$J17</f>
        <v>330000</v>
      </c>
      <c r="S22" s="21">
        <f>'Standard Settings'!$G17</f>
        <v>14</v>
      </c>
      <c r="T22" s="21">
        <f>'Standard Settings'!$I17</f>
        <v>20</v>
      </c>
      <c r="U22" s="22">
        <f t="shared" si="25"/>
        <v>13</v>
      </c>
      <c r="V22" s="22">
        <f t="shared" si="26"/>
        <v>22</v>
      </c>
      <c r="W22" s="23">
        <f>IF(AND($U22-$S22+B$53&gt;=0,$U22-$T22+B$53&lt;=0),(EchelleFPAparam!$S$3/('crmcfgWLEN.txt'!$U22+B$53))*(SIN('Standard Settings'!$F17)+SIN('Standard Settings'!$F17+EchelleFPAparam!$M$3)),-1)</f>
        <v>-1</v>
      </c>
      <c r="X22" s="23">
        <f>IF(AND($U22-$S22+C$53&gt;=0,$U22-$T22+C$53&lt;=0),(EchelleFPAparam!$S$3/('crmcfgWLEN.txt'!$U22+C$53))*(SIN('Standard Settings'!$F17)+SIN('Standard Settings'!$F17+EchelleFPAparam!$M$3)),-1)</f>
        <v>4100.6003422496788</v>
      </c>
      <c r="Y22" s="23">
        <f>IF(AND($U22-$S22+D$53&gt;=0,$U22-$T22+D$53&lt;=0),(EchelleFPAparam!$S$3/('crmcfgWLEN.txt'!$U22+D$53))*(SIN('Standard Settings'!$F17)+SIN('Standard Settings'!$F17+EchelleFPAparam!$M$3)),-1)</f>
        <v>3827.2269860996994</v>
      </c>
      <c r="Z22" s="23">
        <f>IF(AND($U22-$S22+E$53&gt;=0,$U22-$T22+E$53&lt;=0),(EchelleFPAparam!$S$3/('crmcfgWLEN.txt'!$U22+E$53))*(SIN('Standard Settings'!$F17)+SIN('Standard Settings'!$F17+EchelleFPAparam!$M$3)),-1)</f>
        <v>3588.0252994684688</v>
      </c>
      <c r="AA22" s="23">
        <f>IF(AND($U22-$S22+F$53&gt;=0,$U22-$T22+F$53&lt;=0),(EchelleFPAparam!$S$3/('crmcfgWLEN.txt'!$U22+F$53))*(SIN('Standard Settings'!$F17)+SIN('Standard Settings'!$F17+EchelleFPAparam!$M$3)),-1)</f>
        <v>3376.9649877350294</v>
      </c>
      <c r="AB22" s="23">
        <f>IF(AND($U22-$S22+G$53&gt;=0,$U22-$T22+G$53&lt;=0),(EchelleFPAparam!$S$3/('crmcfgWLEN.txt'!$U22+G$53))*(SIN('Standard Settings'!$F17)+SIN('Standard Settings'!$F17+EchelleFPAparam!$M$3)),-1)</f>
        <v>3189.3558217497498</v>
      </c>
      <c r="AC22" s="23">
        <f>IF(AND($U22-$S22+H$53&gt;=0,$U22-$T22+H$53&lt;=0),(EchelleFPAparam!$S$3/('crmcfgWLEN.txt'!$U22+H$53))*(SIN('Standard Settings'!$F17)+SIN('Standard Settings'!$F17+EchelleFPAparam!$M$3)),-1)</f>
        <v>3021.4949890260791</v>
      </c>
      <c r="AD22" s="23">
        <f>IF(AND($U22-$S22+I$53&gt;=0,$U22-$T22+I$53&lt;=0),(EchelleFPAparam!$S$3/('crmcfgWLEN.txt'!$U22+I$53))*(SIN('Standard Settings'!$F17)+SIN('Standard Settings'!$F17+EchelleFPAparam!$M$3)),-1)</f>
        <v>2870.4202395747752</v>
      </c>
      <c r="AE22" s="23">
        <f>IF(AND($U22-$S22+J$53&gt;=0,$U22-$T22+J$53&lt;=0),(EchelleFPAparam!$S$3/('crmcfgWLEN.txt'!$U22+J$53))*(SIN('Standard Settings'!$F17)+SIN('Standard Settings'!$F17+EchelleFPAparam!$M$3)),-1)</f>
        <v>-1</v>
      </c>
      <c r="AF22" s="23">
        <f>IF(AND($U22-$S22+K$53&gt;=0,$U22-$T22+K$53&lt;=0),(EchelleFPAparam!$S$3/('crmcfgWLEN.txt'!$U22+K$53))*(SIN('Standard Settings'!$F17)+SIN('Standard Settings'!$F17+EchelleFPAparam!$M$3)),-1)</f>
        <v>-1</v>
      </c>
      <c r="AG22" s="159">
        <v>-100.1</v>
      </c>
      <c r="AH22" s="157">
        <v>233.75873945604701</v>
      </c>
      <c r="AI22" s="157">
        <v>596.37033438846595</v>
      </c>
      <c r="AJ22" s="157">
        <v>912.99742763214601</v>
      </c>
      <c r="AK22" s="157">
        <v>1192.02910849973</v>
      </c>
      <c r="AL22" s="157">
        <v>1440.0752700648</v>
      </c>
      <c r="AM22" s="157">
        <v>1662.7887262071799</v>
      </c>
      <c r="AN22" s="157">
        <v>1954.8293787862599</v>
      </c>
      <c r="AO22" s="159">
        <v>-100.1</v>
      </c>
      <c r="AP22" s="159">
        <v>-100.1</v>
      </c>
      <c r="AQ22" s="160">
        <v>-100.1</v>
      </c>
      <c r="AR22" s="157">
        <v>251.442736195566</v>
      </c>
      <c r="AS22" s="157">
        <v>616.35859897995101</v>
      </c>
      <c r="AT22" s="157">
        <v>934.96472383309504</v>
      </c>
      <c r="AU22" s="157">
        <v>1215.6915759455901</v>
      </c>
      <c r="AV22" s="157">
        <v>1465.1871095710501</v>
      </c>
      <c r="AW22" s="157">
        <v>1689.3839836723701</v>
      </c>
      <c r="AX22" s="157">
        <v>1944.1912623936601</v>
      </c>
      <c r="AY22" s="160">
        <v>-100.1</v>
      </c>
      <c r="AZ22" s="160">
        <v>-100.1</v>
      </c>
      <c r="BA22" s="161">
        <v>-100.1</v>
      </c>
      <c r="BB22" s="157">
        <v>268.52037770111798</v>
      </c>
      <c r="BC22" s="157">
        <v>635.99989619476003</v>
      </c>
      <c r="BD22" s="157">
        <v>956.86184878784798</v>
      </c>
      <c r="BE22" s="157">
        <v>1239.5470197479001</v>
      </c>
      <c r="BF22" s="157">
        <v>1490.61450791986</v>
      </c>
      <c r="BG22" s="157">
        <v>1715.48242639972</v>
      </c>
      <c r="BH22" s="157">
        <v>1939.8739013928</v>
      </c>
      <c r="BI22" s="161">
        <v>-100.1</v>
      </c>
      <c r="BJ22" s="161">
        <v>-100.1</v>
      </c>
      <c r="BK22" s="24">
        <f>EchelleFPAparam!$S$3/('crmcfgWLEN.txt'!$U22+B$53)*(SIN(EchelleFPAparam!$T$3-EchelleFPAparam!$M$3/2)+SIN('Standard Settings'!$F17+EchelleFPAparam!$M$3))</f>
        <v>4383.813418631803</v>
      </c>
      <c r="BL22" s="24">
        <f>EchelleFPAparam!$S$3/('crmcfgWLEN.txt'!$U22+C$53)*(SIN(EchelleFPAparam!$T$3-EchelleFPAparam!$M$3/2)+SIN('Standard Settings'!$F17+EchelleFPAparam!$M$3))</f>
        <v>4070.6838887295312</v>
      </c>
      <c r="BM22" s="24">
        <f>EchelleFPAparam!$S$3/('crmcfgWLEN.txt'!$U22+D$53)*(SIN(EchelleFPAparam!$T$3-EchelleFPAparam!$M$3/2)+SIN('Standard Settings'!$F17+EchelleFPAparam!$M$3))</f>
        <v>3799.3049628142289</v>
      </c>
      <c r="BN22" s="24">
        <f>EchelleFPAparam!$S$3/('crmcfgWLEN.txt'!$U22+E$53)*(SIN(EchelleFPAparam!$T$3-EchelleFPAparam!$M$3/2)+SIN('Standard Settings'!$F17+EchelleFPAparam!$M$3))</f>
        <v>3561.8484026383403</v>
      </c>
      <c r="BO22" s="24">
        <f>EchelleFPAparam!$S$3/('crmcfgWLEN.txt'!$U22+F$53)*(SIN(EchelleFPAparam!$T$3-EchelleFPAparam!$M$3/2)+SIN('Standard Settings'!$F17+EchelleFPAparam!$M$3))</f>
        <v>3352.3279083654966</v>
      </c>
      <c r="BP22" s="24">
        <f>EchelleFPAparam!$S$3/('crmcfgWLEN.txt'!$U22+G$53)*(SIN(EchelleFPAparam!$T$3-EchelleFPAparam!$M$3/2)+SIN('Standard Settings'!$F17+EchelleFPAparam!$M$3))</f>
        <v>3166.087469011858</v>
      </c>
      <c r="BQ22" s="24">
        <f>EchelleFPAparam!$S$3/('crmcfgWLEN.txt'!$U22+H$53)*(SIN(EchelleFPAparam!$T$3-EchelleFPAparam!$M$3/2)+SIN('Standard Settings'!$F17+EchelleFPAparam!$M$3))</f>
        <v>2999.4512864322865</v>
      </c>
      <c r="BR22" s="24">
        <f>EchelleFPAparam!$S$3/('crmcfgWLEN.txt'!$U22+I$53)*(SIN(EchelleFPAparam!$T$3-EchelleFPAparam!$M$3/2)+SIN('Standard Settings'!$F17+EchelleFPAparam!$M$3))</f>
        <v>2849.4787221106722</v>
      </c>
      <c r="BS22" s="24">
        <f>EchelleFPAparam!$S$3/('crmcfgWLEN.txt'!$U22+J$53)*(SIN(EchelleFPAparam!$T$3-EchelleFPAparam!$M$3/2)+SIN('Standard Settings'!$F17+EchelleFPAparam!$M$3))</f>
        <v>2713.7892591530212</v>
      </c>
      <c r="BT22" s="24">
        <f>EchelleFPAparam!$S$3/('crmcfgWLEN.txt'!$U22+K$53)*(SIN(EchelleFPAparam!$T$3-EchelleFPAparam!$M$3/2)+SIN('Standard Settings'!$F17+EchelleFPAparam!$M$3))</f>
        <v>2590.4352019187932</v>
      </c>
      <c r="BU22" s="25">
        <f t="shared" si="33"/>
        <v>4258.5616066708944</v>
      </c>
      <c r="BV22" s="25">
        <f t="shared" si="2"/>
        <v>3960.665405250355</v>
      </c>
      <c r="BW22" s="25">
        <f t="shared" si="3"/>
        <v>3701.8868868446334</v>
      </c>
      <c r="BX22" s="25">
        <f t="shared" si="4"/>
        <v>3474.9740513544784</v>
      </c>
      <c r="BY22" s="25">
        <f t="shared" si="5"/>
        <v>3274.3667942174616</v>
      </c>
      <c r="BZ22" s="25">
        <f t="shared" si="6"/>
        <v>3095.7299697004833</v>
      </c>
      <c r="CA22" s="25">
        <f t="shared" si="7"/>
        <v>2935.6331739550037</v>
      </c>
      <c r="CB22" s="25">
        <f t="shared" si="8"/>
        <v>2791.3260951288216</v>
      </c>
      <c r="CC22" s="25">
        <f t="shared" si="9"/>
        <v>2660.5777050519814</v>
      </c>
      <c r="CD22" s="25">
        <f t="shared" si="10"/>
        <v>2541.5590660335329</v>
      </c>
      <c r="CE22" s="25">
        <f t="shared" si="34"/>
        <v>4516.6562494994332</v>
      </c>
      <c r="CF22" s="25">
        <f t="shared" si="11"/>
        <v>4186.9891426932318</v>
      </c>
      <c r="CG22" s="25">
        <f t="shared" si="12"/>
        <v>3901.9888807281268</v>
      </c>
      <c r="CH22" s="25">
        <f t="shared" si="13"/>
        <v>3653.1778488598361</v>
      </c>
      <c r="CI22" s="25">
        <f t="shared" si="14"/>
        <v>3434.0920036914845</v>
      </c>
      <c r="CJ22" s="25">
        <f t="shared" si="15"/>
        <v>3239.7174101516689</v>
      </c>
      <c r="CK22" s="25">
        <f t="shared" si="16"/>
        <v>3066.1057594641147</v>
      </c>
      <c r="CL22" s="25">
        <f t="shared" si="17"/>
        <v>2910.1059289640903</v>
      </c>
      <c r="CM22" s="25">
        <f t="shared" si="18"/>
        <v>2769.1727134214502</v>
      </c>
      <c r="CN22" s="25">
        <f t="shared" si="19"/>
        <v>2641.2280490152398</v>
      </c>
      <c r="CO22" s="26">
        <f>(EchelleFPAparam!$S$3/($U22+B$53)*COS((AG22-EchelleFPAparam!$AE18)*EchelleFPAparam!$C$3/EchelleFPAparam!$E$3))*(SIN('Standard Settings'!$F17)+SIN('Standard Settings'!$F17+EchelleFPAparam!$M$3+(EchelleFPAparam!$F$3*EchelleFPAparam!$B$6)*COS(EchelleFPAparam!$AC$3)-(AG22-1024)*SIN(EchelleFPAparam!$AC$3)*EchelleFPAparam!$C$3/EchelleFPAparam!$E$3))</f>
        <v>4372.2048278912753</v>
      </c>
      <c r="CP22" s="26">
        <f>(EchelleFPAparam!$S$3/($U22+C$53)*COS((AH22-EchelleFPAparam!$AE18)*EchelleFPAparam!$C$3/EchelleFPAparam!$E$3))*(SIN('Standard Settings'!$F17)+SIN('Standard Settings'!$F17+EchelleFPAparam!$M$3+(EchelleFPAparam!$F$3*EchelleFPAparam!$B$6)*COS(EchelleFPAparam!$AC$3)-(AH22-1024)*SIN(EchelleFPAparam!$AC$3)*EchelleFPAparam!$C$3/EchelleFPAparam!$E$3))</f>
        <v>4060.2877561384139</v>
      </c>
      <c r="CQ22" s="26">
        <f>(EchelleFPAparam!$S$3/($U22+D$53)*COS((AI22-EchelleFPAparam!$AE18)*EchelleFPAparam!$C$3/EchelleFPAparam!$E$3))*(SIN('Standard Settings'!$F17)+SIN('Standard Settings'!$F17+EchelleFPAparam!$M$3+(EchelleFPAparam!$F$3*EchelleFPAparam!$B$6)*COS(EchelleFPAparam!$AC$3)-(AI22-1024)*SIN(EchelleFPAparam!$AC$3)*EchelleFPAparam!$C$3/EchelleFPAparam!$E$3))</f>
        <v>3789.9226106432779</v>
      </c>
      <c r="CR22" s="26">
        <f>(EchelleFPAparam!$S$3/($U22+E$53)*COS((AJ22-EchelleFPAparam!$AE18)*EchelleFPAparam!$C$3/EchelleFPAparam!$E$3))*(SIN('Standard Settings'!$F17)+SIN('Standard Settings'!$F17+EchelleFPAparam!$M$3+(EchelleFPAparam!$F$3*EchelleFPAparam!$B$6)*COS(EchelleFPAparam!$AC$3)-(AJ22-1024)*SIN(EchelleFPAparam!$AC$3)*EchelleFPAparam!$C$3/EchelleFPAparam!$E$3))</f>
        <v>3553.2608247863659</v>
      </c>
      <c r="CS22" s="26">
        <f>(EchelleFPAparam!$S$3/($U22+F$53)*COS((AK22-EchelleFPAparam!$AE18)*EchelleFPAparam!$C$3/EchelleFPAparam!$E$3))*(SIN('Standard Settings'!$F17)+SIN('Standard Settings'!$F17+EchelleFPAparam!$M$3+(EchelleFPAparam!$F$3*EchelleFPAparam!$B$6)*COS(EchelleFPAparam!$AC$3)-(AK22-1024)*SIN(EchelleFPAparam!$AC$3)*EchelleFPAparam!$C$3/EchelleFPAparam!$E$3))</f>
        <v>3344.3789204001346</v>
      </c>
      <c r="CT22" s="26">
        <f>(EchelleFPAparam!$S$3/($U22+G$53)*COS((AL22-EchelleFPAparam!$AE18)*EchelleFPAparam!$C$3/EchelleFPAparam!$E$3))*(SIN('Standard Settings'!$F17)+SIN('Standard Settings'!$F17+EchelleFPAparam!$M$3+(EchelleFPAparam!$F$3*EchelleFPAparam!$B$6)*COS(EchelleFPAparam!$AC$3)-(AL22-1024)*SIN(EchelleFPAparam!$AC$3)*EchelleFPAparam!$C$3/EchelleFPAparam!$E$3))</f>
        <v>3158.6628528385818</v>
      </c>
      <c r="CU22" s="26">
        <f>(EchelleFPAparam!$S$3/($U22+H$53)*COS((AM22-EchelleFPAparam!$AE18)*EchelleFPAparam!$C$3/EchelleFPAparam!$E$3))*(SIN('Standard Settings'!$F17)+SIN('Standard Settings'!$F17+EchelleFPAparam!$M$3+(EchelleFPAparam!$F$3*EchelleFPAparam!$B$6)*COS(EchelleFPAparam!$AC$3)-(AM22-1024)*SIN(EchelleFPAparam!$AC$3)*EchelleFPAparam!$C$3/EchelleFPAparam!$E$3))</f>
        <v>2992.4655996744173</v>
      </c>
      <c r="CV22" s="26">
        <f>(EchelleFPAparam!$S$3/($U22+I$53)*COS((AN22-EchelleFPAparam!$AE18)*EchelleFPAparam!$C$3/EchelleFPAparam!$E$3))*(SIN('Standard Settings'!$F17)+SIN('Standard Settings'!$F17+EchelleFPAparam!$M$3+(EchelleFPAparam!$F$3*EchelleFPAparam!$B$6)*COS(EchelleFPAparam!$AC$3)-(AN22-1024)*SIN(EchelleFPAparam!$AC$3)*EchelleFPAparam!$C$3/EchelleFPAparam!$E$3))</f>
        <v>2842.8720210073811</v>
      </c>
      <c r="CW22" s="26">
        <f>(EchelleFPAparam!$S$3/($U22+J$53)*COS((AO22-EchelleFPAparam!$AE18)*EchelleFPAparam!$C$3/EchelleFPAparam!$E$3))*(SIN('Standard Settings'!$F17)+SIN('Standard Settings'!$F17+EchelleFPAparam!$M$3+(EchelleFPAparam!$F$3*EchelleFPAparam!$B$6)*COS(EchelleFPAparam!$AC$3)-(AO22-1024)*SIN(EchelleFPAparam!$AC$3)*EchelleFPAparam!$C$3/EchelleFPAparam!$E$3))</f>
        <v>2706.6029886945989</v>
      </c>
      <c r="CX22" s="26">
        <f>(EchelleFPAparam!$S$3/($U22+K$53)*COS((AP22-EchelleFPAparam!$AE18)*EchelleFPAparam!$C$3/EchelleFPAparam!$E$3))*(SIN('Standard Settings'!$F17)+SIN('Standard Settings'!$F17+EchelleFPAparam!$M$3+(EchelleFPAparam!$F$3*EchelleFPAparam!$B$6)*COS(EchelleFPAparam!$AC$3)-(AP22-1024)*SIN(EchelleFPAparam!$AC$3)*EchelleFPAparam!$C$3/EchelleFPAparam!$E$3))</f>
        <v>2583.5755801175719</v>
      </c>
      <c r="CY22" s="26">
        <f>(EchelleFPAparam!$S$3/($U22+B$53)*COS((AG22-EchelleFPAparam!$AE18)*EchelleFPAparam!$C$3/EchelleFPAparam!$E$3))*(SIN('Standard Settings'!$F17)+SIN('Standard Settings'!$F17+EchelleFPAparam!$M$3+EchelleFPAparam!$G$3*EchelleFPAparam!$B$6*COS(EchelleFPAparam!$AC$3)-(AG22-1024)*SIN(EchelleFPAparam!$AC$3)*EchelleFPAparam!$C$3/EchelleFPAparam!$E$3))</f>
        <v>4399.7364961429103</v>
      </c>
      <c r="CZ22" s="26">
        <f>(EchelleFPAparam!$S$3/($U22+C$53)*COS((AH22-EchelleFPAparam!$AE18)*EchelleFPAparam!$C$3/EchelleFPAparam!$E$3))*(SIN('Standard Settings'!$F17)+SIN('Standard Settings'!$F17+EchelleFPAparam!$M$3+EchelleFPAparam!$G$3*EchelleFPAparam!$B$6*COS(EchelleFPAparam!$AC$3)-(AH22-1024)*SIN(EchelleFPAparam!$AC$3)*EchelleFPAparam!$C$3/EchelleFPAparam!$E$3))</f>
        <v>4085.8499822151821</v>
      </c>
      <c r="DA22" s="26">
        <f>(EchelleFPAparam!$S$3/($U22+D$53)*COS((AI22-EchelleFPAparam!$AE18)*EchelleFPAparam!$C$3/EchelleFPAparam!$E$3))*(SIN('Standard Settings'!$F17)+SIN('Standard Settings'!$F17+EchelleFPAparam!$M$3+EchelleFPAparam!$G$3*EchelleFPAparam!$B$6*COS(EchelleFPAparam!$AC$3)-(AI22-1024)*SIN(EchelleFPAparam!$AC$3)*EchelleFPAparam!$C$3/EchelleFPAparam!$E$3))</f>
        <v>3813.7773263658837</v>
      </c>
      <c r="DB22" s="26">
        <f>(EchelleFPAparam!$S$3/($U22+E$53)*COS((AJ22-EchelleFPAparam!$AE18)*EchelleFPAparam!$C$3/EchelleFPAparam!$E$3))*(SIN('Standard Settings'!$F17)+SIN('Standard Settings'!$F17+EchelleFPAparam!$M$3+EchelleFPAparam!$G$3*EchelleFPAparam!$B$6*COS(EchelleFPAparam!$AC$3)-(AJ22-1024)*SIN(EchelleFPAparam!$AC$3)*EchelleFPAparam!$C$3/EchelleFPAparam!$E$3))</f>
        <v>3575.6215272724558</v>
      </c>
      <c r="DC22" s="26">
        <f>(EchelleFPAparam!$S$3/($U22+F$53)*COS((AK22-EchelleFPAparam!$AE18)*EchelleFPAparam!$C$3/EchelleFPAparam!$E$3))*(SIN('Standard Settings'!$F17)+SIN('Standard Settings'!$F17+EchelleFPAparam!$M$3+EchelleFPAparam!$G$3*EchelleFPAparam!$B$6*COS(EchelleFPAparam!$AC$3)-(AK22-1024)*SIN(EchelleFPAparam!$AC$3)*EchelleFPAparam!$C$3/EchelleFPAparam!$E$3))</f>
        <v>3365.4214734375155</v>
      </c>
      <c r="DD22" s="26">
        <f>(EchelleFPAparam!$S$3/($U22+G$53)*COS((AL22-EchelleFPAparam!$AE18)*EchelleFPAparam!$C$3/EchelleFPAparam!$E$3))*(SIN('Standard Settings'!$F17)+SIN('Standard Settings'!$F17+EchelleFPAparam!$M$3+EchelleFPAparam!$G$3*EchelleFPAparam!$B$6*COS(EchelleFPAparam!$AC$3)-(AL22-1024)*SIN(EchelleFPAparam!$AC$3)*EchelleFPAparam!$C$3/EchelleFPAparam!$E$3))</f>
        <v>3178.5338283084643</v>
      </c>
      <c r="DE22" s="26">
        <f>(EchelleFPAparam!$S$3/($U22+H$53)*COS((AM22-EchelleFPAparam!$AE18)*EchelleFPAparam!$C$3/EchelleFPAparam!$E$3))*(SIN('Standard Settings'!$F17)+SIN('Standard Settings'!$F17+EchelleFPAparam!$M$3+EchelleFPAparam!$G$3*EchelleFPAparam!$B$6*COS(EchelleFPAparam!$AC$3)-(AM22-1024)*SIN(EchelleFPAparam!$AC$3)*EchelleFPAparam!$C$3/EchelleFPAparam!$E$3))</f>
        <v>3011.288427990979</v>
      </c>
      <c r="DF22" s="26">
        <f>(EchelleFPAparam!$S$3/($U22+I$53)*COS((AN22-EchelleFPAparam!$AE18)*EchelleFPAparam!$C$3/EchelleFPAparam!$E$3))*(SIN('Standard Settings'!$F17)+SIN('Standard Settings'!$F17+EchelleFPAparam!$M$3+EchelleFPAparam!$G$3*EchelleFPAparam!$B$6*COS(EchelleFPAparam!$AC$3)-(AN22-1024)*SIN(EchelleFPAparam!$AC$3)*EchelleFPAparam!$C$3/EchelleFPAparam!$E$3))</f>
        <v>2860.7506442942749</v>
      </c>
      <c r="DG22" s="26">
        <f>(EchelleFPAparam!$S$3/($U22+J$53)*COS((AO22-EchelleFPAparam!$AE18)*EchelleFPAparam!$C$3/EchelleFPAparam!$E$3))*(SIN('Standard Settings'!$F17)+SIN('Standard Settings'!$F17+EchelleFPAparam!$M$3+EchelleFPAparam!$G$3*EchelleFPAparam!$B$6*COS(EchelleFPAparam!$AC$3)-(AO22-1024)*SIN(EchelleFPAparam!$AC$3)*EchelleFPAparam!$C$3/EchelleFPAparam!$E$3))</f>
        <v>2723.6464023741828</v>
      </c>
      <c r="DH22" s="26">
        <f>(EchelleFPAparam!$S$3/($U22+K$53)*COS((AP22-EchelleFPAparam!$AE18)*EchelleFPAparam!$C$3/EchelleFPAparam!$E$3))*(SIN('Standard Settings'!$F17)+SIN('Standard Settings'!$F17+EchelleFPAparam!$M$3+EchelleFPAparam!$G$3*EchelleFPAparam!$B$6*COS(EchelleFPAparam!$AC$3)-(AP22-1024)*SIN(EchelleFPAparam!$AC$3)*EchelleFPAparam!$C$3/EchelleFPAparam!$E$3))</f>
        <v>2599.8442931753566</v>
      </c>
      <c r="DI22" s="26">
        <f>(EchelleFPAparam!$S$3/($U22+B$53)*COS((AQ22-EchelleFPAparam!$AE18)*EchelleFPAparam!$C$3/EchelleFPAparam!$E$3))*(SIN('Standard Settings'!$F17)+SIN('Standard Settings'!$F17+EchelleFPAparam!$M$3+EchelleFPAparam!$H$3*EchelleFPAparam!$B$6*COS(EchelleFPAparam!$AC$3)-(AQ22-1024)*SIN(EchelleFPAparam!$AC$3)*EchelleFPAparam!$C$3/EchelleFPAparam!$E$3))</f>
        <v>4401.6253370347504</v>
      </c>
      <c r="DJ22" s="26">
        <f>(EchelleFPAparam!$S$3/($U22+C$53)*COS((AR22-EchelleFPAparam!$AE18)*EchelleFPAparam!$C$3/EchelleFPAparam!$E$3))*(SIN('Standard Settings'!$F17)+SIN('Standard Settings'!$F17+EchelleFPAparam!$M$3+EchelleFPAparam!$H$3*EchelleFPAparam!$B$6*COS(EchelleFPAparam!$AC$3)-(AR22-1024)*SIN(EchelleFPAparam!$AC$3)*EchelleFPAparam!$C$3/EchelleFPAparam!$E$3))</f>
        <v>4087.6220329584644</v>
      </c>
      <c r="DK22" s="26">
        <f>(EchelleFPAparam!$S$3/($U22+D$53)*COS((AS22-EchelleFPAparam!$AE18)*EchelleFPAparam!$C$3/EchelleFPAparam!$E$3))*(SIN('Standard Settings'!$F17)+SIN('Standard Settings'!$F17+EchelleFPAparam!$M$3+EchelleFPAparam!$H$3*EchelleFPAparam!$B$6*COS(EchelleFPAparam!$AC$3)-(AS22-1024)*SIN(EchelleFPAparam!$AC$3)*EchelleFPAparam!$C$3/EchelleFPAparam!$E$3))</f>
        <v>3815.4292969648736</v>
      </c>
      <c r="DL22" s="26">
        <f>(EchelleFPAparam!$S$3/($U22+E$53)*COS((AT22-EchelleFPAparam!$AE18)*EchelleFPAparam!$C$3/EchelleFPAparam!$E$3))*(SIN('Standard Settings'!$F17)+SIN('Standard Settings'!$F17+EchelleFPAparam!$M$3+EchelleFPAparam!$H$3*EchelleFPAparam!$B$6*COS(EchelleFPAparam!$AC$3)-(AT22-1024)*SIN(EchelleFPAparam!$AC$3)*EchelleFPAparam!$C$3/EchelleFPAparam!$E$3))</f>
        <v>3577.1679215174863</v>
      </c>
      <c r="DM22" s="26">
        <f>(EchelleFPAparam!$S$3/($U22+F$53)*COS((AU22-EchelleFPAparam!$AE18)*EchelleFPAparam!$C$3/EchelleFPAparam!$E$3))*(SIN('Standard Settings'!$F17)+SIN('Standard Settings'!$F17+EchelleFPAparam!$M$3+EchelleFPAparam!$H$3*EchelleFPAparam!$B$6*COS(EchelleFPAparam!$AC$3)-(AU22-1024)*SIN(EchelleFPAparam!$AC$3)*EchelleFPAparam!$C$3/EchelleFPAparam!$E$3))</f>
        <v>3366.8744386013695</v>
      </c>
      <c r="DN22" s="26">
        <f>(EchelleFPAparam!$S$3/($U22+G$53)*COS((AV22-EchelleFPAparam!$AE18)*EchelleFPAparam!$C$3/EchelleFPAparam!$E$3))*(SIN('Standard Settings'!$F17)+SIN('Standard Settings'!$F17+EchelleFPAparam!$M$3+EchelleFPAparam!$H$3*EchelleFPAparam!$B$6*COS(EchelleFPAparam!$AC$3)-(AV22-1024)*SIN(EchelleFPAparam!$AC$3)*EchelleFPAparam!$C$3/EchelleFPAparam!$E$3))</f>
        <v>3179.9036172558867</v>
      </c>
      <c r="DO22" s="26">
        <f>(EchelleFPAparam!$S$3/($U22+H$53)*COS((AW22-EchelleFPAparam!$AE18)*EchelleFPAparam!$C$3/EchelleFPAparam!$E$3))*(SIN('Standard Settings'!$F17)+SIN('Standard Settings'!$F17+EchelleFPAparam!$M$3+EchelleFPAparam!$H$3*EchelleFPAparam!$B$6*COS(EchelleFPAparam!$AC$3)-(AW22-1024)*SIN(EchelleFPAparam!$AC$3)*EchelleFPAparam!$C$3/EchelleFPAparam!$E$3))</f>
        <v>3012.5837882465812</v>
      </c>
      <c r="DP22" s="26">
        <f>(EchelleFPAparam!$S$3/($U22+I$53)*COS((AX22-EchelleFPAparam!$AE18)*EchelleFPAparam!$C$3/EchelleFPAparam!$E$3))*(SIN('Standard Settings'!$F17)+SIN('Standard Settings'!$F17+EchelleFPAparam!$M$3+EchelleFPAparam!$H$3*EchelleFPAparam!$B$6*COS(EchelleFPAparam!$AC$3)-(AX22-1024)*SIN(EchelleFPAparam!$AC$3)*EchelleFPAparam!$C$3/EchelleFPAparam!$E$3))</f>
        <v>2861.9768265056541</v>
      </c>
      <c r="DQ22" s="26">
        <f>(EchelleFPAparam!$S$3/($U22+J$53)*COS((AY22-EchelleFPAparam!$AE18)*EchelleFPAparam!$C$3/EchelleFPAparam!$E$3))*(SIN('Standard Settings'!$F17)+SIN('Standard Settings'!$F17+EchelleFPAparam!$M$3+EchelleFPAparam!$H$3*EchelleFPAparam!$B$6*COS(EchelleFPAparam!$AC$3)-(AY22-1024)*SIN(EchelleFPAparam!$AC$3)*EchelleFPAparam!$C$3/EchelleFPAparam!$E$3))</f>
        <v>2724.8156848310359</v>
      </c>
      <c r="DR22" s="26">
        <f>(EchelleFPAparam!$S$3/($U22+K$53)*COS((AZ22-EchelleFPAparam!$AE18)*EchelleFPAparam!$C$3/EchelleFPAparam!$E$3))*(SIN('Standard Settings'!$F17)+SIN('Standard Settings'!$F17+EchelleFPAparam!$M$3+EchelleFPAparam!$H$3*EchelleFPAparam!$B$6*COS(EchelleFPAparam!$AC$3)-(AZ22-1024)*SIN(EchelleFPAparam!$AC$3)*EchelleFPAparam!$C$3/EchelleFPAparam!$E$3))</f>
        <v>2600.9604264296254</v>
      </c>
      <c r="DS22" s="26">
        <f>(EchelleFPAparam!$S$3/($U22+B$53)*COS((AQ22-EchelleFPAparam!$AE18)*EchelleFPAparam!$C$3/EchelleFPAparam!$E$3))*(SIN('Standard Settings'!$F17)+SIN('Standard Settings'!$F17+EchelleFPAparam!$M$3+EchelleFPAparam!$I$3*EchelleFPAparam!$B$6*COS(EchelleFPAparam!$AC$3)-(AQ22-1024)*SIN(EchelleFPAparam!$AC$3)*EchelleFPAparam!$C$3/EchelleFPAparam!$E$3))</f>
        <v>4427.7525803921653</v>
      </c>
      <c r="DT22" s="26">
        <f>(EchelleFPAparam!$S$3/($U22+C$53)*COS((AR22-EchelleFPAparam!$AE18)*EchelleFPAparam!$C$3/EchelleFPAparam!$E$3))*(SIN('Standard Settings'!$F17)+SIN('Standard Settings'!$F17+EchelleFPAparam!$M$3+EchelleFPAparam!$I$3*EchelleFPAparam!$B$6*COS(EchelleFPAparam!$AC$3)-(AR22-1024)*SIN(EchelleFPAparam!$AC$3)*EchelleFPAparam!$C$3/EchelleFPAparam!$E$3))</f>
        <v>4111.8798250221771</v>
      </c>
      <c r="DU22" s="26">
        <f>(EchelleFPAparam!$S$3/($U22+D$53)*COS((AS22-EchelleFPAparam!$AE18)*EchelleFPAparam!$C$3/EchelleFPAparam!$E$3))*(SIN('Standard Settings'!$F17)+SIN('Standard Settings'!$F17+EchelleFPAparam!$M$3+EchelleFPAparam!$I$3*EchelleFPAparam!$B$6*COS(EchelleFPAparam!$AC$3)-(AS22-1024)*SIN(EchelleFPAparam!$AC$3)*EchelleFPAparam!$C$3/EchelleFPAparam!$E$3))</f>
        <v>3838.0663632748151</v>
      </c>
      <c r="DV22" s="26">
        <f>(EchelleFPAparam!$S$3/($U22+E$53)*COS((AT22-EchelleFPAparam!$AE18)*EchelleFPAparam!$C$3/EchelleFPAparam!$E$3))*(SIN('Standard Settings'!$F17)+SIN('Standard Settings'!$F17+EchelleFPAparam!$M$3+EchelleFPAparam!$I$3*EchelleFPAparam!$B$6*COS(EchelleFPAparam!$AC$3)-(AT22-1024)*SIN(EchelleFPAparam!$AC$3)*EchelleFPAparam!$C$3/EchelleFPAparam!$E$3))</f>
        <v>3598.3869458681997</v>
      </c>
      <c r="DW22" s="26">
        <f>(EchelleFPAparam!$S$3/($U22+F$53)*COS((AU22-EchelleFPAparam!$AE18)*EchelleFPAparam!$C$3/EchelleFPAparam!$E$3))*(SIN('Standard Settings'!$F17)+SIN('Standard Settings'!$F17+EchelleFPAparam!$M$3+EchelleFPAparam!$I$3*EchelleFPAparam!$B$6*COS(EchelleFPAparam!$AC$3)-(AU22-1024)*SIN(EchelleFPAparam!$AC$3)*EchelleFPAparam!$C$3/EchelleFPAparam!$E$3))</f>
        <v>3386.8423719531929</v>
      </c>
      <c r="DX22" s="26">
        <f>(EchelleFPAparam!$S$3/($U22+G$53)*COS((AV22-EchelleFPAparam!$AE18)*EchelleFPAparam!$C$3/EchelleFPAparam!$E$3))*(SIN('Standard Settings'!$F17)+SIN('Standard Settings'!$F17+EchelleFPAparam!$M$3+EchelleFPAparam!$I$3*EchelleFPAparam!$B$6*COS(EchelleFPAparam!$AC$3)-(AV22-1024)*SIN(EchelleFPAparam!$AC$3)*EchelleFPAparam!$C$3/EchelleFPAparam!$E$3))</f>
        <v>3198.759598847812</v>
      </c>
      <c r="DY22" s="26">
        <f>(EchelleFPAparam!$S$3/($U22+H$53)*COS((AW22-EchelleFPAparam!$AE18)*EchelleFPAparam!$C$3/EchelleFPAparam!$E$3))*(SIN('Standard Settings'!$F17)+SIN('Standard Settings'!$F17+EchelleFPAparam!$M$3+EchelleFPAparam!$I$3*EchelleFPAparam!$B$6*COS(EchelleFPAparam!$AC$3)-(AW22-1024)*SIN(EchelleFPAparam!$AC$3)*EchelleFPAparam!$C$3/EchelleFPAparam!$E$3))</f>
        <v>3030.4449829976897</v>
      </c>
      <c r="DZ22" s="26">
        <f>(EchelleFPAparam!$S$3/($U22+I$53)*COS((AX22-EchelleFPAparam!$AE18)*EchelleFPAparam!$C$3/EchelleFPAparam!$E$3))*(SIN('Standard Settings'!$F17)+SIN('Standard Settings'!$F17+EchelleFPAparam!$M$3+EchelleFPAparam!$I$3*EchelleFPAparam!$B$6*COS(EchelleFPAparam!$AC$3)-(AX22-1024)*SIN(EchelleFPAparam!$AC$3)*EchelleFPAparam!$C$3/EchelleFPAparam!$E$3))</f>
        <v>2878.9422593042327</v>
      </c>
      <c r="EA22" s="26">
        <f>(EchelleFPAparam!$S$3/($U22+J$53)*COS((AY22-EchelleFPAparam!$AE18)*EchelleFPAparam!$C$3/EchelleFPAparam!$E$3))*(SIN('Standard Settings'!$F17)+SIN('Standard Settings'!$F17+EchelleFPAparam!$M$3+EchelleFPAparam!$I$3*EchelleFPAparam!$B$6*COS(EchelleFPAparam!$AC$3)-(AY22-1024)*SIN(EchelleFPAparam!$AC$3)*EchelleFPAparam!$C$3/EchelleFPAparam!$E$3))</f>
        <v>2740.9896926237211</v>
      </c>
      <c r="EB22" s="26">
        <f>(EchelleFPAparam!$S$3/($U22+K$53)*COS((AZ22-EchelleFPAparam!$AE18)*EchelleFPAparam!$C$3/EchelleFPAparam!$E$3))*(SIN('Standard Settings'!$F17)+SIN('Standard Settings'!$F17+EchelleFPAparam!$M$3+EchelleFPAparam!$I$3*EchelleFPAparam!$B$6*COS(EchelleFPAparam!$AC$3)-(AZ22-1024)*SIN(EchelleFPAparam!$AC$3)*EchelleFPAparam!$C$3/EchelleFPAparam!$E$3))</f>
        <v>2616.399252049916</v>
      </c>
      <c r="EC22" s="26">
        <f>(EchelleFPAparam!$S$3/($U22+B$53)*COS((BA22-EchelleFPAparam!$AE18)*EchelleFPAparam!$C$3/EchelleFPAparam!$E$3))*(SIN('Standard Settings'!$F17)+SIN('Standard Settings'!$F17+EchelleFPAparam!$M$3+EchelleFPAparam!$J$3*EchelleFPAparam!$B$6*COS(EchelleFPAparam!$AC$3)-(BA22-1024)*SIN(EchelleFPAparam!$AC$3)*EchelleFPAparam!$C$3/EchelleFPAparam!$E$3))</f>
        <v>4429.5935254895385</v>
      </c>
      <c r="ED22" s="26">
        <f>(EchelleFPAparam!$S$3/($U22+C$53)*COS((BB22-EchelleFPAparam!$AE18)*EchelleFPAparam!$C$3/EchelleFPAparam!$E$3))*(SIN('Standard Settings'!$F17)+SIN('Standard Settings'!$F17+EchelleFPAparam!$M$3+EchelleFPAparam!$J$3*EchelleFPAparam!$B$6*COS(EchelleFPAparam!$AC$3)-(BB22-1024)*SIN(EchelleFPAparam!$AC$3)*EchelleFPAparam!$C$3/EchelleFPAparam!$E$3))</f>
        <v>4113.606390981955</v>
      </c>
      <c r="EE22" s="26">
        <f>(EchelleFPAparam!$S$3/($U22+D$53)*COS((BC22-EchelleFPAparam!$AE18)*EchelleFPAparam!$C$3/EchelleFPAparam!$E$3))*(SIN('Standard Settings'!$F17)+SIN('Standard Settings'!$F17+EchelleFPAparam!$M$3+EchelleFPAparam!$J$3*EchelleFPAparam!$B$6*COS(EchelleFPAparam!$AC$3)-(BC22-1024)*SIN(EchelleFPAparam!$AC$3)*EchelleFPAparam!$C$3/EchelleFPAparam!$E$3))</f>
        <v>3839.6760810440514</v>
      </c>
      <c r="EF22" s="26">
        <f>(EchelleFPAparam!$S$3/($U22+E$53)*COS((BD22-EchelleFPAparam!$AE18)*EchelleFPAparam!$C$3/EchelleFPAparam!$E$3))*(SIN('Standard Settings'!$F17)+SIN('Standard Settings'!$F17+EchelleFPAparam!$M$3+EchelleFPAparam!$J$3*EchelleFPAparam!$B$6*COS(EchelleFPAparam!$AC$3)-(BD22-1024)*SIN(EchelleFPAparam!$AC$3)*EchelleFPAparam!$C$3/EchelleFPAparam!$E$3))</f>
        <v>3599.8938314317807</v>
      </c>
      <c r="EG22" s="26">
        <f>(EchelleFPAparam!$S$3/($U22+F$53)*COS((BE22-EchelleFPAparam!$AE18)*EchelleFPAparam!$C$3/EchelleFPAparam!$E$3))*(SIN('Standard Settings'!$F17)+SIN('Standard Settings'!$F17+EchelleFPAparam!$M$3+EchelleFPAparam!$J$3*EchelleFPAparam!$B$6*COS(EchelleFPAparam!$AC$3)-(BE22-1024)*SIN(EchelleFPAparam!$AC$3)*EchelleFPAparam!$C$3/EchelleFPAparam!$E$3))</f>
        <v>3388.2581702257189</v>
      </c>
      <c r="EH22" s="26">
        <f>(EchelleFPAparam!$S$3/($U22+G$53)*COS((BF22-EchelleFPAparam!$AE18)*EchelleFPAparam!$C$3/EchelleFPAparam!$E$3))*(SIN('Standard Settings'!$F17)+SIN('Standard Settings'!$F17+EchelleFPAparam!$M$3+EchelleFPAparam!$J$3*EchelleFPAparam!$B$6*COS(EchelleFPAparam!$AC$3)-(BF22-1024)*SIN(EchelleFPAparam!$AC$3)*EchelleFPAparam!$C$3/EchelleFPAparam!$E$3))</f>
        <v>3200.0942158944085</v>
      </c>
      <c r="EI22" s="26">
        <f>(EchelleFPAparam!$S$3/($U22+H$53)*COS((BG22-EchelleFPAparam!$AE18)*EchelleFPAparam!$C$3/EchelleFPAparam!$E$3))*(SIN('Standard Settings'!$F17)+SIN('Standard Settings'!$F17+EchelleFPAparam!$M$3+EchelleFPAparam!$J$3*EchelleFPAparam!$B$6*COS(EchelleFPAparam!$AC$3)-(BG22-1024)*SIN(EchelleFPAparam!$AC$3)*EchelleFPAparam!$C$3/EchelleFPAparam!$E$3))</f>
        <v>3031.7068173883172</v>
      </c>
      <c r="EJ22" s="26">
        <f>(EchelleFPAparam!$S$3/($U22+I$53)*COS((BH22-EchelleFPAparam!$AE18)*EchelleFPAparam!$C$3/EchelleFPAparam!$E$3))*(SIN('Standard Settings'!$F17)+SIN('Standard Settings'!$F17+EchelleFPAparam!$M$3+EchelleFPAparam!$J$3*EchelleFPAparam!$B$6*COS(EchelleFPAparam!$AC$3)-(BH22-1024)*SIN(EchelleFPAparam!$AC$3)*EchelleFPAparam!$C$3/EchelleFPAparam!$E$3))</f>
        <v>2880.137500377361</v>
      </c>
      <c r="EK22" s="26">
        <f>(EchelleFPAparam!$S$3/($U22+J$53)*COS((BI22-EchelleFPAparam!$AE18)*EchelleFPAparam!$C$3/EchelleFPAparam!$E$3))*(SIN('Standard Settings'!$F17)+SIN('Standard Settings'!$F17+EchelleFPAparam!$M$3+EchelleFPAparam!$J$3*EchelleFPAparam!$B$6*COS(EchelleFPAparam!$AC$3)-(BI22-1024)*SIN(EchelleFPAparam!$AC$3)*EchelleFPAparam!$C$3/EchelleFPAparam!$E$3))</f>
        <v>2742.1293253030476</v>
      </c>
      <c r="EL22" s="26">
        <f>(EchelleFPAparam!$S$3/($U22+K$53)*COS((BJ22-EchelleFPAparam!$AE18)*EchelleFPAparam!$C$3/EchelleFPAparam!$E$3))*(SIN('Standard Settings'!$F17)+SIN('Standard Settings'!$F17+EchelleFPAparam!$M$3+EchelleFPAparam!$J$3*EchelleFPAparam!$B$6*COS(EchelleFPAparam!$AC$3)-(BJ22-1024)*SIN(EchelleFPAparam!$AC$3)*EchelleFPAparam!$C$3/EchelleFPAparam!$E$3))</f>
        <v>2617.4870832438187</v>
      </c>
      <c r="EM22" s="26">
        <f>(EchelleFPAparam!$S$3/($U22+B$53)*COS((BA22-EchelleFPAparam!$AE18)*EchelleFPAparam!$C$3/EchelleFPAparam!$E$3))*(SIN('Standard Settings'!$F17)+SIN('Standard Settings'!$F17+EchelleFPAparam!$M$3+EchelleFPAparam!$K$3*EchelleFPAparam!$B$6*COS(EchelleFPAparam!$AC$3)-(BA22-1024)*SIN(EchelleFPAparam!$AC$3)*EchelleFPAparam!$C$3/EchelleFPAparam!$E$3))</f>
        <v>4454.2954828336005</v>
      </c>
      <c r="EN22" s="26">
        <f>(EchelleFPAparam!$S$3/($U22+C$53)*COS((BB22-EchelleFPAparam!$AE18)*EchelleFPAparam!$C$3/EchelleFPAparam!$E$3))*(SIN('Standard Settings'!$F17)+SIN('Standard Settings'!$F17+EchelleFPAparam!$M$3+EchelleFPAparam!$K$3*EchelleFPAparam!$B$6*COS(EchelleFPAparam!$AC$3)-(BB22-1024)*SIN(EchelleFPAparam!$AC$3)*EchelleFPAparam!$C$3/EchelleFPAparam!$E$3))</f>
        <v>4136.5403701610012</v>
      </c>
      <c r="EO22" s="26">
        <f>(EchelleFPAparam!$S$3/($U22+D$53)*COS((BC22-EchelleFPAparam!$AE18)*EchelleFPAparam!$C$3/EchelleFPAparam!$E$3))*(SIN('Standard Settings'!$F17)+SIN('Standard Settings'!$F17+EchelleFPAparam!$M$3+EchelleFPAparam!$K$3*EchelleFPAparam!$B$6*COS(EchelleFPAparam!$AC$3)-(BC22-1024)*SIN(EchelleFPAparam!$AC$3)*EchelleFPAparam!$C$3/EchelleFPAparam!$E$3))</f>
        <v>3861.077411560721</v>
      </c>
      <c r="EP22" s="26">
        <f>(EchelleFPAparam!$S$3/($U22+E$53)*COS((BD22-EchelleFPAparam!$AE18)*EchelleFPAparam!$C$3/EchelleFPAparam!$E$3))*(SIN('Standard Settings'!$F17)+SIN('Standard Settings'!$F17+EchelleFPAparam!$M$3+EchelleFPAparam!$K$3*EchelleFPAparam!$B$6*COS(EchelleFPAparam!$AC$3)-(BD22-1024)*SIN(EchelleFPAparam!$AC$3)*EchelleFPAparam!$C$3/EchelleFPAparam!$E$3))</f>
        <v>3619.9542218411484</v>
      </c>
      <c r="EQ22" s="26">
        <f>(EchelleFPAparam!$S$3/($U22+F$53)*COS((BE22-EchelleFPAparam!$AE18)*EchelleFPAparam!$C$3/EchelleFPAparam!$E$3))*(SIN('Standard Settings'!$F17)+SIN('Standard Settings'!$F17+EchelleFPAparam!$M$3+EchelleFPAparam!$K$3*EchelleFPAparam!$B$6*COS(EchelleFPAparam!$AC$3)-(BE22-1024)*SIN(EchelleFPAparam!$AC$3)*EchelleFPAparam!$C$3/EchelleFPAparam!$E$3))</f>
        <v>3407.1355255444837</v>
      </c>
      <c r="ER22" s="26">
        <f>(EchelleFPAparam!$S$3/($U22+G$53)*COS((BF22-EchelleFPAparam!$AE18)*EchelleFPAparam!$C$3/EchelleFPAparam!$E$3))*(SIN('Standard Settings'!$F17)+SIN('Standard Settings'!$F17+EchelleFPAparam!$M$3+EchelleFPAparam!$K$3*EchelleFPAparam!$B$6*COS(EchelleFPAparam!$AC$3)-(BF22-1024)*SIN(EchelleFPAparam!$AC$3)*EchelleFPAparam!$C$3/EchelleFPAparam!$E$3))</f>
        <v>3217.9201331847971</v>
      </c>
      <c r="ES22" s="26">
        <f>(EchelleFPAparam!$S$3/($U22+H$53)*COS((BG22-EchelleFPAparam!$AE18)*EchelleFPAparam!$C$3/EchelleFPAparam!$E$3))*(SIN('Standard Settings'!$F17)+SIN('Standard Settings'!$F17+EchelleFPAparam!$M$3+EchelleFPAparam!$K$3*EchelleFPAparam!$B$6*COS(EchelleFPAparam!$AC$3)-(BG22-1024)*SIN(EchelleFPAparam!$AC$3)*EchelleFPAparam!$C$3/EchelleFPAparam!$E$3))</f>
        <v>3048.5921127162983</v>
      </c>
      <c r="ET22" s="26">
        <f>(EchelleFPAparam!$S$3/($U22+I$53)*COS((BH22-EchelleFPAparam!$AE18)*EchelleFPAparam!$C$3/EchelleFPAparam!$E$3))*(SIN('Standard Settings'!$F17)+SIN('Standard Settings'!$F17+EchelleFPAparam!$M$3+EchelleFPAparam!$K$3*EchelleFPAparam!$B$6*COS(EchelleFPAparam!$AC$3)-(BH22-1024)*SIN(EchelleFPAparam!$AC$3)*EchelleFPAparam!$C$3/EchelleFPAparam!$E$3))</f>
        <v>2896.1761261719325</v>
      </c>
      <c r="EU22" s="26">
        <f>(EchelleFPAparam!$S$3/($U22+J$53)*COS((BI22-EchelleFPAparam!$AE18)*EchelleFPAparam!$C$3/EchelleFPAparam!$E$3))*(SIN('Standard Settings'!$F17)+SIN('Standard Settings'!$F17+EchelleFPAparam!$M$3+EchelleFPAparam!$K$3*EchelleFPAparam!$B$6*COS(EchelleFPAparam!$AC$3)-(BI22-1024)*SIN(EchelleFPAparam!$AC$3)*EchelleFPAparam!$C$3/EchelleFPAparam!$E$3))</f>
        <v>2757.4210131827049</v>
      </c>
      <c r="EV22" s="26">
        <f>(EchelleFPAparam!$S$3/($U22+K$53)*COS((BJ22-EchelleFPAparam!$AE18)*EchelleFPAparam!$C$3/EchelleFPAparam!$E$3))*(SIN('Standard Settings'!$F17)+SIN('Standard Settings'!$F17+EchelleFPAparam!$M$3+EchelleFPAparam!$K$3*EchelleFPAparam!$B$6*COS(EchelleFPAparam!$AC$3)-(BJ22-1024)*SIN(EchelleFPAparam!$AC$3)*EchelleFPAparam!$C$3/EchelleFPAparam!$E$3))</f>
        <v>2632.0836944016733</v>
      </c>
      <c r="EW22" s="60">
        <f t="shared" si="40"/>
        <v>2842.8720210073811</v>
      </c>
      <c r="EX22" s="60">
        <f t="shared" si="41"/>
        <v>4136.5403701610012</v>
      </c>
      <c r="EY22" s="90">
        <v>0.39</v>
      </c>
      <c r="EZ22" s="90">
        <v>0.36</v>
      </c>
      <c r="FA22" s="50">
        <v>10000</v>
      </c>
      <c r="FB22" s="95">
        <v>1000</v>
      </c>
      <c r="FC22" s="95">
        <v>1000</v>
      </c>
      <c r="FD22" s="50">
        <v>3870</v>
      </c>
      <c r="FE22" s="50">
        <v>2000</v>
      </c>
      <c r="FF22" s="50">
        <v>5000</v>
      </c>
      <c r="FG22" s="95">
        <v>1000</v>
      </c>
      <c r="FH22" s="95">
        <f t="shared" si="27"/>
        <v>250</v>
      </c>
      <c r="FI22" s="95">
        <f t="shared" si="28"/>
        <v>250</v>
      </c>
      <c r="FJ22" s="50">
        <f t="shared" si="29"/>
        <v>967.5</v>
      </c>
      <c r="FK22" s="50">
        <f t="shared" si="30"/>
        <v>500</v>
      </c>
      <c r="FL22" s="50">
        <f t="shared" si="31"/>
        <v>1250</v>
      </c>
      <c r="FM22" s="95">
        <f t="shared" si="32"/>
        <v>250</v>
      </c>
      <c r="FN22" s="50">
        <v>500</v>
      </c>
      <c r="FO22" s="91">
        <f>1/(F22*EchelleFPAparam!$Q$3)</f>
        <v>-3936.8686054514228</v>
      </c>
      <c r="FP22" s="91">
        <f t="shared" si="22"/>
        <v>-38.384340785419852</v>
      </c>
      <c r="FQ22" s="50">
        <v>-999999</v>
      </c>
      <c r="FR22" s="50">
        <v>-999999</v>
      </c>
      <c r="FS22" s="90">
        <v>1</v>
      </c>
      <c r="FT22" s="90">
        <v>905.37599999999998</v>
      </c>
      <c r="FU22" s="90">
        <v>1854.06</v>
      </c>
      <c r="FV22" s="50">
        <v>-999999</v>
      </c>
      <c r="FW22" s="50">
        <v>-999999</v>
      </c>
      <c r="FX22" s="50">
        <v>-999999</v>
      </c>
      <c r="FY22" s="90">
        <v>2</v>
      </c>
      <c r="FZ22" s="90">
        <v>955.51</v>
      </c>
      <c r="GA22" s="90">
        <v>1881.607</v>
      </c>
      <c r="GB22" s="50">
        <v>-999999</v>
      </c>
      <c r="GC22" s="50">
        <v>-999999</v>
      </c>
      <c r="GD22" s="50">
        <v>-999999</v>
      </c>
      <c r="GE22" s="90">
        <v>3</v>
      </c>
      <c r="GF22" s="90">
        <v>546.649</v>
      </c>
      <c r="GG22" s="90">
        <v>1902.096</v>
      </c>
      <c r="GH22" s="50">
        <v>-999999</v>
      </c>
      <c r="GI22" s="50">
        <v>-999999</v>
      </c>
      <c r="GJ22" s="50">
        <v>-999999</v>
      </c>
      <c r="GK22" s="50">
        <v>-999999</v>
      </c>
      <c r="GL22" s="50">
        <v>-999999</v>
      </c>
      <c r="GM22" s="50">
        <v>-999999</v>
      </c>
      <c r="GN22" s="50">
        <v>-999999</v>
      </c>
      <c r="GO22" s="50">
        <v>-999999</v>
      </c>
      <c r="GP22" s="50">
        <v>-999999</v>
      </c>
      <c r="GQ22" s="50">
        <v>-999999</v>
      </c>
      <c r="GR22" s="50">
        <v>-999999</v>
      </c>
      <c r="GS22" s="50">
        <v>-999999</v>
      </c>
      <c r="GT22" s="50">
        <v>-999999</v>
      </c>
      <c r="GU22" s="50">
        <v>-999999</v>
      </c>
      <c r="GV22" s="50">
        <v>-999999</v>
      </c>
      <c r="GW22" s="50">
        <v>-999999</v>
      </c>
      <c r="GX22" s="50">
        <v>-999999</v>
      </c>
      <c r="GY22" s="50">
        <v>-999999</v>
      </c>
      <c r="GZ22" s="50">
        <v>-999999</v>
      </c>
      <c r="HA22" s="50">
        <v>-999999</v>
      </c>
      <c r="HB22" s="50">
        <v>-999999</v>
      </c>
      <c r="HC22" s="50">
        <v>-999999</v>
      </c>
      <c r="HD22" s="50">
        <v>-999999</v>
      </c>
      <c r="HE22" s="50">
        <v>-999999</v>
      </c>
      <c r="HF22" s="50">
        <v>-999999</v>
      </c>
      <c r="HG22" s="50">
        <v>-999999</v>
      </c>
      <c r="HH22" s="50">
        <v>-999999</v>
      </c>
      <c r="HI22" s="50">
        <v>-999999</v>
      </c>
      <c r="HJ22" s="50">
        <v>-999999</v>
      </c>
      <c r="HK22" s="50">
        <v>-999999</v>
      </c>
      <c r="HL22" s="50">
        <v>-999999</v>
      </c>
      <c r="HM22" s="50">
        <v>-999999</v>
      </c>
      <c r="HN22" s="50">
        <v>-999999</v>
      </c>
      <c r="HO22" s="50">
        <v>-999999</v>
      </c>
      <c r="HP22" s="50">
        <v>-999999</v>
      </c>
      <c r="HQ22" s="50">
        <v>-999999</v>
      </c>
      <c r="HR22" s="50">
        <v>-999999</v>
      </c>
      <c r="HS22" s="50">
        <v>-999999</v>
      </c>
      <c r="HT22" s="50">
        <v>-999999</v>
      </c>
      <c r="HU22" s="50">
        <v>-999999</v>
      </c>
      <c r="HV22" s="50">
        <v>-999999</v>
      </c>
      <c r="HW22" s="50">
        <v>-999999</v>
      </c>
      <c r="HX22" s="50">
        <v>-999999</v>
      </c>
      <c r="HY22" s="50"/>
      <c r="HZ22" s="50"/>
      <c r="IA22" s="50"/>
      <c r="IB22" s="50"/>
      <c r="IC22" s="50"/>
      <c r="ID22" s="50"/>
      <c r="IE22" s="50"/>
      <c r="IF22" s="50"/>
      <c r="IG22" s="50"/>
      <c r="IH22" s="50"/>
      <c r="II22" s="50"/>
      <c r="IJ22" s="50"/>
      <c r="IK22" s="50"/>
      <c r="IL22" s="50"/>
      <c r="IM22" s="50"/>
      <c r="IN22" s="50"/>
      <c r="IO22" s="50"/>
      <c r="IP22" s="50"/>
      <c r="IQ22" s="50"/>
      <c r="IR22" s="50"/>
      <c r="IS22" s="50"/>
      <c r="IT22" s="50"/>
      <c r="IU22" s="50"/>
      <c r="IV22" s="50"/>
      <c r="IW22" s="50"/>
      <c r="IX22" s="50"/>
      <c r="IY22" s="50"/>
      <c r="IZ22" s="50"/>
      <c r="JA22" s="50"/>
      <c r="JB22" s="50"/>
      <c r="JC22" s="50"/>
      <c r="JD22" s="50"/>
      <c r="JE22" s="50"/>
      <c r="JF22" s="50"/>
      <c r="JG22" s="50"/>
      <c r="JH22" s="50"/>
      <c r="JI22" s="50"/>
      <c r="JJ22" s="50"/>
      <c r="JK22" s="50"/>
      <c r="JL22" s="50"/>
      <c r="JM22" s="50"/>
      <c r="JN22" s="50"/>
      <c r="JO22" s="50"/>
      <c r="JP22" s="50"/>
      <c r="JQ22" s="50"/>
      <c r="JR22" s="50"/>
      <c r="JS22" s="50"/>
      <c r="JT22" s="50"/>
      <c r="JU22" s="50"/>
      <c r="JV22" s="50"/>
      <c r="JW22" s="52">
        <f t="shared" si="23"/>
        <v>2735.1486176961739</v>
      </c>
      <c r="JX22" s="27">
        <f t="shared" si="24"/>
        <v>346356.5394087116</v>
      </c>
      <c r="JY22" s="107">
        <f>JW22*EchelleFPAparam!$Q$3</f>
        <v>-2.6052290583556056E-2</v>
      </c>
      <c r="KA22" s="19"/>
      <c r="KB22" s="19"/>
      <c r="KC22" s="19"/>
      <c r="KD22" s="19"/>
      <c r="KE22" s="19"/>
      <c r="KF22" s="19"/>
      <c r="KG22" s="19"/>
      <c r="KH22" s="19"/>
      <c r="KI22" s="19"/>
      <c r="KJ22" s="19"/>
      <c r="KK22" s="19"/>
      <c r="KL22" s="19"/>
      <c r="KM22" s="19"/>
      <c r="KW22" s="19"/>
      <c r="KX22" s="19"/>
      <c r="KY22" s="19"/>
      <c r="KZ22" s="19"/>
      <c r="LA22" s="19"/>
      <c r="LB22" s="19"/>
      <c r="LC22" s="19"/>
      <c r="LD22" s="19"/>
      <c r="LE22" s="19"/>
      <c r="LF22" s="19"/>
    </row>
    <row r="23" spans="1:318" x14ac:dyDescent="0.2">
      <c r="A23" s="53">
        <f t="shared" si="35"/>
        <v>17</v>
      </c>
      <c r="B23" s="96">
        <f t="shared" si="0"/>
        <v>3340.4923669965474</v>
      </c>
      <c r="C23" s="27" t="str">
        <f>'Standard Settings'!B18</f>
        <v>L/4/7</v>
      </c>
      <c r="D23" s="27">
        <f>'Standard Settings'!H18</f>
        <v>17</v>
      </c>
      <c r="E23" s="19">
        <f t="shared" si="1"/>
        <v>1.0213391470867972E-2</v>
      </c>
      <c r="F23" s="18">
        <f>((EchelleFPAparam!$S$3/('crmcfgWLEN.txt'!$U23+F$53))*(SIN('Standard Settings'!$F18+0.0005)+SIN('Standard Settings'!$F18+0.0005+EchelleFPAparam!$M$3))-(EchelleFPAparam!$S$3/('crmcfgWLEN.txt'!$U23+F$53))*(SIN('Standard Settings'!$F18-0.0005)+SIN('Standard Settings'!$F18-0.0005+EchelleFPAparam!$M$3)))*1000*EchelleFPAparam!$O$3/180</f>
        <v>28.032011791102189</v>
      </c>
      <c r="G23" s="20" t="str">
        <f>'Standard Settings'!C18</f>
        <v>L</v>
      </c>
      <c r="H23" s="46"/>
      <c r="I23" s="59" t="s">
        <v>361</v>
      </c>
      <c r="J23" s="57"/>
      <c r="K23" s="27" t="str">
        <f>'Standard Settings'!$D18</f>
        <v>LM</v>
      </c>
      <c r="L23" s="46"/>
      <c r="M23" s="12">
        <v>2.5</v>
      </c>
      <c r="N23" s="12">
        <v>2.5</v>
      </c>
      <c r="O23" s="47" t="s">
        <v>384</v>
      </c>
      <c r="P23" s="47" t="s">
        <v>384</v>
      </c>
      <c r="Q23" s="27">
        <f>'Standard Settings'!$E18</f>
        <v>65.925150000000002</v>
      </c>
      <c r="R23" s="106">
        <f>'Standard Settings'!$J18</f>
        <v>470000</v>
      </c>
      <c r="S23" s="21">
        <f>'Standard Settings'!$G18</f>
        <v>14</v>
      </c>
      <c r="T23" s="21">
        <f>'Standard Settings'!$I18</f>
        <v>20</v>
      </c>
      <c r="U23" s="22">
        <f t="shared" si="25"/>
        <v>13</v>
      </c>
      <c r="V23" s="22">
        <f t="shared" si="26"/>
        <v>22</v>
      </c>
      <c r="W23" s="23">
        <f>IF(AND($U23-$S23+B$53&gt;=0,$U23-$T23+B$53&lt;=0),(EchelleFPAparam!$S$3/('crmcfgWLEN.txt'!$U23+B$53))*(SIN('Standard Settings'!$F18)+SIN('Standard Settings'!$F18+EchelleFPAparam!$M$3)),-1)</f>
        <v>-1</v>
      </c>
      <c r="X23" s="23">
        <f>IF(AND($U23-$S23+C$53&gt;=0,$U23-$T23+C$53&lt;=0),(EchelleFPAparam!$S$3/('crmcfgWLEN.txt'!$U23+C$53))*(SIN('Standard Settings'!$F18)+SIN('Standard Settings'!$F18+EchelleFPAparam!$M$3)),-1)</f>
        <v>4056.3121599243791</v>
      </c>
      <c r="Y23" s="23">
        <f>IF(AND($U23-$S23+D$53&gt;=0,$U23-$T23+D$53&lt;=0),(EchelleFPAparam!$S$3/('crmcfgWLEN.txt'!$U23+D$53))*(SIN('Standard Settings'!$F18)+SIN('Standard Settings'!$F18+EchelleFPAparam!$M$3)),-1)</f>
        <v>3785.8913492627535</v>
      </c>
      <c r="Z23" s="23">
        <f>IF(AND($U23-$S23+E$53&gt;=0,$U23-$T23+E$53&lt;=0),(EchelleFPAparam!$S$3/('crmcfgWLEN.txt'!$U23+E$53))*(SIN('Standard Settings'!$F18)+SIN('Standard Settings'!$F18+EchelleFPAparam!$M$3)),-1)</f>
        <v>3549.2731399338318</v>
      </c>
      <c r="AA23" s="23">
        <f>IF(AND($U23-$S23+F$53&gt;=0,$U23-$T23+F$53&lt;=0),(EchelleFPAparam!$S$3/('crmcfgWLEN.txt'!$U23+F$53))*(SIN('Standard Settings'!$F18)+SIN('Standard Settings'!$F18+EchelleFPAparam!$M$3)),-1)</f>
        <v>3340.4923669965474</v>
      </c>
      <c r="AB23" s="23">
        <f>IF(AND($U23-$S23+G$53&gt;=0,$U23-$T23+G$53&lt;=0),(EchelleFPAparam!$S$3/('crmcfgWLEN.txt'!$U23+G$53))*(SIN('Standard Settings'!$F18)+SIN('Standard Settings'!$F18+EchelleFPAparam!$M$3)),-1)</f>
        <v>3154.9094577189617</v>
      </c>
      <c r="AC23" s="23">
        <f>IF(AND($U23-$S23+H$53&gt;=0,$U23-$T23+H$53&lt;=0),(EchelleFPAparam!$S$3/('crmcfgWLEN.txt'!$U23+H$53))*(SIN('Standard Settings'!$F18)+SIN('Standard Settings'!$F18+EchelleFPAparam!$M$3)),-1)</f>
        <v>2988.8615915232267</v>
      </c>
      <c r="AD23" s="23">
        <f>IF(AND($U23-$S23+I$53&gt;=0,$U23-$T23+I$53&lt;=0),(EchelleFPAparam!$S$3/('crmcfgWLEN.txt'!$U23+I$53))*(SIN('Standard Settings'!$F18)+SIN('Standard Settings'!$F18+EchelleFPAparam!$M$3)),-1)</f>
        <v>2839.4185119470653</v>
      </c>
      <c r="AE23" s="23">
        <f>IF(AND($U23-$S23+J$53&gt;=0,$U23-$T23+J$53&lt;=0),(EchelleFPAparam!$S$3/('crmcfgWLEN.txt'!$U23+J$53))*(SIN('Standard Settings'!$F18)+SIN('Standard Settings'!$F18+EchelleFPAparam!$M$3)),-1)</f>
        <v>-1</v>
      </c>
      <c r="AF23" s="23">
        <f>IF(AND($U23-$S23+K$53&gt;=0,$U23-$T23+K$53&lt;=0),(EchelleFPAparam!$S$3/('crmcfgWLEN.txt'!$U23+K$53))*(SIN('Standard Settings'!$F18)+SIN('Standard Settings'!$F18+EchelleFPAparam!$M$3)),-1)</f>
        <v>-1</v>
      </c>
      <c r="AG23" s="159">
        <v>-100.1</v>
      </c>
      <c r="AH23" s="157">
        <v>299.57439538196797</v>
      </c>
      <c r="AI23" s="157">
        <v>658.03597630151705</v>
      </c>
      <c r="AJ23" s="157">
        <v>971.057176332371</v>
      </c>
      <c r="AK23" s="157">
        <v>1246.9160278449899</v>
      </c>
      <c r="AL23" s="157">
        <v>1492.2028708796299</v>
      </c>
      <c r="AM23" s="157">
        <v>1713.54798100631</v>
      </c>
      <c r="AN23" s="157">
        <v>2018.4211755113799</v>
      </c>
      <c r="AO23" s="159">
        <v>-100.1</v>
      </c>
      <c r="AP23" s="159">
        <v>-100.1</v>
      </c>
      <c r="AQ23" s="157">
        <v>16.439922876366801</v>
      </c>
      <c r="AR23" s="157">
        <v>315.91570044108499</v>
      </c>
      <c r="AS23" s="157">
        <v>676.78165843155</v>
      </c>
      <c r="AT23" s="157">
        <v>991.82435352535697</v>
      </c>
      <c r="AU23" s="157">
        <v>1269.4561561913499</v>
      </c>
      <c r="AV23" s="157">
        <v>1516.24383523046</v>
      </c>
      <c r="AW23" s="157">
        <v>1737.8487966228899</v>
      </c>
      <c r="AX23" s="160">
        <v>-100.1</v>
      </c>
      <c r="AY23" s="160">
        <v>-100.1</v>
      </c>
      <c r="AZ23" s="160">
        <v>-100.1</v>
      </c>
      <c r="BA23" s="157">
        <v>25.482950852583102</v>
      </c>
      <c r="BB23" s="157">
        <v>331.77902740867199</v>
      </c>
      <c r="BC23" s="157">
        <v>695.20701064371303</v>
      </c>
      <c r="BD23" s="157">
        <v>1012.58704718006</v>
      </c>
      <c r="BE23" s="157">
        <v>1292.24862261883</v>
      </c>
      <c r="BF23" s="157">
        <v>1540.7674766147099</v>
      </c>
      <c r="BG23" s="162">
        <v>1763.84077640952</v>
      </c>
      <c r="BH23" s="87">
        <v>-100.1</v>
      </c>
      <c r="BI23" s="161">
        <v>-100.1</v>
      </c>
      <c r="BJ23" s="161">
        <v>-100.1</v>
      </c>
      <c r="BK23" s="24">
        <f>EchelleFPAparam!$S$3/('crmcfgWLEN.txt'!$U23+B$53)*(SIN(EchelleFPAparam!$T$3-EchelleFPAparam!$M$3/2)+SIN('Standard Settings'!$F18+EchelleFPAparam!$M$3))</f>
        <v>4358.5350656429973</v>
      </c>
      <c r="BL23" s="24">
        <f>EchelleFPAparam!$S$3/('crmcfgWLEN.txt'!$U23+C$53)*(SIN(EchelleFPAparam!$T$3-EchelleFPAparam!$M$3/2)+SIN('Standard Settings'!$F18+EchelleFPAparam!$M$3))</f>
        <v>4047.2111323827826</v>
      </c>
      <c r="BM23" s="24">
        <f>EchelleFPAparam!$S$3/('crmcfgWLEN.txt'!$U23+D$53)*(SIN(EchelleFPAparam!$T$3-EchelleFPAparam!$M$3/2)+SIN('Standard Settings'!$F18+EchelleFPAparam!$M$3))</f>
        <v>3777.397056890597</v>
      </c>
      <c r="BN23" s="24">
        <f>EchelleFPAparam!$S$3/('crmcfgWLEN.txt'!$U23+E$53)*(SIN(EchelleFPAparam!$T$3-EchelleFPAparam!$M$3/2)+SIN('Standard Settings'!$F18+EchelleFPAparam!$M$3))</f>
        <v>3541.3097408349349</v>
      </c>
      <c r="BO23" s="24">
        <f>EchelleFPAparam!$S$3/('crmcfgWLEN.txt'!$U23+F$53)*(SIN(EchelleFPAparam!$T$3-EchelleFPAparam!$M$3/2)+SIN('Standard Settings'!$F18+EchelleFPAparam!$M$3))</f>
        <v>3332.9974031387624</v>
      </c>
      <c r="BP23" s="24">
        <f>EchelleFPAparam!$S$3/('crmcfgWLEN.txt'!$U23+G$53)*(SIN(EchelleFPAparam!$T$3-EchelleFPAparam!$M$3/2)+SIN('Standard Settings'!$F18+EchelleFPAparam!$M$3))</f>
        <v>3147.8308807421645</v>
      </c>
      <c r="BQ23" s="24">
        <f>EchelleFPAparam!$S$3/('crmcfgWLEN.txt'!$U23+H$53)*(SIN(EchelleFPAparam!$T$3-EchelleFPAparam!$M$3/2)+SIN('Standard Settings'!$F18+EchelleFPAparam!$M$3))</f>
        <v>2982.1555712294189</v>
      </c>
      <c r="BR23" s="24">
        <f>EchelleFPAparam!$S$3/('crmcfgWLEN.txt'!$U23+I$53)*(SIN(EchelleFPAparam!$T$3-EchelleFPAparam!$M$3/2)+SIN('Standard Settings'!$F18+EchelleFPAparam!$M$3))</f>
        <v>2833.0477926679482</v>
      </c>
      <c r="BS23" s="24">
        <f>EchelleFPAparam!$S$3/('crmcfgWLEN.txt'!$U23+J$53)*(SIN(EchelleFPAparam!$T$3-EchelleFPAparam!$M$3/2)+SIN('Standard Settings'!$F18+EchelleFPAparam!$M$3))</f>
        <v>2698.1407549218552</v>
      </c>
      <c r="BT23" s="24">
        <f>EchelleFPAparam!$S$3/('crmcfgWLEN.txt'!$U23+K$53)*(SIN(EchelleFPAparam!$T$3-EchelleFPAparam!$M$3/2)+SIN('Standard Settings'!$F18+EchelleFPAparam!$M$3))</f>
        <v>2575.497993334498</v>
      </c>
      <c r="BU23" s="25">
        <f t="shared" si="33"/>
        <v>4234.0054923389116</v>
      </c>
      <c r="BV23" s="25">
        <f t="shared" si="2"/>
        <v>3937.8270477237888</v>
      </c>
      <c r="BW23" s="25">
        <f t="shared" si="3"/>
        <v>3680.5407220985303</v>
      </c>
      <c r="BX23" s="25">
        <f t="shared" si="4"/>
        <v>3454.9363325218878</v>
      </c>
      <c r="BY23" s="25">
        <f t="shared" si="5"/>
        <v>3255.4858356239074</v>
      </c>
      <c r="BZ23" s="25">
        <f t="shared" si="6"/>
        <v>3077.8790833923385</v>
      </c>
      <c r="CA23" s="25">
        <f t="shared" si="7"/>
        <v>2918.7054526926227</v>
      </c>
      <c r="CB23" s="25">
        <f t="shared" si="8"/>
        <v>2775.2304907767657</v>
      </c>
      <c r="CC23" s="25">
        <f t="shared" si="9"/>
        <v>2645.236034237113</v>
      </c>
      <c r="CD23" s="25">
        <f t="shared" si="10"/>
        <v>2526.9036915734696</v>
      </c>
      <c r="CE23" s="25">
        <f t="shared" si="34"/>
        <v>4490.6118858139971</v>
      </c>
      <c r="CF23" s="25">
        <f t="shared" si="11"/>
        <v>4162.8457361651472</v>
      </c>
      <c r="CG23" s="25">
        <f t="shared" si="12"/>
        <v>3879.4888692389914</v>
      </c>
      <c r="CH23" s="25">
        <f t="shared" si="13"/>
        <v>3632.1125547024972</v>
      </c>
      <c r="CI23" s="25">
        <f t="shared" si="14"/>
        <v>3414.2900227275127</v>
      </c>
      <c r="CJ23" s="25">
        <f t="shared" si="15"/>
        <v>3221.0362500617498</v>
      </c>
      <c r="CK23" s="25">
        <f t="shared" si="16"/>
        <v>3048.425695034517</v>
      </c>
      <c r="CL23" s="25">
        <f t="shared" si="17"/>
        <v>2893.3254052779043</v>
      </c>
      <c r="CM23" s="25">
        <f t="shared" si="18"/>
        <v>2753.2048519610767</v>
      </c>
      <c r="CN23" s="25">
        <f t="shared" si="19"/>
        <v>2625.9979539881156</v>
      </c>
      <c r="CO23" s="26">
        <f>(EchelleFPAparam!$S$3/($U23+B$53)*COS((AG23-EchelleFPAparam!$AE19)*EchelleFPAparam!$C$3/EchelleFPAparam!$E$3))*(SIN('Standard Settings'!$F18)+SIN('Standard Settings'!$F18+EchelleFPAparam!$M$3+(EchelleFPAparam!$F$3*EchelleFPAparam!$B$6)*COS(EchelleFPAparam!$AC$3)-(AG23-1024)*SIN(EchelleFPAparam!$AC$3)*EchelleFPAparam!$C$3/EchelleFPAparam!$E$3))</f>
        <v>4322.5725999709703</v>
      </c>
      <c r="CP23" s="26">
        <f>(EchelleFPAparam!$S$3/($U23+C$53)*COS((AH23-EchelleFPAparam!$AE19)*EchelleFPAparam!$C$3/EchelleFPAparam!$E$3))*(SIN('Standard Settings'!$F18)+SIN('Standard Settings'!$F18+EchelleFPAparam!$M$3+(EchelleFPAparam!$F$3*EchelleFPAparam!$B$6)*COS(EchelleFPAparam!$AC$3)-(AH23-1024)*SIN(EchelleFPAparam!$AC$3)*EchelleFPAparam!$C$3/EchelleFPAparam!$E$3))</f>
        <v>4014.2701459982372</v>
      </c>
      <c r="CQ23" s="26">
        <f>(EchelleFPAparam!$S$3/($U23+D$53)*COS((AI23-EchelleFPAparam!$AE19)*EchelleFPAparam!$C$3/EchelleFPAparam!$E$3))*(SIN('Standard Settings'!$F18)+SIN('Standard Settings'!$F18+EchelleFPAparam!$M$3+(EchelleFPAparam!$F$3*EchelleFPAparam!$B$6)*COS(EchelleFPAparam!$AC$3)-(AI23-1024)*SIN(EchelleFPAparam!$AC$3)*EchelleFPAparam!$C$3/EchelleFPAparam!$E$3))</f>
        <v>3746.9589573431304</v>
      </c>
      <c r="CR23" s="26">
        <f>(EchelleFPAparam!$S$3/($U23+E$53)*COS((AJ23-EchelleFPAparam!$AE19)*EchelleFPAparam!$C$3/EchelleFPAparam!$E$3))*(SIN('Standard Settings'!$F18)+SIN('Standard Settings'!$F18+EchelleFPAparam!$M$3+(EchelleFPAparam!$F$3*EchelleFPAparam!$B$6)*COS(EchelleFPAparam!$AC$3)-(AJ23-1024)*SIN(EchelleFPAparam!$AC$3)*EchelleFPAparam!$C$3/EchelleFPAparam!$E$3))</f>
        <v>3512.9728766583244</v>
      </c>
      <c r="CS23" s="26">
        <f>(EchelleFPAparam!$S$3/($U23+F$53)*COS((AK23-EchelleFPAparam!$AE19)*EchelleFPAparam!$C$3/EchelleFPAparam!$E$3))*(SIN('Standard Settings'!$F18)+SIN('Standard Settings'!$F18+EchelleFPAparam!$M$3+(EchelleFPAparam!$F$3*EchelleFPAparam!$B$6)*COS(EchelleFPAparam!$AC$3)-(AK23-1024)*SIN(EchelleFPAparam!$AC$3)*EchelleFPAparam!$C$3/EchelleFPAparam!$E$3))</f>
        <v>3306.454283379664</v>
      </c>
      <c r="CT23" s="26">
        <f>(EchelleFPAparam!$S$3/($U23+G$53)*COS((AL23-EchelleFPAparam!$AE19)*EchelleFPAparam!$C$3/EchelleFPAparam!$E$3))*(SIN('Standard Settings'!$F18)+SIN('Standard Settings'!$F18+EchelleFPAparam!$M$3+(EchelleFPAparam!$F$3*EchelleFPAparam!$B$6)*COS(EchelleFPAparam!$AC$3)-(AL23-1024)*SIN(EchelleFPAparam!$AC$3)*EchelleFPAparam!$C$3/EchelleFPAparam!$E$3))</f>
        <v>3122.8406279433857</v>
      </c>
      <c r="CU23" s="26">
        <f>(EchelleFPAparam!$S$3/($U23+H$53)*COS((AM23-EchelleFPAparam!$AE19)*EchelleFPAparam!$C$3/EchelleFPAparam!$E$3))*(SIN('Standard Settings'!$F18)+SIN('Standard Settings'!$F18+EchelleFPAparam!$M$3+(EchelleFPAparam!$F$3*EchelleFPAparam!$B$6)*COS(EchelleFPAparam!$AC$3)-(AM23-1024)*SIN(EchelleFPAparam!$AC$3)*EchelleFPAparam!$C$3/EchelleFPAparam!$E$3))</f>
        <v>2958.5258308584916</v>
      </c>
      <c r="CV23" s="26">
        <f>(EchelleFPAparam!$S$3/($U23+I$53)*COS((AN23-EchelleFPAparam!$AE19)*EchelleFPAparam!$C$3/EchelleFPAparam!$E$3))*(SIN('Standard Settings'!$F18)+SIN('Standard Settings'!$F18+EchelleFPAparam!$M$3+(EchelleFPAparam!$F$3*EchelleFPAparam!$B$6)*COS(EchelleFPAparam!$AC$3)-(AN23-1024)*SIN(EchelleFPAparam!$AC$3)*EchelleFPAparam!$C$3/EchelleFPAparam!$E$3))</f>
        <v>2810.626768680283</v>
      </c>
      <c r="CW23" s="26">
        <f>(EchelleFPAparam!$S$3/($U23+J$53)*COS((AO23-EchelleFPAparam!$AE19)*EchelleFPAparam!$C$3/EchelleFPAparam!$E$3))*(SIN('Standard Settings'!$F18)+SIN('Standard Settings'!$F18+EchelleFPAparam!$M$3+(EchelleFPAparam!$F$3*EchelleFPAparam!$B$6)*COS(EchelleFPAparam!$AC$3)-(AO23-1024)*SIN(EchelleFPAparam!$AC$3)*EchelleFPAparam!$C$3/EchelleFPAparam!$E$3))</f>
        <v>2675.8782761725056</v>
      </c>
      <c r="CX23" s="26">
        <f>(EchelleFPAparam!$S$3/($U23+K$53)*COS((AP23-EchelleFPAparam!$AE19)*EchelleFPAparam!$C$3/EchelleFPAparam!$E$3))*(SIN('Standard Settings'!$F18)+SIN('Standard Settings'!$F18+EchelleFPAparam!$M$3+(EchelleFPAparam!$F$3*EchelleFPAparam!$B$6)*COS(EchelleFPAparam!$AC$3)-(AP23-1024)*SIN(EchelleFPAparam!$AC$3)*EchelleFPAparam!$C$3/EchelleFPAparam!$E$3))</f>
        <v>2554.2474454373919</v>
      </c>
      <c r="CY23" s="26">
        <f>(EchelleFPAparam!$S$3/($U23+B$53)*COS((AG23-EchelleFPAparam!$AE19)*EchelleFPAparam!$C$3/EchelleFPAparam!$E$3))*(SIN('Standard Settings'!$F18)+SIN('Standard Settings'!$F18+EchelleFPAparam!$M$3+EchelleFPAparam!$G$3*EchelleFPAparam!$B$6*COS(EchelleFPAparam!$AC$3)-(AG23-1024)*SIN(EchelleFPAparam!$AC$3)*EchelleFPAparam!$C$3/EchelleFPAparam!$E$3))</f>
        <v>4351.3288461165448</v>
      </c>
      <c r="CZ23" s="26">
        <f>(EchelleFPAparam!$S$3/($U23+C$53)*COS((AH23-EchelleFPAparam!$AE19)*EchelleFPAparam!$C$3/EchelleFPAparam!$E$3))*(SIN('Standard Settings'!$F18)+SIN('Standard Settings'!$F18+EchelleFPAparam!$M$3+EchelleFPAparam!$G$3*EchelleFPAparam!$B$6*COS(EchelleFPAparam!$AC$3)-(AH23-1024)*SIN(EchelleFPAparam!$AC$3)*EchelleFPAparam!$C$3/EchelleFPAparam!$E$3))</f>
        <v>4040.9690234854115</v>
      </c>
      <c r="DA23" s="26">
        <f>(EchelleFPAparam!$S$3/($U23+D$53)*COS((AI23-EchelleFPAparam!$AE19)*EchelleFPAparam!$C$3/EchelleFPAparam!$E$3))*(SIN('Standard Settings'!$F18)+SIN('Standard Settings'!$F18+EchelleFPAparam!$M$3+EchelleFPAparam!$G$3*EchelleFPAparam!$B$6*COS(EchelleFPAparam!$AC$3)-(AI23-1024)*SIN(EchelleFPAparam!$AC$3)*EchelleFPAparam!$C$3/EchelleFPAparam!$E$3))</f>
        <v>3771.8746237309065</v>
      </c>
      <c r="DB23" s="26">
        <f>(EchelleFPAparam!$S$3/($U23+E$53)*COS((AJ23-EchelleFPAparam!$AE19)*EchelleFPAparam!$C$3/EchelleFPAparam!$E$3))*(SIN('Standard Settings'!$F18)+SIN('Standard Settings'!$F18+EchelleFPAparam!$M$3+EchelleFPAparam!$G$3*EchelleFPAparam!$B$6*COS(EchelleFPAparam!$AC$3)-(AJ23-1024)*SIN(EchelleFPAparam!$AC$3)*EchelleFPAparam!$C$3/EchelleFPAparam!$E$3))</f>
        <v>3536.3282754118445</v>
      </c>
      <c r="DC23" s="26">
        <f>(EchelleFPAparam!$S$3/($U23+F$53)*COS((AK23-EchelleFPAparam!$AE19)*EchelleFPAparam!$C$3/EchelleFPAparam!$E$3))*(SIN('Standard Settings'!$F18)+SIN('Standard Settings'!$F18+EchelleFPAparam!$M$3+EchelleFPAparam!$G$3*EchelleFPAparam!$B$6*COS(EchelleFPAparam!$AC$3)-(AK23-1024)*SIN(EchelleFPAparam!$AC$3)*EchelleFPAparam!$C$3/EchelleFPAparam!$E$3))</f>
        <v>3328.4330615771892</v>
      </c>
      <c r="DD23" s="26">
        <f>(EchelleFPAparam!$S$3/($U23+G$53)*COS((AL23-EchelleFPAparam!$AE19)*EchelleFPAparam!$C$3/EchelleFPAparam!$E$3))*(SIN('Standard Settings'!$F18)+SIN('Standard Settings'!$F18+EchelleFPAparam!$M$3+EchelleFPAparam!$G$3*EchelleFPAparam!$B$6*COS(EchelleFPAparam!$AC$3)-(AL23-1024)*SIN(EchelleFPAparam!$AC$3)*EchelleFPAparam!$C$3/EchelleFPAparam!$E$3))</f>
        <v>3143.5958455327122</v>
      </c>
      <c r="DE23" s="26">
        <f>(EchelleFPAparam!$S$3/($U23+H$53)*COS((AM23-EchelleFPAparam!$AE19)*EchelleFPAparam!$C$3/EchelleFPAparam!$E$3))*(SIN('Standard Settings'!$F18)+SIN('Standard Settings'!$F18+EchelleFPAparam!$M$3+EchelleFPAparam!$G$3*EchelleFPAparam!$B$6*COS(EchelleFPAparam!$AC$3)-(AM23-1024)*SIN(EchelleFPAparam!$AC$3)*EchelleFPAparam!$C$3/EchelleFPAparam!$E$3))</f>
        <v>2978.1863724702994</v>
      </c>
      <c r="DF23" s="26">
        <f>(EchelleFPAparam!$S$3/($U23+I$53)*COS((AN23-EchelleFPAparam!$AE19)*EchelleFPAparam!$C$3/EchelleFPAparam!$E$3))*(SIN('Standard Settings'!$F18)+SIN('Standard Settings'!$F18+EchelleFPAparam!$M$3+EchelleFPAparam!$G$3*EchelleFPAparam!$B$6*COS(EchelleFPAparam!$AC$3)-(AN23-1024)*SIN(EchelleFPAparam!$AC$3)*EchelleFPAparam!$C$3/EchelleFPAparam!$E$3))</f>
        <v>2829.3010663596137</v>
      </c>
      <c r="DG23" s="26">
        <f>(EchelleFPAparam!$S$3/($U23+J$53)*COS((AO23-EchelleFPAparam!$AE19)*EchelleFPAparam!$C$3/EchelleFPAparam!$E$3))*(SIN('Standard Settings'!$F18)+SIN('Standard Settings'!$F18+EchelleFPAparam!$M$3+EchelleFPAparam!$G$3*EchelleFPAparam!$B$6*COS(EchelleFPAparam!$AC$3)-(AO23-1024)*SIN(EchelleFPAparam!$AC$3)*EchelleFPAparam!$C$3/EchelleFPAparam!$E$3))</f>
        <v>2693.6797618816704</v>
      </c>
      <c r="DH23" s="26">
        <f>(EchelleFPAparam!$S$3/($U23+K$53)*COS((AP23-EchelleFPAparam!$AE19)*EchelleFPAparam!$C$3/EchelleFPAparam!$E$3))*(SIN('Standard Settings'!$F18)+SIN('Standard Settings'!$F18+EchelleFPAparam!$M$3+EchelleFPAparam!$G$3*EchelleFPAparam!$B$6*COS(EchelleFPAparam!$AC$3)-(AP23-1024)*SIN(EchelleFPAparam!$AC$3)*EchelleFPAparam!$C$3/EchelleFPAparam!$E$3))</f>
        <v>2571.2397727052312</v>
      </c>
      <c r="DI23" s="26">
        <f>(EchelleFPAparam!$S$3/($U23+B$53)*COS((AQ23-EchelleFPAparam!$AE19)*EchelleFPAparam!$C$3/EchelleFPAparam!$E$3))*(SIN('Standard Settings'!$F18)+SIN('Standard Settings'!$F18+EchelleFPAparam!$M$3+EchelleFPAparam!$H$3*EchelleFPAparam!$B$6*COS(EchelleFPAparam!$AC$3)-(AQ23-1024)*SIN(EchelleFPAparam!$AC$3)*EchelleFPAparam!$C$3/EchelleFPAparam!$E$3))</f>
        <v>4353.455709036647</v>
      </c>
      <c r="DJ23" s="26">
        <f>(EchelleFPAparam!$S$3/($U23+C$53)*COS((AR23-EchelleFPAparam!$AE19)*EchelleFPAparam!$C$3/EchelleFPAparam!$E$3))*(SIN('Standard Settings'!$F18)+SIN('Standard Settings'!$F18+EchelleFPAparam!$M$3+EchelleFPAparam!$H$3*EchelleFPAparam!$B$6*COS(EchelleFPAparam!$AC$3)-(AR23-1024)*SIN(EchelleFPAparam!$AC$3)*EchelleFPAparam!$C$3/EchelleFPAparam!$E$3))</f>
        <v>4042.8197255264422</v>
      </c>
      <c r="DK23" s="26">
        <f>(EchelleFPAparam!$S$3/($U23+D$53)*COS((AS23-EchelleFPAparam!$AE19)*EchelleFPAparam!$C$3/EchelleFPAparam!$E$3))*(SIN('Standard Settings'!$F18)+SIN('Standard Settings'!$F18+EchelleFPAparam!$M$3+EchelleFPAparam!$H$3*EchelleFPAparam!$B$6*COS(EchelleFPAparam!$AC$3)-(AS23-1024)*SIN(EchelleFPAparam!$AC$3)*EchelleFPAparam!$C$3/EchelleFPAparam!$E$3))</f>
        <v>3773.6003580248334</v>
      </c>
      <c r="DL23" s="26">
        <f>(EchelleFPAparam!$S$3/($U23+E$53)*COS((AT23-EchelleFPAparam!$AE19)*EchelleFPAparam!$C$3/EchelleFPAparam!$E$3))*(SIN('Standard Settings'!$F18)+SIN('Standard Settings'!$F18+EchelleFPAparam!$M$3+EchelleFPAparam!$H$3*EchelleFPAparam!$B$6*COS(EchelleFPAparam!$AC$3)-(AT23-1024)*SIN(EchelleFPAparam!$AC$3)*EchelleFPAparam!$C$3/EchelleFPAparam!$E$3))</f>
        <v>3537.9440761283208</v>
      </c>
      <c r="DM23" s="26">
        <f>(EchelleFPAparam!$S$3/($U23+F$53)*COS((AU23-EchelleFPAparam!$AE19)*EchelleFPAparam!$C$3/EchelleFPAparam!$E$3))*(SIN('Standard Settings'!$F18)+SIN('Standard Settings'!$F18+EchelleFPAparam!$M$3+EchelleFPAparam!$H$3*EchelleFPAparam!$B$6*COS(EchelleFPAparam!$AC$3)-(AU23-1024)*SIN(EchelleFPAparam!$AC$3)*EchelleFPAparam!$C$3/EchelleFPAparam!$E$3))</f>
        <v>3329.9515763412733</v>
      </c>
      <c r="DN23" s="26">
        <f>(EchelleFPAparam!$S$3/($U23+G$53)*COS((AV23-EchelleFPAparam!$AE19)*EchelleFPAparam!$C$3/EchelleFPAparam!$E$3))*(SIN('Standard Settings'!$F18)+SIN('Standard Settings'!$F18+EchelleFPAparam!$M$3+EchelleFPAparam!$H$3*EchelleFPAparam!$B$6*COS(EchelleFPAparam!$AC$3)-(AV23-1024)*SIN(EchelleFPAparam!$AC$3)*EchelleFPAparam!$C$3/EchelleFPAparam!$E$3))</f>
        <v>3145.0277193367319</v>
      </c>
      <c r="DO23" s="26">
        <f>(EchelleFPAparam!$S$3/($U23+H$53)*COS((AW23-EchelleFPAparam!$AE19)*EchelleFPAparam!$C$3/EchelleFPAparam!$E$3))*(SIN('Standard Settings'!$F18)+SIN('Standard Settings'!$F18+EchelleFPAparam!$M$3+EchelleFPAparam!$H$3*EchelleFPAparam!$B$6*COS(EchelleFPAparam!$AC$3)-(AW23-1024)*SIN(EchelleFPAparam!$AC$3)*EchelleFPAparam!$C$3/EchelleFPAparam!$E$3))</f>
        <v>2979.5405095215015</v>
      </c>
      <c r="DP23" s="26">
        <f>(EchelleFPAparam!$S$3/($U23+I$53)*COS((AX23-EchelleFPAparam!$AE19)*EchelleFPAparam!$C$3/EchelleFPAparam!$E$3))*(SIN('Standard Settings'!$F18)+SIN('Standard Settings'!$F18+EchelleFPAparam!$M$3+EchelleFPAparam!$H$3*EchelleFPAparam!$B$6*COS(EchelleFPAparam!$AC$3)-(AX23-1024)*SIN(EchelleFPAparam!$AC$3)*EchelleFPAparam!$C$3/EchelleFPAparam!$E$3))</f>
        <v>2829.647919809735</v>
      </c>
      <c r="DQ23" s="26">
        <f>(EchelleFPAparam!$S$3/($U23+J$53)*COS((AY23-EchelleFPAparam!$AE19)*EchelleFPAparam!$C$3/EchelleFPAparam!$E$3))*(SIN('Standard Settings'!$F18)+SIN('Standard Settings'!$F18+EchelleFPAparam!$M$3+EchelleFPAparam!$H$3*EchelleFPAparam!$B$6*COS(EchelleFPAparam!$AC$3)-(AY23-1024)*SIN(EchelleFPAparam!$AC$3)*EchelleFPAparam!$C$3/EchelleFPAparam!$E$3))</f>
        <v>2694.9027807711759</v>
      </c>
      <c r="DR23" s="26">
        <f>(EchelleFPAparam!$S$3/($U23+K$53)*COS((AZ23-EchelleFPAparam!$AE19)*EchelleFPAparam!$C$3/EchelleFPAparam!$E$3))*(SIN('Standard Settings'!$F18)+SIN('Standard Settings'!$F18+EchelleFPAparam!$M$3+EchelleFPAparam!$H$3*EchelleFPAparam!$B$6*COS(EchelleFPAparam!$AC$3)-(AZ23-1024)*SIN(EchelleFPAparam!$AC$3)*EchelleFPAparam!$C$3/EchelleFPAparam!$E$3))</f>
        <v>2572.4071998270315</v>
      </c>
      <c r="DS23" s="26">
        <f>(EchelleFPAparam!$S$3/($U23+B$53)*COS((AQ23-EchelleFPAparam!$AE19)*EchelleFPAparam!$C$3/EchelleFPAparam!$E$3))*(SIN('Standard Settings'!$F18)+SIN('Standard Settings'!$F18+EchelleFPAparam!$M$3+EchelleFPAparam!$I$3*EchelleFPAparam!$B$6*COS(EchelleFPAparam!$AC$3)-(AQ23-1024)*SIN(EchelleFPAparam!$AC$3)*EchelleFPAparam!$C$3/EchelleFPAparam!$E$3))</f>
        <v>4380.8233185800036</v>
      </c>
      <c r="DT23" s="26">
        <f>(EchelleFPAparam!$S$3/($U23+C$53)*COS((AR23-EchelleFPAparam!$AE19)*EchelleFPAparam!$C$3/EchelleFPAparam!$E$3))*(SIN('Standard Settings'!$F18)+SIN('Standard Settings'!$F18+EchelleFPAparam!$M$3+EchelleFPAparam!$I$3*EchelleFPAparam!$B$6*COS(EchelleFPAparam!$AC$3)-(AR23-1024)*SIN(EchelleFPAparam!$AC$3)*EchelleFPAparam!$C$3/EchelleFPAparam!$E$3))</f>
        <v>4068.2297859554778</v>
      </c>
      <c r="DU23" s="26">
        <f>(EchelleFPAparam!$S$3/($U23+D$53)*COS((AS23-EchelleFPAparam!$AE19)*EchelleFPAparam!$C$3/EchelleFPAparam!$E$3))*(SIN('Standard Settings'!$F18)+SIN('Standard Settings'!$F18+EchelleFPAparam!$M$3+EchelleFPAparam!$I$3*EchelleFPAparam!$B$6*COS(EchelleFPAparam!$AC$3)-(AS23-1024)*SIN(EchelleFPAparam!$AC$3)*EchelleFPAparam!$C$3/EchelleFPAparam!$E$3))</f>
        <v>3797.3129542839492</v>
      </c>
      <c r="DV23" s="26">
        <f>(EchelleFPAparam!$S$3/($U23+E$53)*COS((AT23-EchelleFPAparam!$AE19)*EchelleFPAparam!$C$3/EchelleFPAparam!$E$3))*(SIN('Standard Settings'!$F18)+SIN('Standard Settings'!$F18+EchelleFPAparam!$M$3+EchelleFPAparam!$I$3*EchelleFPAparam!$B$6*COS(EchelleFPAparam!$AC$3)-(AT23-1024)*SIN(EchelleFPAparam!$AC$3)*EchelleFPAparam!$C$3/EchelleFPAparam!$E$3))</f>
        <v>3560.1714671908876</v>
      </c>
      <c r="DW23" s="26">
        <f>(EchelleFPAparam!$S$3/($U23+F$53)*COS((AU23-EchelleFPAparam!$AE19)*EchelleFPAparam!$C$3/EchelleFPAparam!$E$3))*(SIN('Standard Settings'!$F18)+SIN('Standard Settings'!$F18+EchelleFPAparam!$M$3+EchelleFPAparam!$I$3*EchelleFPAparam!$B$6*COS(EchelleFPAparam!$AC$3)-(AU23-1024)*SIN(EchelleFPAparam!$AC$3)*EchelleFPAparam!$C$3/EchelleFPAparam!$E$3))</f>
        <v>3350.8686020736109</v>
      </c>
      <c r="DX23" s="26">
        <f>(EchelleFPAparam!$S$3/($U23+G$53)*COS((AV23-EchelleFPAparam!$AE19)*EchelleFPAparam!$C$3/EchelleFPAparam!$E$3))*(SIN('Standard Settings'!$F18)+SIN('Standard Settings'!$F18+EchelleFPAparam!$M$3+EchelleFPAparam!$I$3*EchelleFPAparam!$B$6*COS(EchelleFPAparam!$AC$3)-(AV23-1024)*SIN(EchelleFPAparam!$AC$3)*EchelleFPAparam!$C$3/EchelleFPAparam!$E$3))</f>
        <v>3164.7800958729276</v>
      </c>
      <c r="DY23" s="26">
        <f>(EchelleFPAparam!$S$3/($U23+H$53)*COS((AW23-EchelleFPAparam!$AE19)*EchelleFPAparam!$C$3/EchelleFPAparam!$E$3))*(SIN('Standard Settings'!$F18)+SIN('Standard Settings'!$F18+EchelleFPAparam!$M$3+EchelleFPAparam!$I$3*EchelleFPAparam!$B$6*COS(EchelleFPAparam!$AC$3)-(AW23-1024)*SIN(EchelleFPAparam!$AC$3)*EchelleFPAparam!$C$3/EchelleFPAparam!$E$3))</f>
        <v>2998.2509443846793</v>
      </c>
      <c r="DZ23" s="26">
        <f>(EchelleFPAparam!$S$3/($U23+I$53)*COS((AX23-EchelleFPAparam!$AE19)*EchelleFPAparam!$C$3/EchelleFPAparam!$E$3))*(SIN('Standard Settings'!$F18)+SIN('Standard Settings'!$F18+EchelleFPAparam!$M$3+EchelleFPAparam!$I$3*EchelleFPAparam!$B$6*COS(EchelleFPAparam!$AC$3)-(AX23-1024)*SIN(EchelleFPAparam!$AC$3)*EchelleFPAparam!$C$3/EchelleFPAparam!$E$3))</f>
        <v>2847.4375456631492</v>
      </c>
      <c r="EA23" s="26">
        <f>(EchelleFPAparam!$S$3/($U23+J$53)*COS((AY23-EchelleFPAparam!$AE19)*EchelleFPAparam!$C$3/EchelleFPAparam!$E$3))*(SIN('Standard Settings'!$F18)+SIN('Standard Settings'!$F18+EchelleFPAparam!$M$3+EchelleFPAparam!$I$3*EchelleFPAparam!$B$6*COS(EchelleFPAparam!$AC$3)-(AY23-1024)*SIN(EchelleFPAparam!$AC$3)*EchelleFPAparam!$C$3/EchelleFPAparam!$E$3))</f>
        <v>2711.8452815839514</v>
      </c>
      <c r="EB23" s="26">
        <f>(EchelleFPAparam!$S$3/($U23+K$53)*COS((AZ23-EchelleFPAparam!$AE19)*EchelleFPAparam!$C$3/EchelleFPAparam!$E$3))*(SIN('Standard Settings'!$F18)+SIN('Standard Settings'!$F18+EchelleFPAparam!$M$3+EchelleFPAparam!$I$3*EchelleFPAparam!$B$6*COS(EchelleFPAparam!$AC$3)-(AZ23-1024)*SIN(EchelleFPAparam!$AC$3)*EchelleFPAparam!$C$3/EchelleFPAparam!$E$3))</f>
        <v>2588.5795869664994</v>
      </c>
      <c r="EC23" s="26">
        <f>(EchelleFPAparam!$S$3/($U23+B$53)*COS((BA23-EchelleFPAparam!$AE19)*EchelleFPAparam!$C$3/EchelleFPAparam!$E$3))*(SIN('Standard Settings'!$F18)+SIN('Standard Settings'!$F18+EchelleFPAparam!$M$3+EchelleFPAparam!$J$3*EchelleFPAparam!$B$6*COS(EchelleFPAparam!$AC$3)-(BA23-1024)*SIN(EchelleFPAparam!$AC$3)*EchelleFPAparam!$C$3/EchelleFPAparam!$E$3))</f>
        <v>4382.7659827847865</v>
      </c>
      <c r="ED23" s="26">
        <f>(EchelleFPAparam!$S$3/($U23+C$53)*COS((BB23-EchelleFPAparam!$AE19)*EchelleFPAparam!$C$3/EchelleFPAparam!$E$3))*(SIN('Standard Settings'!$F18)+SIN('Standard Settings'!$F18+EchelleFPAparam!$M$3+EchelleFPAparam!$J$3*EchelleFPAparam!$B$6*COS(EchelleFPAparam!$AC$3)-(BB23-1024)*SIN(EchelleFPAparam!$AC$3)*EchelleFPAparam!$C$3/EchelleFPAparam!$E$3))</f>
        <v>4070.0386245276018</v>
      </c>
      <c r="EE23" s="26">
        <f>(EchelleFPAparam!$S$3/($U23+D$53)*COS((BA23-EchelleFPAparam!$AE19)*EchelleFPAparam!$C$3/EchelleFPAparam!$E$3))*(SIN('Standard Settings'!$F18)+SIN('Standard Settings'!$F18+EchelleFPAparam!$M$3+EchelleFPAparam!$J$3*EchelleFPAparam!$B$6*COS(EchelleFPAparam!$AC$3)-(BA23-1024)*SIN(EchelleFPAparam!$AC$3)*EchelleFPAparam!$C$3/EchelleFPAparam!$E$3))</f>
        <v>3798.3971850801477</v>
      </c>
      <c r="EF23" s="26">
        <f>(EchelleFPAparam!$S$3/($U23+E$53)*COS((BB23-EchelleFPAparam!$AE19)*EchelleFPAparam!$C$3/EchelleFPAparam!$E$3))*(SIN('Standard Settings'!$F18)+SIN('Standard Settings'!$F18+EchelleFPAparam!$M$3+EchelleFPAparam!$J$3*EchelleFPAparam!$B$6*COS(EchelleFPAparam!$AC$3)-(BB23-1024)*SIN(EchelleFPAparam!$AC$3)*EchelleFPAparam!$C$3/EchelleFPAparam!$E$3))</f>
        <v>3561.283796461651</v>
      </c>
      <c r="EG23" s="26">
        <f>(EchelleFPAparam!$S$3/($U23+F$53)*COS((BC23-EchelleFPAparam!$AE19)*EchelleFPAparam!$C$3/EchelleFPAparam!$E$3))*(SIN('Standard Settings'!$F18)+SIN('Standard Settings'!$F18+EchelleFPAparam!$M$3+EchelleFPAparam!$J$3*EchelleFPAparam!$B$6*COS(EchelleFPAparam!$AC$3)-(BC23-1024)*SIN(EchelleFPAparam!$AC$3)*EchelleFPAparam!$C$3/EchelleFPAparam!$E$3))</f>
        <v>3352.0585682602191</v>
      </c>
      <c r="EH23" s="26">
        <f>(EchelleFPAparam!$S$3/($U23+G$53)*COS((BD23-EchelleFPAparam!$AE19)*EchelleFPAparam!$C$3/EchelleFPAparam!$E$3))*(SIN('Standard Settings'!$F18)+SIN('Standard Settings'!$F18+EchelleFPAparam!$M$3+EchelleFPAparam!$J$3*EchelleFPAparam!$B$6*COS(EchelleFPAparam!$AC$3)-(BD23-1024)*SIN(EchelleFPAparam!$AC$3)*EchelleFPAparam!$C$3/EchelleFPAparam!$E$3))</f>
        <v>3166.0007477579261</v>
      </c>
      <c r="EI23" s="26">
        <f>(EchelleFPAparam!$S$3/($U23+H$53)*COS((BE23-EchelleFPAparam!$AE19)*EchelleFPAparam!$C$3/EchelleFPAparam!$E$3))*(SIN('Standard Settings'!$F18)+SIN('Standard Settings'!$F18+EchelleFPAparam!$M$3+EchelleFPAparam!$J$3*EchelleFPAparam!$B$6*COS(EchelleFPAparam!$AC$3)-(BE23-1024)*SIN(EchelleFPAparam!$AC$3)*EchelleFPAparam!$C$3/EchelleFPAparam!$E$3))</f>
        <v>2999.473589899565</v>
      </c>
      <c r="EJ23" s="26">
        <f>(EchelleFPAparam!$S$3/($U23+I$53)*COS((BF23-EchelleFPAparam!$AE19)*EchelleFPAparam!$C$3/EchelleFPAparam!$E$3))*(SIN('Standard Settings'!$F18)+SIN('Standard Settings'!$F18+EchelleFPAparam!$M$3+EchelleFPAparam!$J$3*EchelleFPAparam!$B$6*COS(EchelleFPAparam!$AC$3)-(BF23-1024)*SIN(EchelleFPAparam!$AC$3)*EchelleFPAparam!$C$3/EchelleFPAparam!$E$3))</f>
        <v>2849.5615857532548</v>
      </c>
      <c r="EK23" s="26">
        <f>(EchelleFPAparam!$S$3/($U23+J$53)*COS((BI23-EchelleFPAparam!$AE19)*EchelleFPAparam!$C$3/EchelleFPAparam!$E$3))*(SIN('Standard Settings'!$F18)+SIN('Standard Settings'!$F18+EchelleFPAparam!$M$3+EchelleFPAparam!$J$3*EchelleFPAparam!$B$6*COS(EchelleFPAparam!$AC$3)-(BI23-1024)*SIN(EchelleFPAparam!$AC$3)*EchelleFPAparam!$C$3/EchelleFPAparam!$E$3))</f>
        <v>2713.0409399869477</v>
      </c>
      <c r="EL23" s="26">
        <f>(EchelleFPAparam!$S$3/($U23+K$53)*COS((BJ23-EchelleFPAparam!$AE19)*EchelleFPAparam!$C$3/EchelleFPAparam!$E$3))*(SIN('Standard Settings'!$F18)+SIN('Standard Settings'!$F18+EchelleFPAparam!$M$3+EchelleFPAparam!$J$3*EchelleFPAparam!$B$6*COS(EchelleFPAparam!$AC$3)-(BJ23-1024)*SIN(EchelleFPAparam!$AC$3)*EchelleFPAparam!$C$3/EchelleFPAparam!$E$3))</f>
        <v>2589.7208972602684</v>
      </c>
      <c r="EM23" s="26">
        <f>(EchelleFPAparam!$S$3/($U23+B$53)*COS((BA23-EchelleFPAparam!$AE19)*EchelleFPAparam!$C$3/EchelleFPAparam!$E$3))*(SIN('Standard Settings'!$F18)+SIN('Standard Settings'!$F18+EchelleFPAparam!$M$3+EchelleFPAparam!$K$3*EchelleFPAparam!$B$6*COS(EchelleFPAparam!$AC$3)-(BA23-1024)*SIN(EchelleFPAparam!$AC$3)*EchelleFPAparam!$C$3/EchelleFPAparam!$E$3))</f>
        <v>4408.7241598450819</v>
      </c>
      <c r="EN23" s="26">
        <f>(EchelleFPAparam!$S$3/($U23+C$53)*COS((BB23-EchelleFPAparam!$AE19)*EchelleFPAparam!$C$3/EchelleFPAparam!$E$3))*(SIN('Standard Settings'!$F18)+SIN('Standard Settings'!$F18+EchelleFPAparam!$M$3+EchelleFPAparam!$K$3*EchelleFPAparam!$B$6*COS(EchelleFPAparam!$AC$3)-(BB23-1024)*SIN(EchelleFPAparam!$AC$3)*EchelleFPAparam!$C$3/EchelleFPAparam!$E$3))</f>
        <v>4094.1397164086961</v>
      </c>
      <c r="EO23" s="26">
        <f>(EchelleFPAparam!$S$3/($U23+D$53)*COS((BA23-EchelleFPAparam!$AE19)*EchelleFPAparam!$C$3/EchelleFPAparam!$E$3))*(SIN('Standard Settings'!$F18)+SIN('Standard Settings'!$F18+EchelleFPAparam!$M$3+EchelleFPAparam!$K$3*EchelleFPAparam!$B$6*COS(EchelleFPAparam!$AC$3)-(BA23-1024)*SIN(EchelleFPAparam!$AC$3)*EchelleFPAparam!$C$3/EchelleFPAparam!$E$3))</f>
        <v>3820.8942718657368</v>
      </c>
      <c r="EP23" s="26">
        <f>(EchelleFPAparam!$S$3/($U23+E$53)*COS((BB23-EchelleFPAparam!$AE19)*EchelleFPAparam!$C$3/EchelleFPAparam!$E$3))*(SIN('Standard Settings'!$F18)+SIN('Standard Settings'!$F18+EchelleFPAparam!$M$3+EchelleFPAparam!$K$3*EchelleFPAparam!$B$6*COS(EchelleFPAparam!$AC$3)-(BB23-1024)*SIN(EchelleFPAparam!$AC$3)*EchelleFPAparam!$C$3/EchelleFPAparam!$E$3))</f>
        <v>3582.3722518576092</v>
      </c>
      <c r="EQ23" s="26">
        <f>(EchelleFPAparam!$S$3/($U23+F$53)*COS((BC23-EchelleFPAparam!$AE19)*EchelleFPAparam!$C$3/EchelleFPAparam!$E$3))*(SIN('Standard Settings'!$F18)+SIN('Standard Settings'!$F18+EchelleFPAparam!$M$3+EchelleFPAparam!$K$3*EchelleFPAparam!$B$6*COS(EchelleFPAparam!$AC$3)-(BC23-1024)*SIN(EchelleFPAparam!$AC$3)*EchelleFPAparam!$C$3/EchelleFPAparam!$E$3))</f>
        <v>3371.9033205843516</v>
      </c>
      <c r="ER23" s="26">
        <f>(EchelleFPAparam!$S$3/($U23+G$53)*COS((BD23-EchelleFPAparam!$AE19)*EchelleFPAparam!$C$3/EchelleFPAparam!$E$3))*(SIN('Standard Settings'!$F18)+SIN('Standard Settings'!$F18+EchelleFPAparam!$M$3+EchelleFPAparam!$K$3*EchelleFPAparam!$B$6*COS(EchelleFPAparam!$AC$3)-(BD23-1024)*SIN(EchelleFPAparam!$AC$3)*EchelleFPAparam!$C$3/EchelleFPAparam!$E$3))</f>
        <v>3184.7400824248152</v>
      </c>
      <c r="ES23" s="26">
        <f>(EchelleFPAparam!$S$3/($U23+H$53)*COS((BE23-EchelleFPAparam!$AE19)*EchelleFPAparam!$C$3/EchelleFPAparam!$E$3))*(SIN('Standard Settings'!$F18)+SIN('Standard Settings'!$F18+EchelleFPAparam!$M$3+EchelleFPAparam!$K$3*EchelleFPAparam!$B$6*COS(EchelleFPAparam!$AC$3)-(BE23-1024)*SIN(EchelleFPAparam!$AC$3)*EchelleFPAparam!$C$3/EchelleFPAparam!$E$3))</f>
        <v>3017.223986402279</v>
      </c>
      <c r="ET23" s="26">
        <f>(EchelleFPAparam!$S$3/($U23+I$53)*COS((BF23-EchelleFPAparam!$AE19)*EchelleFPAparam!$C$3/EchelleFPAparam!$E$3))*(SIN('Standard Settings'!$F18)+SIN('Standard Settings'!$F18+EchelleFPAparam!$M$3+EchelleFPAparam!$K$3*EchelleFPAparam!$B$6*COS(EchelleFPAparam!$AC$3)-(BF23-1024)*SIN(EchelleFPAparam!$AC$3)*EchelleFPAparam!$C$3/EchelleFPAparam!$E$3))</f>
        <v>2866.42206204799</v>
      </c>
      <c r="EU23" s="26">
        <f>(EchelleFPAparam!$S$3/($U23+J$53)*COS((BI23-EchelleFPAparam!$AE19)*EchelleFPAparam!$C$3/EchelleFPAparam!$E$3))*(SIN('Standard Settings'!$F18)+SIN('Standard Settings'!$F18+EchelleFPAparam!$M$3+EchelleFPAparam!$K$3*EchelleFPAparam!$B$6*COS(EchelleFPAparam!$AC$3)-(BI23-1024)*SIN(EchelleFPAparam!$AC$3)*EchelleFPAparam!$C$3/EchelleFPAparam!$E$3))</f>
        <v>2729.1110265799643</v>
      </c>
      <c r="EV23" s="26">
        <f>(EchelleFPAparam!$S$3/($U23+K$53)*COS((BJ23-EchelleFPAparam!$AE19)*EchelleFPAparam!$C$3/EchelleFPAparam!$E$3))*(SIN('Standard Settings'!$F18)+SIN('Standard Settings'!$F18+EchelleFPAparam!$M$3+EchelleFPAparam!$K$3*EchelleFPAparam!$B$6*COS(EchelleFPAparam!$AC$3)-(BJ23-1024)*SIN(EchelleFPAparam!$AC$3)*EchelleFPAparam!$C$3/EchelleFPAparam!$E$3))</f>
        <v>2605.0605253717845</v>
      </c>
      <c r="EW23" s="60">
        <f t="shared" si="40"/>
        <v>2810.626768680283</v>
      </c>
      <c r="EX23" s="60">
        <f t="shared" si="41"/>
        <v>4094.1397164086961</v>
      </c>
      <c r="EY23" s="90">
        <v>0.39</v>
      </c>
      <c r="EZ23" s="90">
        <v>0.36</v>
      </c>
      <c r="FA23" s="50">
        <v>10000</v>
      </c>
      <c r="FB23" s="95">
        <v>1000</v>
      </c>
      <c r="FC23" s="95">
        <v>1000</v>
      </c>
      <c r="FD23" s="50">
        <v>4370</v>
      </c>
      <c r="FE23" s="50">
        <v>2000</v>
      </c>
      <c r="FF23" s="50">
        <v>5000</v>
      </c>
      <c r="FG23" s="95">
        <v>1000</v>
      </c>
      <c r="FH23" s="95">
        <f t="shared" si="27"/>
        <v>250</v>
      </c>
      <c r="FI23" s="95">
        <f t="shared" si="28"/>
        <v>250</v>
      </c>
      <c r="FJ23" s="50">
        <f t="shared" si="29"/>
        <v>1092.5</v>
      </c>
      <c r="FK23" s="50">
        <f t="shared" si="30"/>
        <v>500</v>
      </c>
      <c r="FL23" s="50">
        <f t="shared" si="31"/>
        <v>1250</v>
      </c>
      <c r="FM23" s="95">
        <f t="shared" si="32"/>
        <v>250</v>
      </c>
      <c r="FN23" s="50">
        <v>500</v>
      </c>
      <c r="FO23" s="91">
        <f>1/(F23*EchelleFPAparam!$Q$3)</f>
        <v>-3745.249446339933</v>
      </c>
      <c r="FP23" s="91">
        <f t="shared" si="22"/>
        <v>-38.251698751521268</v>
      </c>
      <c r="FQ23" s="50">
        <v>-999999</v>
      </c>
      <c r="FR23" s="50">
        <v>-999999</v>
      </c>
      <c r="FS23" s="90">
        <v>1</v>
      </c>
      <c r="FT23" s="90">
        <v>774.99900000000002</v>
      </c>
      <c r="FU23" s="90">
        <v>1240.6869999999999</v>
      </c>
      <c r="FV23" s="50">
        <v>-999999</v>
      </c>
      <c r="FW23" s="50">
        <v>-999999</v>
      </c>
      <c r="FX23" s="50">
        <v>-999999</v>
      </c>
      <c r="FY23" s="90">
        <v>2</v>
      </c>
      <c r="FZ23" s="90">
        <v>1584.527</v>
      </c>
      <c r="GA23" s="90">
        <v>677.05200000000002</v>
      </c>
      <c r="GB23" s="50">
        <v>-999999</v>
      </c>
      <c r="GC23" s="50">
        <v>-999999</v>
      </c>
      <c r="GD23" s="50">
        <v>-999999</v>
      </c>
      <c r="GE23" s="90">
        <v>3</v>
      </c>
      <c r="GF23" s="90">
        <v>1163.614</v>
      </c>
      <c r="GG23" s="90">
        <v>688.70399999999995</v>
      </c>
      <c r="GH23" s="50">
        <v>-999999</v>
      </c>
      <c r="GI23" s="50">
        <v>-999999</v>
      </c>
      <c r="GJ23" s="50">
        <v>-999999</v>
      </c>
      <c r="GK23" s="50">
        <v>-999999</v>
      </c>
      <c r="GL23" s="50">
        <v>-999999</v>
      </c>
      <c r="GM23" s="50">
        <v>-999999</v>
      </c>
      <c r="GN23" s="50">
        <v>-999999</v>
      </c>
      <c r="GO23" s="50">
        <v>-999999</v>
      </c>
      <c r="GP23" s="50">
        <v>-999999</v>
      </c>
      <c r="GQ23" s="50">
        <v>-999999</v>
      </c>
      <c r="GR23" s="50">
        <v>-999999</v>
      </c>
      <c r="GS23" s="50">
        <v>-999999</v>
      </c>
      <c r="GT23" s="50">
        <v>-999999</v>
      </c>
      <c r="GU23" s="50">
        <v>-999999</v>
      </c>
      <c r="GV23" s="50">
        <v>-999999</v>
      </c>
      <c r="GW23" s="50">
        <v>-999999</v>
      </c>
      <c r="GX23" s="50">
        <v>-999999</v>
      </c>
      <c r="GY23" s="50">
        <v>-999999</v>
      </c>
      <c r="GZ23" s="50">
        <v>-999999</v>
      </c>
      <c r="HA23" s="50">
        <v>-999999</v>
      </c>
      <c r="HB23" s="50">
        <v>-999999</v>
      </c>
      <c r="HC23" s="50">
        <v>-999999</v>
      </c>
      <c r="HD23" s="50">
        <v>-999999</v>
      </c>
      <c r="HE23" s="50">
        <v>-999999</v>
      </c>
      <c r="HF23" s="50">
        <v>-999999</v>
      </c>
      <c r="HG23" s="50">
        <v>-999999</v>
      </c>
      <c r="HH23" s="50">
        <v>-999999</v>
      </c>
      <c r="HI23" s="50">
        <v>-999999</v>
      </c>
      <c r="HJ23" s="50">
        <v>-999999</v>
      </c>
      <c r="HK23" s="50">
        <v>-999999</v>
      </c>
      <c r="HL23" s="50">
        <v>-999999</v>
      </c>
      <c r="HM23" s="50">
        <v>-999999</v>
      </c>
      <c r="HN23" s="50">
        <v>-999999</v>
      </c>
      <c r="HO23" s="50">
        <v>-999999</v>
      </c>
      <c r="HP23" s="50">
        <v>-999999</v>
      </c>
      <c r="HQ23" s="50">
        <v>-999999</v>
      </c>
      <c r="HR23" s="50">
        <v>-999999</v>
      </c>
      <c r="HS23" s="50">
        <v>-999999</v>
      </c>
      <c r="HT23" s="50">
        <v>-999999</v>
      </c>
      <c r="HU23" s="50">
        <v>-999999</v>
      </c>
      <c r="HV23" s="50">
        <v>-999999</v>
      </c>
      <c r="HW23" s="50">
        <v>-999999</v>
      </c>
      <c r="HX23" s="50">
        <v>-999999</v>
      </c>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2">
        <f t="shared" si="23"/>
        <v>2744.6330507411681</v>
      </c>
      <c r="JX23" s="27">
        <f t="shared" si="24"/>
        <v>327069.84516600147</v>
      </c>
      <c r="JY23" s="107">
        <f>JW23*EchelleFPAparam!$Q$3</f>
        <v>-2.6142629808309625E-2</v>
      </c>
      <c r="KA23" s="19"/>
      <c r="KB23" s="19"/>
      <c r="KC23" s="19"/>
      <c r="KD23" s="19"/>
      <c r="KE23" s="19"/>
      <c r="KF23" s="19"/>
      <c r="KG23" s="19"/>
      <c r="KH23" s="19"/>
      <c r="KI23" s="19"/>
      <c r="KJ23" s="19"/>
      <c r="KK23" s="19"/>
      <c r="KL23" s="19"/>
      <c r="KM23" s="19"/>
      <c r="KW23" s="19"/>
      <c r="KX23" s="19"/>
      <c r="KY23" s="19"/>
      <c r="KZ23" s="19"/>
      <c r="LA23" s="19"/>
      <c r="LB23" s="19"/>
      <c r="LC23" s="19"/>
      <c r="LD23" s="19"/>
      <c r="LE23" s="19"/>
      <c r="LF23" s="19"/>
    </row>
    <row r="24" spans="1:318" x14ac:dyDescent="0.2">
      <c r="A24" s="53">
        <f t="shared" si="35"/>
        <v>18</v>
      </c>
      <c r="B24" s="96">
        <f t="shared" si="0"/>
        <v>3302.2103584162628</v>
      </c>
      <c r="C24" s="27" t="str">
        <f>'Standard Settings'!B19</f>
        <v>L/5/7</v>
      </c>
      <c r="D24" s="27">
        <f>'Standard Settings'!H19</f>
        <v>17</v>
      </c>
      <c r="E24" s="19">
        <f t="shared" si="1"/>
        <v>1.0671278858968236E-2</v>
      </c>
      <c r="F24" s="18">
        <f>((EchelleFPAparam!$S$3/('crmcfgWLEN.txt'!$U24+F$53))*(SIN('Standard Settings'!$F19+0.0005)+SIN('Standard Settings'!$F19+0.0005+EchelleFPAparam!$M$3))-(EchelleFPAparam!$S$3/('crmcfgWLEN.txt'!$U24+F$53))*(SIN('Standard Settings'!$F19-0.0005)+SIN('Standard Settings'!$F19-0.0005+EchelleFPAparam!$M$3)))*1000*EchelleFPAparam!$O$3/180</f>
        <v>29.381229945384884</v>
      </c>
      <c r="G24" s="20" t="str">
        <f>'Standard Settings'!C19</f>
        <v>L</v>
      </c>
      <c r="H24" s="46"/>
      <c r="I24" s="59" t="s">
        <v>361</v>
      </c>
      <c r="J24" s="57"/>
      <c r="K24" s="27" t="str">
        <f>'Standard Settings'!$D19</f>
        <v>LM</v>
      </c>
      <c r="L24" s="46"/>
      <c r="M24" s="12">
        <v>2.5</v>
      </c>
      <c r="N24" s="12">
        <v>2.5</v>
      </c>
      <c r="O24" s="47" t="s">
        <v>384</v>
      </c>
      <c r="P24" s="47" t="s">
        <v>384</v>
      </c>
      <c r="Q24" s="27">
        <f>'Standard Settings'!$E19</f>
        <v>64.591650000000001</v>
      </c>
      <c r="R24" s="106">
        <f>'Standard Settings'!$J19</f>
        <v>610000</v>
      </c>
      <c r="S24" s="21">
        <f>'Standard Settings'!$G19</f>
        <v>14</v>
      </c>
      <c r="T24" s="21">
        <f>'Standard Settings'!$I19</f>
        <v>20</v>
      </c>
      <c r="U24" s="22">
        <f t="shared" si="25"/>
        <v>13</v>
      </c>
      <c r="V24" s="22">
        <f t="shared" si="26"/>
        <v>22</v>
      </c>
      <c r="W24" s="23">
        <f>IF(AND($U24-$S24+B$53&gt;=0,$U24-$T24+B$53&lt;=0),(EchelleFPAparam!$S$3/('crmcfgWLEN.txt'!$U24+B$53))*(SIN('Standard Settings'!$F19)+SIN('Standard Settings'!$F19+EchelleFPAparam!$M$3)),-1)</f>
        <v>-1</v>
      </c>
      <c r="X24" s="23">
        <f>IF(AND($U24-$S24+C$53&gt;=0,$U24-$T24+C$53&lt;=0),(EchelleFPAparam!$S$3/('crmcfgWLEN.txt'!$U24+C$53))*(SIN('Standard Settings'!$F19)+SIN('Standard Settings'!$F19+EchelleFPAparam!$M$3)),-1)</f>
        <v>4009.8268637911765</v>
      </c>
      <c r="Y24" s="23">
        <f>IF(AND($U24-$S24+D$53&gt;=0,$U24-$T24+D$53&lt;=0),(EchelleFPAparam!$S$3/('crmcfgWLEN.txt'!$U24+D$53))*(SIN('Standard Settings'!$F19)+SIN('Standard Settings'!$F19+EchelleFPAparam!$M$3)),-1)</f>
        <v>3742.5050728717642</v>
      </c>
      <c r="Z24" s="23">
        <f>IF(AND($U24-$S24+E$53&gt;=0,$U24-$T24+E$53&lt;=0),(EchelleFPAparam!$S$3/('crmcfgWLEN.txt'!$U24+E$53))*(SIN('Standard Settings'!$F19)+SIN('Standard Settings'!$F19+EchelleFPAparam!$M$3)),-1)</f>
        <v>3508.5985058172796</v>
      </c>
      <c r="AA24" s="23">
        <f>IF(AND($U24-$S24+F$53&gt;=0,$U24-$T24+F$53&lt;=0),(EchelleFPAparam!$S$3/('crmcfgWLEN.txt'!$U24+F$53))*(SIN('Standard Settings'!$F19)+SIN('Standard Settings'!$F19+EchelleFPAparam!$M$3)),-1)</f>
        <v>3302.2103584162628</v>
      </c>
      <c r="AB24" s="23">
        <f>IF(AND($U24-$S24+G$53&gt;=0,$U24-$T24+G$53&lt;=0),(EchelleFPAparam!$S$3/('crmcfgWLEN.txt'!$U24+G$53))*(SIN('Standard Settings'!$F19)+SIN('Standard Settings'!$F19+EchelleFPAparam!$M$3)),-1)</f>
        <v>3118.7542273931372</v>
      </c>
      <c r="AC24" s="23">
        <f>IF(AND($U24-$S24+H$53&gt;=0,$U24-$T24+H$53&lt;=0),(EchelleFPAparam!$S$3/('crmcfgWLEN.txt'!$U24+H$53))*(SIN('Standard Settings'!$F19)+SIN('Standard Settings'!$F19+EchelleFPAparam!$M$3)),-1)</f>
        <v>2954.6092680566562</v>
      </c>
      <c r="AD24" s="23">
        <f>IF(AND($U24-$S24+I$53&gt;=0,$U24-$T24+I$53&lt;=0),(EchelleFPAparam!$S$3/('crmcfgWLEN.txt'!$U24+I$53))*(SIN('Standard Settings'!$F19)+SIN('Standard Settings'!$F19+EchelleFPAparam!$M$3)),-1)</f>
        <v>2806.8788046538239</v>
      </c>
      <c r="AE24" s="23">
        <f>IF(AND($U24-$S24+J$53&gt;=0,$U24-$T24+J$53&lt;=0),(EchelleFPAparam!$S$3/('crmcfgWLEN.txt'!$U24+J$53))*(SIN('Standard Settings'!$F19)+SIN('Standard Settings'!$F19+EchelleFPAparam!$M$3)),-1)</f>
        <v>-1</v>
      </c>
      <c r="AF24" s="23">
        <f>IF(AND($U24-$S24+K$53&gt;=0,$U24-$T24+K$53&lt;=0),(EchelleFPAparam!$S$3/('crmcfgWLEN.txt'!$U24+K$53))*(SIN('Standard Settings'!$F19)+SIN('Standard Settings'!$F19+EchelleFPAparam!$M$3)),-1)</f>
        <v>-1</v>
      </c>
      <c r="AG24" s="157">
        <v>43.8602910317518</v>
      </c>
      <c r="AH24" s="157">
        <v>367.73346660270403</v>
      </c>
      <c r="AI24" s="157">
        <v>721.76771359179099</v>
      </c>
      <c r="AJ24" s="157">
        <v>1030.9420643286701</v>
      </c>
      <c r="AK24" s="157">
        <v>1303.6123713028201</v>
      </c>
      <c r="AL24" s="157">
        <v>1546.0086762776</v>
      </c>
      <c r="AM24" s="157">
        <v>1763.7141692227699</v>
      </c>
      <c r="AN24" s="159">
        <v>-100.1</v>
      </c>
      <c r="AO24" s="159">
        <v>-100.1</v>
      </c>
      <c r="AP24" s="159">
        <v>-100.1</v>
      </c>
      <c r="AQ24" s="157">
        <v>50.879227404865802</v>
      </c>
      <c r="AR24" s="157">
        <v>382.74752262195602</v>
      </c>
      <c r="AS24" s="157">
        <v>739.26748482739595</v>
      </c>
      <c r="AT24" s="157">
        <v>1050.5807444362999</v>
      </c>
      <c r="AU24" s="157">
        <v>1325.0255200838001</v>
      </c>
      <c r="AV24" s="157">
        <v>1569.03022912649</v>
      </c>
      <c r="AW24" s="157">
        <v>1789.2504774828001</v>
      </c>
      <c r="AX24" s="160">
        <v>-100.1</v>
      </c>
      <c r="AY24" s="160">
        <v>-100.1</v>
      </c>
      <c r="AZ24" s="160">
        <v>-100.1</v>
      </c>
      <c r="BA24" s="157">
        <v>67.039410397510494</v>
      </c>
      <c r="BB24" s="157">
        <v>397.25225755360998</v>
      </c>
      <c r="BC24" s="157">
        <v>756.49646960463303</v>
      </c>
      <c r="BD24" s="157">
        <v>1070.2282772538999</v>
      </c>
      <c r="BE24" s="157">
        <v>1346.73412015653</v>
      </c>
      <c r="BF24" s="157">
        <v>1592.59676895907</v>
      </c>
      <c r="BG24" s="157">
        <v>1814.0142528346501</v>
      </c>
      <c r="BH24" s="161">
        <v>-100.1</v>
      </c>
      <c r="BI24" s="161">
        <v>-100.1</v>
      </c>
      <c r="BJ24" s="161">
        <v>-100.1</v>
      </c>
      <c r="BK24" s="24">
        <f>EchelleFPAparam!$S$3/('crmcfgWLEN.txt'!$U24+B$53)*(SIN(EchelleFPAparam!$T$3-EchelleFPAparam!$M$3/2)+SIN('Standard Settings'!$F19+EchelleFPAparam!$M$3))</f>
        <v>4332.0895746853039</v>
      </c>
      <c r="BL24" s="24">
        <f>EchelleFPAparam!$S$3/('crmcfgWLEN.txt'!$U24+C$53)*(SIN(EchelleFPAparam!$T$3-EchelleFPAparam!$M$3/2)+SIN('Standard Settings'!$F19+EchelleFPAparam!$M$3))</f>
        <v>4022.6546050649249</v>
      </c>
      <c r="BM24" s="24">
        <f>EchelleFPAparam!$S$3/('crmcfgWLEN.txt'!$U24+D$53)*(SIN(EchelleFPAparam!$T$3-EchelleFPAparam!$M$3/2)+SIN('Standard Settings'!$F19+EchelleFPAparam!$M$3))</f>
        <v>3754.4776313939296</v>
      </c>
      <c r="BN24" s="24">
        <f>EchelleFPAparam!$S$3/('crmcfgWLEN.txt'!$U24+E$53)*(SIN(EchelleFPAparam!$T$3-EchelleFPAparam!$M$3/2)+SIN('Standard Settings'!$F19+EchelleFPAparam!$M$3))</f>
        <v>3519.8227794318091</v>
      </c>
      <c r="BO24" s="24">
        <f>EchelleFPAparam!$S$3/('crmcfgWLEN.txt'!$U24+F$53)*(SIN(EchelleFPAparam!$T$3-EchelleFPAparam!$M$3/2)+SIN('Standard Settings'!$F19+EchelleFPAparam!$M$3))</f>
        <v>3312.7743806417029</v>
      </c>
      <c r="BP24" s="24">
        <f>EchelleFPAparam!$S$3/('crmcfgWLEN.txt'!$U24+G$53)*(SIN(EchelleFPAparam!$T$3-EchelleFPAparam!$M$3/2)+SIN('Standard Settings'!$F19+EchelleFPAparam!$M$3))</f>
        <v>3128.7313594949414</v>
      </c>
      <c r="BQ24" s="24">
        <f>EchelleFPAparam!$S$3/('crmcfgWLEN.txt'!$U24+H$53)*(SIN(EchelleFPAparam!$T$3-EchelleFPAparam!$M$3/2)+SIN('Standard Settings'!$F19+EchelleFPAparam!$M$3))</f>
        <v>2964.0612879425762</v>
      </c>
      <c r="BR24" s="24">
        <f>EchelleFPAparam!$S$3/('crmcfgWLEN.txt'!$U24+I$53)*(SIN(EchelleFPAparam!$T$3-EchelleFPAparam!$M$3/2)+SIN('Standard Settings'!$F19+EchelleFPAparam!$M$3))</f>
        <v>2815.8582235454473</v>
      </c>
      <c r="BS24" s="24">
        <f>EchelleFPAparam!$S$3/('crmcfgWLEN.txt'!$U24+J$53)*(SIN(EchelleFPAparam!$T$3-EchelleFPAparam!$M$3/2)+SIN('Standard Settings'!$F19+EchelleFPAparam!$M$3))</f>
        <v>2681.7697367099499</v>
      </c>
      <c r="BT24" s="24">
        <f>EchelleFPAparam!$S$3/('crmcfgWLEN.txt'!$U24+K$53)*(SIN(EchelleFPAparam!$T$3-EchelleFPAparam!$M$3/2)+SIN('Standard Settings'!$F19+EchelleFPAparam!$M$3))</f>
        <v>2559.8711123140433</v>
      </c>
      <c r="BU24" s="25">
        <f t="shared" si="33"/>
        <v>4208.3155868371523</v>
      </c>
      <c r="BV24" s="25">
        <f t="shared" si="2"/>
        <v>3913.9342103334407</v>
      </c>
      <c r="BW24" s="25">
        <f t="shared" si="3"/>
        <v>3658.2089741787008</v>
      </c>
      <c r="BX24" s="25">
        <f t="shared" si="4"/>
        <v>3433.9734433481062</v>
      </c>
      <c r="BY24" s="25">
        <f t="shared" si="5"/>
        <v>3235.7331159756168</v>
      </c>
      <c r="BZ24" s="25">
        <f t="shared" si="6"/>
        <v>3059.2039959506092</v>
      </c>
      <c r="CA24" s="25">
        <f t="shared" si="7"/>
        <v>2900.996154156564</v>
      </c>
      <c r="CB24" s="25">
        <f t="shared" si="8"/>
        <v>2758.3917291873768</v>
      </c>
      <c r="CC24" s="25">
        <f t="shared" si="9"/>
        <v>2629.1860163823039</v>
      </c>
      <c r="CD24" s="25">
        <f t="shared" si="10"/>
        <v>2511.5716573647219</v>
      </c>
      <c r="CE24" s="25">
        <f t="shared" si="34"/>
        <v>4463.3650163424345</v>
      </c>
      <c r="CF24" s="25">
        <f t="shared" si="11"/>
        <v>4137.5875937810652</v>
      </c>
      <c r="CG24" s="25">
        <f t="shared" si="12"/>
        <v>3855.9499998099818</v>
      </c>
      <c r="CH24" s="25">
        <f t="shared" si="13"/>
        <v>3610.074645571086</v>
      </c>
      <c r="CI24" s="25">
        <f t="shared" si="14"/>
        <v>3393.5737557793054</v>
      </c>
      <c r="CJ24" s="25">
        <f t="shared" si="15"/>
        <v>3201.4925539018009</v>
      </c>
      <c r="CK24" s="25">
        <f t="shared" si="16"/>
        <v>3029.9293165635222</v>
      </c>
      <c r="CL24" s="25">
        <f t="shared" si="17"/>
        <v>2875.7701006421589</v>
      </c>
      <c r="CM24" s="25">
        <f t="shared" si="18"/>
        <v>2736.4997313366835</v>
      </c>
      <c r="CN24" s="25">
        <f t="shared" si="19"/>
        <v>2610.0646635358871</v>
      </c>
      <c r="CO24" s="26">
        <f>(EchelleFPAparam!$S$3/($U24+B$53)*COS((AG24-EchelleFPAparam!$AE20)*EchelleFPAparam!$C$3/EchelleFPAparam!$E$3))*(SIN('Standard Settings'!$F19)+SIN('Standard Settings'!$F19+EchelleFPAparam!$M$3+(EchelleFPAparam!$F$3*EchelleFPAparam!$B$6)*COS(EchelleFPAparam!$AC$3)-(AG24-1024)*SIN(EchelleFPAparam!$AC$3)*EchelleFPAparam!$C$3/EchelleFPAparam!$E$3))</f>
        <v>4270.7862692124927</v>
      </c>
      <c r="CP24" s="26">
        <f>(EchelleFPAparam!$S$3/($U24+C$53)*COS((AH24-EchelleFPAparam!$AE20)*EchelleFPAparam!$C$3/EchelleFPAparam!$E$3))*(SIN('Standard Settings'!$F19)+SIN('Standard Settings'!$F19+EchelleFPAparam!$M$3+(EchelleFPAparam!$F$3*EchelleFPAparam!$B$6)*COS(EchelleFPAparam!$AC$3)-(AH24-1024)*SIN(EchelleFPAparam!$AC$3)*EchelleFPAparam!$C$3/EchelleFPAparam!$E$3))</f>
        <v>3966.0786604771774</v>
      </c>
      <c r="CQ24" s="26">
        <f>(EchelleFPAparam!$S$3/($U24+D$53)*COS((AI24-EchelleFPAparam!$AE20)*EchelleFPAparam!$C$3/EchelleFPAparam!$E$3))*(SIN('Standard Settings'!$F19)+SIN('Standard Settings'!$F19+EchelleFPAparam!$M$3+(EchelleFPAparam!$F$3*EchelleFPAparam!$B$6)*COS(EchelleFPAparam!$AC$3)-(AI24-1024)*SIN(EchelleFPAparam!$AC$3)*EchelleFPAparam!$C$3/EchelleFPAparam!$E$3))</f>
        <v>3701.9660685851632</v>
      </c>
      <c r="CR24" s="26">
        <f>(EchelleFPAparam!$S$3/($U24+E$53)*COS((AJ24-EchelleFPAparam!$AE20)*EchelleFPAparam!$C$3/EchelleFPAparam!$E$3))*(SIN('Standard Settings'!$F19)+SIN('Standard Settings'!$F19+EchelleFPAparam!$M$3+(EchelleFPAparam!$F$3*EchelleFPAparam!$B$6)*COS(EchelleFPAparam!$AC$3)-(AJ24-1024)*SIN(EchelleFPAparam!$AC$3)*EchelleFPAparam!$C$3/EchelleFPAparam!$E$3))</f>
        <v>3470.7823516220383</v>
      </c>
      <c r="CS24" s="26">
        <f>(EchelleFPAparam!$S$3/($U24+F$53)*COS((AK24-EchelleFPAparam!$AE20)*EchelleFPAparam!$C$3/EchelleFPAparam!$E$3))*(SIN('Standard Settings'!$F19)+SIN('Standard Settings'!$F19+EchelleFPAparam!$M$3+(EchelleFPAparam!$F$3*EchelleFPAparam!$B$6)*COS(EchelleFPAparam!$AC$3)-(AK24-1024)*SIN(EchelleFPAparam!$AC$3)*EchelleFPAparam!$C$3/EchelleFPAparam!$E$3))</f>
        <v>3266.7389671142005</v>
      </c>
      <c r="CT24" s="26">
        <f>(EchelleFPAparam!$S$3/($U24+G$53)*COS((AL24-EchelleFPAparam!$AE20)*EchelleFPAparam!$C$3/EchelleFPAparam!$E$3))*(SIN('Standard Settings'!$F19)+SIN('Standard Settings'!$F19+EchelleFPAparam!$M$3+(EchelleFPAparam!$F$3*EchelleFPAparam!$B$6)*COS(EchelleFPAparam!$AC$3)-(AL24-1024)*SIN(EchelleFPAparam!$AC$3)*EchelleFPAparam!$C$3/EchelleFPAparam!$E$3))</f>
        <v>3085.3271549219871</v>
      </c>
      <c r="CU24" s="26">
        <f>(EchelleFPAparam!$S$3/($U24+H$53)*COS((AM24-EchelleFPAparam!$AE20)*EchelleFPAparam!$C$3/EchelleFPAparam!$E$3))*(SIN('Standard Settings'!$F19)+SIN('Standard Settings'!$F19+EchelleFPAparam!$M$3+(EchelleFPAparam!$F$3*EchelleFPAparam!$B$6)*COS(EchelleFPAparam!$AC$3)-(AM24-1024)*SIN(EchelleFPAparam!$AC$3)*EchelleFPAparam!$C$3/EchelleFPAparam!$E$3))</f>
        <v>2922.983459509057</v>
      </c>
      <c r="CV24" s="26">
        <f>(EchelleFPAparam!$S$3/($U24+I$53)*COS((AN24-EchelleFPAparam!$AE20)*EchelleFPAparam!$C$3/EchelleFPAparam!$E$3))*(SIN('Standard Settings'!$F19)+SIN('Standard Settings'!$F19+EchelleFPAparam!$M$3+(EchelleFPAparam!$F$3*EchelleFPAparam!$B$6)*COS(EchelleFPAparam!$AC$3)-(AN24-1024)*SIN(EchelleFPAparam!$AC$3)*EchelleFPAparam!$C$3/EchelleFPAparam!$E$3))</f>
        <v>2775.8893743530866</v>
      </c>
      <c r="CW24" s="26">
        <f>(EchelleFPAparam!$S$3/($U24+J$53)*COS((AO24-EchelleFPAparam!$AE20)*EchelleFPAparam!$C$3/EchelleFPAparam!$E$3))*(SIN('Standard Settings'!$F19)+SIN('Standard Settings'!$F19+EchelleFPAparam!$M$3+(EchelleFPAparam!$F$3*EchelleFPAparam!$B$6)*COS(EchelleFPAparam!$AC$3)-(AO24-1024)*SIN(EchelleFPAparam!$AC$3)*EchelleFPAparam!$C$3/EchelleFPAparam!$E$3))</f>
        <v>2643.7041660505583</v>
      </c>
      <c r="CX24" s="26">
        <f>(EchelleFPAparam!$S$3/($U24+K$53)*COS((AP24-EchelleFPAparam!$AE20)*EchelleFPAparam!$C$3/EchelleFPAparam!$E$3))*(SIN('Standard Settings'!$F19)+SIN('Standard Settings'!$F19+EchelleFPAparam!$M$3+(EchelleFPAparam!$F$3*EchelleFPAparam!$B$6)*COS(EchelleFPAparam!$AC$3)-(AP24-1024)*SIN(EchelleFPAparam!$AC$3)*EchelleFPAparam!$C$3/EchelleFPAparam!$E$3))</f>
        <v>2523.5357948664428</v>
      </c>
      <c r="CY24" s="26">
        <f>(EchelleFPAparam!$S$3/($U24+B$53)*COS((AG24-EchelleFPAparam!$AE20)*EchelleFPAparam!$C$3/EchelleFPAparam!$E$3))*(SIN('Standard Settings'!$F19)+SIN('Standard Settings'!$F19+EchelleFPAparam!$M$3+EchelleFPAparam!$G$3*EchelleFPAparam!$B$6*COS(EchelleFPAparam!$AC$3)-(AG24-1024)*SIN(EchelleFPAparam!$AC$3)*EchelleFPAparam!$C$3/EchelleFPAparam!$E$3))</f>
        <v>4300.7503592108387</v>
      </c>
      <c r="CZ24" s="26">
        <f>(EchelleFPAparam!$S$3/($U24+C$53)*COS((AH24-EchelleFPAparam!$AE20)*EchelleFPAparam!$C$3/EchelleFPAparam!$E$3))*(SIN('Standard Settings'!$F19)+SIN('Standard Settings'!$F19+EchelleFPAparam!$M$3+EchelleFPAparam!$G$3*EchelleFPAparam!$B$6*COS(EchelleFPAparam!$AC$3)-(AH24-1024)*SIN(EchelleFPAparam!$AC$3)*EchelleFPAparam!$C$3/EchelleFPAparam!$E$3))</f>
        <v>3993.8997396164068</v>
      </c>
      <c r="DA24" s="26">
        <f>(EchelleFPAparam!$S$3/($U24+D$53)*COS((AI24-EchelleFPAparam!$AE20)*EchelleFPAparam!$C$3/EchelleFPAparam!$E$3))*(SIN('Standard Settings'!$F19)+SIN('Standard Settings'!$F19+EchelleFPAparam!$M$3+EchelleFPAparam!$G$3*EchelleFPAparam!$B$6*COS(EchelleFPAparam!$AC$3)-(AI24-1024)*SIN(EchelleFPAparam!$AC$3)*EchelleFPAparam!$C$3/EchelleFPAparam!$E$3))</f>
        <v>3727.9291929808296</v>
      </c>
      <c r="DB24" s="26">
        <f>(EchelleFPAparam!$S$3/($U24+E$53)*COS((AJ24-EchelleFPAparam!$AE20)*EchelleFPAparam!$C$3/EchelleFPAparam!$E$3))*(SIN('Standard Settings'!$F19)+SIN('Standard Settings'!$F19+EchelleFPAparam!$M$3+EchelleFPAparam!$G$3*EchelleFPAparam!$B$6*COS(EchelleFPAparam!$AC$3)-(AJ24-1024)*SIN(EchelleFPAparam!$AC$3)*EchelleFPAparam!$C$3/EchelleFPAparam!$E$3))</f>
        <v>3495.1197935082469</v>
      </c>
      <c r="DC24" s="26">
        <f>(EchelleFPAparam!$S$3/($U24+F$53)*COS((AK24-EchelleFPAparam!$AE20)*EchelleFPAparam!$C$3/EchelleFPAparam!$E$3))*(SIN('Standard Settings'!$F19)+SIN('Standard Settings'!$F19+EchelleFPAparam!$M$3+EchelleFPAparam!$G$3*EchelleFPAparam!$B$6*COS(EchelleFPAparam!$AC$3)-(AK24-1024)*SIN(EchelleFPAparam!$AC$3)*EchelleFPAparam!$C$3/EchelleFPAparam!$E$3))</f>
        <v>3289.6420574169911</v>
      </c>
      <c r="DD24" s="26">
        <f>(EchelleFPAparam!$S$3/($U24+G$53)*COS((AL24-EchelleFPAparam!$AE20)*EchelleFPAparam!$C$3/EchelleFPAparam!$E$3))*(SIN('Standard Settings'!$F19)+SIN('Standard Settings'!$F19+EchelleFPAparam!$M$3+EchelleFPAparam!$G$3*EchelleFPAparam!$B$6*COS(EchelleFPAparam!$AC$3)-(AL24-1024)*SIN(EchelleFPAparam!$AC$3)*EchelleFPAparam!$C$3/EchelleFPAparam!$E$3))</f>
        <v>3106.9553615530449</v>
      </c>
      <c r="DE24" s="26">
        <f>(EchelleFPAparam!$S$3/($U24+H$53)*COS((AM24-EchelleFPAparam!$AE20)*EchelleFPAparam!$C$3/EchelleFPAparam!$E$3))*(SIN('Standard Settings'!$F19)+SIN('Standard Settings'!$F19+EchelleFPAparam!$M$3+EchelleFPAparam!$G$3*EchelleFPAparam!$B$6*COS(EchelleFPAparam!$AC$3)-(AM24-1024)*SIN(EchelleFPAparam!$AC$3)*EchelleFPAparam!$C$3/EchelleFPAparam!$E$3))</f>
        <v>2943.4710754924445</v>
      </c>
      <c r="DF24" s="26">
        <f>(EchelleFPAparam!$S$3/($U24+I$53)*COS((AN24-EchelleFPAparam!$AE20)*EchelleFPAparam!$C$3/EchelleFPAparam!$E$3))*(SIN('Standard Settings'!$F19)+SIN('Standard Settings'!$F19+EchelleFPAparam!$M$3+EchelleFPAparam!$G$3*EchelleFPAparam!$B$6*COS(EchelleFPAparam!$AC$3)-(AN24-1024)*SIN(EchelleFPAparam!$AC$3)*EchelleFPAparam!$C$3/EchelleFPAparam!$E$3))</f>
        <v>2795.3667856384986</v>
      </c>
      <c r="DG24" s="26">
        <f>(EchelleFPAparam!$S$3/($U24+J$53)*COS((AO24-EchelleFPAparam!$AE20)*EchelleFPAparam!$C$3/EchelleFPAparam!$E$3))*(SIN('Standard Settings'!$F19)+SIN('Standard Settings'!$F19+EchelleFPAparam!$M$3+EchelleFPAparam!$G$3*EchelleFPAparam!$B$6*COS(EchelleFPAparam!$AC$3)-(AO24-1024)*SIN(EchelleFPAparam!$AC$3)*EchelleFPAparam!$C$3/EchelleFPAparam!$E$3))</f>
        <v>2662.2540815604743</v>
      </c>
      <c r="DH24" s="26">
        <f>(EchelleFPAparam!$S$3/($U24+K$53)*COS((AP24-EchelleFPAparam!$AE20)*EchelleFPAparam!$C$3/EchelleFPAparam!$E$3))*(SIN('Standard Settings'!$F19)+SIN('Standard Settings'!$F19+EchelleFPAparam!$M$3+EchelleFPAparam!$G$3*EchelleFPAparam!$B$6*COS(EchelleFPAparam!$AC$3)-(AP24-1024)*SIN(EchelleFPAparam!$AC$3)*EchelleFPAparam!$C$3/EchelleFPAparam!$E$3))</f>
        <v>2541.2425323986349</v>
      </c>
      <c r="DI24" s="26">
        <f>(EchelleFPAparam!$S$3/($U24+B$53)*COS((AQ24-EchelleFPAparam!$AE20)*EchelleFPAparam!$C$3/EchelleFPAparam!$E$3))*(SIN('Standard Settings'!$F19)+SIN('Standard Settings'!$F19+EchelleFPAparam!$M$3+EchelleFPAparam!$H$3*EchelleFPAparam!$B$6*COS(EchelleFPAparam!$AC$3)-(AQ24-1024)*SIN(EchelleFPAparam!$AC$3)*EchelleFPAparam!$C$3/EchelleFPAparam!$E$3))</f>
        <v>4302.8204008062557</v>
      </c>
      <c r="DJ24" s="26">
        <f>(EchelleFPAparam!$S$3/($U24+C$53)*COS((AR24-EchelleFPAparam!$AE20)*EchelleFPAparam!$C$3/EchelleFPAparam!$E$3))*(SIN('Standard Settings'!$F19)+SIN('Standard Settings'!$F19+EchelleFPAparam!$M$3+EchelleFPAparam!$H$3*EchelleFPAparam!$B$6*COS(EchelleFPAparam!$AC$3)-(AR24-1024)*SIN(EchelleFPAparam!$AC$3)*EchelleFPAparam!$C$3/EchelleFPAparam!$E$3))</f>
        <v>3995.8281865539102</v>
      </c>
      <c r="DK24" s="26">
        <f>(EchelleFPAparam!$S$3/($U24+D$53)*COS((AS24-EchelleFPAparam!$AE20)*EchelleFPAparam!$C$3/EchelleFPAparam!$E$3))*(SIN('Standard Settings'!$F19)+SIN('Standard Settings'!$F19+EchelleFPAparam!$M$3+EchelleFPAparam!$H$3*EchelleFPAparam!$B$6*COS(EchelleFPAparam!$AC$3)-(AS24-1024)*SIN(EchelleFPAparam!$AC$3)*EchelleFPAparam!$C$3/EchelleFPAparam!$E$3))</f>
        <v>3729.7278125267017</v>
      </c>
      <c r="DL24" s="26">
        <f>(EchelleFPAparam!$S$3/($U24+E$53)*COS((AT24-EchelleFPAparam!$AE20)*EchelleFPAparam!$C$3/EchelleFPAparam!$E$3))*(SIN('Standard Settings'!$F19)+SIN('Standard Settings'!$F19+EchelleFPAparam!$M$3+EchelleFPAparam!$H$3*EchelleFPAparam!$B$6*COS(EchelleFPAparam!$AC$3)-(AT24-1024)*SIN(EchelleFPAparam!$AC$3)*EchelleFPAparam!$C$3/EchelleFPAparam!$E$3))</f>
        <v>3496.8042071565369</v>
      </c>
      <c r="DM24" s="26">
        <f>(EchelleFPAparam!$S$3/($U24+F$53)*COS((AU24-EchelleFPAparam!$AE20)*EchelleFPAparam!$C$3/EchelleFPAparam!$E$3))*(SIN('Standard Settings'!$F19)+SIN('Standard Settings'!$F19+EchelleFPAparam!$M$3+EchelleFPAparam!$H$3*EchelleFPAparam!$B$6*COS(EchelleFPAparam!$AC$3)-(AU24-1024)*SIN(EchelleFPAparam!$AC$3)*EchelleFPAparam!$C$3/EchelleFPAparam!$E$3))</f>
        <v>3291.2253286209293</v>
      </c>
      <c r="DN24" s="26">
        <f>(EchelleFPAparam!$S$3/($U24+G$53)*COS((AV24-EchelleFPAparam!$AE20)*EchelleFPAparam!$C$3/EchelleFPAparam!$E$3))*(SIN('Standard Settings'!$F19)+SIN('Standard Settings'!$F19+EchelleFPAparam!$M$3+EchelleFPAparam!$H$3*EchelleFPAparam!$B$6*COS(EchelleFPAparam!$AC$3)-(AV24-1024)*SIN(EchelleFPAparam!$AC$3)*EchelleFPAparam!$C$3/EchelleFPAparam!$E$3))</f>
        <v>3108.4485788871843</v>
      </c>
      <c r="DO24" s="26">
        <f>(EchelleFPAparam!$S$3/($U24+H$53)*COS((AW24-EchelleFPAparam!$AE20)*EchelleFPAparam!$C$3/EchelleFPAparam!$E$3))*(SIN('Standard Settings'!$F19)+SIN('Standard Settings'!$F19+EchelleFPAparam!$M$3+EchelleFPAparam!$H$3*EchelleFPAparam!$B$6*COS(EchelleFPAparam!$AC$3)-(AW24-1024)*SIN(EchelleFPAparam!$AC$3)*EchelleFPAparam!$C$3/EchelleFPAparam!$E$3))</f>
        <v>2944.8837663680974</v>
      </c>
      <c r="DP24" s="26">
        <f>(EchelleFPAparam!$S$3/($U24+I$53)*COS((AX24-EchelleFPAparam!$AE20)*EchelleFPAparam!$C$3/EchelleFPAparam!$E$3))*(SIN('Standard Settings'!$F19)+SIN('Standard Settings'!$F19+EchelleFPAparam!$M$3+EchelleFPAparam!$H$3*EchelleFPAparam!$B$6*COS(EchelleFPAparam!$AC$3)-(AX24-1024)*SIN(EchelleFPAparam!$AC$3)*EchelleFPAparam!$C$3/EchelleFPAparam!$E$3))</f>
        <v>2796.7066831522711</v>
      </c>
      <c r="DQ24" s="26">
        <f>(EchelleFPAparam!$S$3/($U24+J$53)*COS((AY24-EchelleFPAparam!$AE20)*EchelleFPAparam!$C$3/EchelleFPAparam!$E$3))*(SIN('Standard Settings'!$F19)+SIN('Standard Settings'!$F19+EchelleFPAparam!$M$3+EchelleFPAparam!$H$3*EchelleFPAparam!$B$6*COS(EchelleFPAparam!$AC$3)-(AY24-1024)*SIN(EchelleFPAparam!$AC$3)*EchelleFPAparam!$C$3/EchelleFPAparam!$E$3))</f>
        <v>2663.530174430734</v>
      </c>
      <c r="DR24" s="26">
        <f>(EchelleFPAparam!$S$3/($U24+K$53)*COS((AZ24-EchelleFPAparam!$AE20)*EchelleFPAparam!$C$3/EchelleFPAparam!$E$3))*(SIN('Standard Settings'!$F19)+SIN('Standard Settings'!$F19+EchelleFPAparam!$M$3+EchelleFPAparam!$H$3*EchelleFPAparam!$B$6*COS(EchelleFPAparam!$AC$3)-(AZ24-1024)*SIN(EchelleFPAparam!$AC$3)*EchelleFPAparam!$C$3/EchelleFPAparam!$E$3))</f>
        <v>2542.4606210475195</v>
      </c>
      <c r="DS24" s="26">
        <f>(EchelleFPAparam!$S$3/($U24+B$53)*COS((AQ24-EchelleFPAparam!$AE20)*EchelleFPAparam!$C$3/EchelleFPAparam!$E$3))*(SIN('Standard Settings'!$F19)+SIN('Standard Settings'!$F19+EchelleFPAparam!$M$3+EchelleFPAparam!$I$3*EchelleFPAparam!$B$6*COS(EchelleFPAparam!$AC$3)-(AQ24-1024)*SIN(EchelleFPAparam!$AC$3)*EchelleFPAparam!$C$3/EchelleFPAparam!$E$3))</f>
        <v>4331.4143476858999</v>
      </c>
      <c r="DT24" s="26">
        <f>(EchelleFPAparam!$S$3/($U24+C$53)*COS((AR24-EchelleFPAparam!$AE20)*EchelleFPAparam!$C$3/EchelleFPAparam!$E$3))*(SIN('Standard Settings'!$F19)+SIN('Standard Settings'!$F19+EchelleFPAparam!$M$3+EchelleFPAparam!$I$3*EchelleFPAparam!$B$6*COS(EchelleFPAparam!$AC$3)-(AR24-1024)*SIN(EchelleFPAparam!$AC$3)*EchelleFPAparam!$C$3/EchelleFPAparam!$E$3))</f>
        <v>4022.3767617641379</v>
      </c>
      <c r="DU24" s="26">
        <f>(EchelleFPAparam!$S$3/($U24+D$53)*COS((AS24-EchelleFPAparam!$AE20)*EchelleFPAparam!$C$3/EchelleFPAparam!$E$3))*(SIN('Standard Settings'!$F19)+SIN('Standard Settings'!$F19+EchelleFPAparam!$M$3+EchelleFPAparam!$I$3*EchelleFPAparam!$B$6*COS(EchelleFPAparam!$AC$3)-(AS24-1024)*SIN(EchelleFPAparam!$AC$3)*EchelleFPAparam!$C$3/EchelleFPAparam!$E$3))</f>
        <v>3754.5030962947667</v>
      </c>
      <c r="DV24" s="26">
        <f>(EchelleFPAparam!$S$3/($U24+E$53)*COS((AT24-EchelleFPAparam!$AE20)*EchelleFPAparam!$C$3/EchelleFPAparam!$E$3))*(SIN('Standard Settings'!$F19)+SIN('Standard Settings'!$F19+EchelleFPAparam!$M$3+EchelleFPAparam!$I$3*EchelleFPAparam!$B$6*COS(EchelleFPAparam!$AC$3)-(AT24-1024)*SIN(EchelleFPAparam!$AC$3)*EchelleFPAparam!$C$3/EchelleFPAparam!$E$3))</f>
        <v>3520.0279207973017</v>
      </c>
      <c r="DW24" s="26">
        <f>(EchelleFPAparam!$S$3/($U24+F$53)*COS((AU24-EchelleFPAparam!$AE20)*EchelleFPAparam!$C$3/EchelleFPAparam!$E$3))*(SIN('Standard Settings'!$F19)+SIN('Standard Settings'!$F19+EchelleFPAparam!$M$3+EchelleFPAparam!$I$3*EchelleFPAparam!$B$6*COS(EchelleFPAparam!$AC$3)-(AU24-1024)*SIN(EchelleFPAparam!$AC$3)*EchelleFPAparam!$C$3/EchelleFPAparam!$E$3))</f>
        <v>3313.0801077240963</v>
      </c>
      <c r="DX24" s="26">
        <f>(EchelleFPAparam!$S$3/($U24+G$53)*COS((AV24-EchelleFPAparam!$AE20)*EchelleFPAparam!$C$3/EchelleFPAparam!$E$3))*(SIN('Standard Settings'!$F19)+SIN('Standard Settings'!$F19+EchelleFPAparam!$M$3+EchelleFPAparam!$I$3*EchelleFPAparam!$B$6*COS(EchelleFPAparam!$AC$3)-(AV24-1024)*SIN(EchelleFPAparam!$AC$3)*EchelleFPAparam!$C$3/EchelleFPAparam!$E$3))</f>
        <v>3129.0866389550538</v>
      </c>
      <c r="DY24" s="26">
        <f>(EchelleFPAparam!$S$3/($U24+H$53)*COS((AW24-EchelleFPAparam!$AE20)*EchelleFPAparam!$C$3/EchelleFPAparam!$E$3))*(SIN('Standard Settings'!$F19)+SIN('Standard Settings'!$F19+EchelleFPAparam!$M$3+EchelleFPAparam!$I$3*EchelleFPAparam!$B$6*COS(EchelleFPAparam!$AC$3)-(AW24-1024)*SIN(EchelleFPAparam!$AC$3)*EchelleFPAparam!$C$3/EchelleFPAparam!$E$3))</f>
        <v>2964.4332782032407</v>
      </c>
      <c r="DZ24" s="26">
        <f>(EchelleFPAparam!$S$3/($U24+I$53)*COS((AX24-EchelleFPAparam!$AE20)*EchelleFPAparam!$C$3/EchelleFPAparam!$E$3))*(SIN('Standard Settings'!$F19)+SIN('Standard Settings'!$F19+EchelleFPAparam!$M$3+EchelleFPAparam!$I$3*EchelleFPAparam!$B$6*COS(EchelleFPAparam!$AC$3)-(AX24-1024)*SIN(EchelleFPAparam!$AC$3)*EchelleFPAparam!$C$3/EchelleFPAparam!$E$3))</f>
        <v>2815.2935908718769</v>
      </c>
      <c r="EA24" s="26">
        <f>(EchelleFPAparam!$S$3/($U24+J$53)*COS((AY24-EchelleFPAparam!$AE20)*EchelleFPAparam!$C$3/EchelleFPAparam!$E$3))*(SIN('Standard Settings'!$F19)+SIN('Standard Settings'!$F19+EchelleFPAparam!$M$3+EchelleFPAparam!$I$3*EchelleFPAparam!$B$6*COS(EchelleFPAparam!$AC$3)-(AY24-1024)*SIN(EchelleFPAparam!$AC$3)*EchelleFPAparam!$C$3/EchelleFPAparam!$E$3))</f>
        <v>2681.2319913065494</v>
      </c>
      <c r="EB24" s="26">
        <f>(EchelleFPAparam!$S$3/($U24+K$53)*COS((AZ24-EchelleFPAparam!$AE20)*EchelleFPAparam!$C$3/EchelleFPAparam!$E$3))*(SIN('Standard Settings'!$F19)+SIN('Standard Settings'!$F19+EchelleFPAparam!$M$3+EchelleFPAparam!$I$3*EchelleFPAparam!$B$6*COS(EchelleFPAparam!$AC$3)-(AZ24-1024)*SIN(EchelleFPAparam!$AC$3)*EchelleFPAparam!$C$3/EchelleFPAparam!$E$3))</f>
        <v>2559.3578098835246</v>
      </c>
      <c r="EC24" s="26">
        <f>(EchelleFPAparam!$S$3/($U24+B$53)*COS((BA24-EchelleFPAparam!$AE20)*EchelleFPAparam!$C$3/EchelleFPAparam!$E$3))*(SIN('Standard Settings'!$F19)+SIN('Standard Settings'!$F19+EchelleFPAparam!$M$3+EchelleFPAparam!$J$3*EchelleFPAparam!$B$6*COS(EchelleFPAparam!$AC$3)-(BA24-1024)*SIN(EchelleFPAparam!$AC$3)*EchelleFPAparam!$C$3/EchelleFPAparam!$E$3))</f>
        <v>4333.4550211689502</v>
      </c>
      <c r="ED24" s="26">
        <f>(EchelleFPAparam!$S$3/($U24+C$53)*COS((BB24-EchelleFPAparam!$AE20)*EchelleFPAparam!$C$3/EchelleFPAparam!$E$3))*(SIN('Standard Settings'!$F19)+SIN('Standard Settings'!$F19+EchelleFPAparam!$M$3+EchelleFPAparam!$J$3*EchelleFPAparam!$B$6*COS(EchelleFPAparam!$AC$3)-(BB24-1024)*SIN(EchelleFPAparam!$AC$3)*EchelleFPAparam!$C$3/EchelleFPAparam!$E$3))</f>
        <v>4024.2668258637627</v>
      </c>
      <c r="EE24" s="26">
        <f>(EchelleFPAparam!$S$3/($U24+D$53)*COS((BC24-EchelleFPAparam!$AE20)*EchelleFPAparam!$C$3/EchelleFPAparam!$E$3))*(SIN('Standard Settings'!$F19)+SIN('Standard Settings'!$F19+EchelleFPAparam!$M$3+EchelleFPAparam!$J$3*EchelleFPAparam!$B$6*COS(EchelleFPAparam!$AC$3)-(BC24-1024)*SIN(EchelleFPAparam!$AC$3)*EchelleFPAparam!$C$3/EchelleFPAparam!$E$3))</f>
        <v>3756.2660457682628</v>
      </c>
      <c r="EF24" s="26">
        <f>(EchelleFPAparam!$S$3/($U24+E$53)*COS((BD24-EchelleFPAparam!$AE20)*EchelleFPAparam!$C$3/EchelleFPAparam!$E$3))*(SIN('Standard Settings'!$F19)+SIN('Standard Settings'!$F19+EchelleFPAparam!$M$3+EchelleFPAparam!$J$3*EchelleFPAparam!$B$6*COS(EchelleFPAparam!$AC$3)-(BD24-1024)*SIN(EchelleFPAparam!$AC$3)*EchelleFPAparam!$C$3/EchelleFPAparam!$E$3))</f>
        <v>3521.6789760598126</v>
      </c>
      <c r="EG24" s="26">
        <f>(EchelleFPAparam!$S$3/($U24+F$53)*COS((BE24-EchelleFPAparam!$AE20)*EchelleFPAparam!$C$3/EchelleFPAparam!$E$3))*(SIN('Standard Settings'!$F19)+SIN('Standard Settings'!$F19+EchelleFPAparam!$M$3+EchelleFPAparam!$J$3*EchelleFPAparam!$B$6*COS(EchelleFPAparam!$AC$3)-(BE24-1024)*SIN(EchelleFPAparam!$AC$3)*EchelleFPAparam!$C$3/EchelleFPAparam!$E$3))</f>
        <v>3314.6319926799397</v>
      </c>
      <c r="EH24" s="26">
        <f>(EchelleFPAparam!$S$3/($U24+G$53)*COS((BF24-EchelleFPAparam!$AE20)*EchelleFPAparam!$C$3/EchelleFPAparam!$E$3))*(SIN('Standard Settings'!$F19)+SIN('Standard Settings'!$F19+EchelleFPAparam!$M$3+EchelleFPAparam!$J$3*EchelleFPAparam!$B$6*COS(EchelleFPAparam!$AC$3)-(BF24-1024)*SIN(EchelleFPAparam!$AC$3)*EchelleFPAparam!$C$3/EchelleFPAparam!$E$3))</f>
        <v>3130.5501560645744</v>
      </c>
      <c r="EI24" s="26">
        <f>(EchelleFPAparam!$S$3/($U24+H$53)*COS((BG24-EchelleFPAparam!$AE20)*EchelleFPAparam!$C$3/EchelleFPAparam!$E$3))*(SIN('Standard Settings'!$F19)+SIN('Standard Settings'!$F19+EchelleFPAparam!$M$3+EchelleFPAparam!$J$3*EchelleFPAparam!$B$6*COS(EchelleFPAparam!$AC$3)-(BG24-1024)*SIN(EchelleFPAparam!$AC$3)*EchelleFPAparam!$C$3/EchelleFPAparam!$E$3))</f>
        <v>2965.8175399176575</v>
      </c>
      <c r="EJ24" s="26">
        <f>(EchelleFPAparam!$S$3/($U24+I$53)*COS((BH24-EchelleFPAparam!$AE20)*EchelleFPAparam!$C$3/EchelleFPAparam!$E$3))*(SIN('Standard Settings'!$F19)+SIN('Standard Settings'!$F19+EchelleFPAparam!$M$3+EchelleFPAparam!$J$3*EchelleFPAparam!$B$6*COS(EchelleFPAparam!$AC$3)-(BH24-1024)*SIN(EchelleFPAparam!$AC$3)*EchelleFPAparam!$C$3/EchelleFPAparam!$E$3))</f>
        <v>2816.6071791912686</v>
      </c>
      <c r="EK24" s="26">
        <f>(EchelleFPAparam!$S$3/($U24+J$53)*COS((BI24-EchelleFPAparam!$AE20)*EchelleFPAparam!$C$3/EchelleFPAparam!$E$3))*(SIN('Standard Settings'!$F19)+SIN('Standard Settings'!$F19+EchelleFPAparam!$M$3+EchelleFPAparam!$J$3*EchelleFPAparam!$B$6*COS(EchelleFPAparam!$AC$3)-(BI24-1024)*SIN(EchelleFPAparam!$AC$3)*EchelleFPAparam!$C$3/EchelleFPAparam!$E$3))</f>
        <v>2682.4830278012082</v>
      </c>
      <c r="EL24" s="26">
        <f>(EchelleFPAparam!$S$3/($U24+K$53)*COS((BJ24-EchelleFPAparam!$AE20)*EchelleFPAparam!$C$3/EchelleFPAparam!$E$3))*(SIN('Standard Settings'!$F19)+SIN('Standard Settings'!$F19+EchelleFPAparam!$M$3+EchelleFPAparam!$J$3*EchelleFPAparam!$B$6*COS(EchelleFPAparam!$AC$3)-(BJ24-1024)*SIN(EchelleFPAparam!$AC$3)*EchelleFPAparam!$C$3/EchelleFPAparam!$E$3))</f>
        <v>2560.5519810829715</v>
      </c>
      <c r="EM24" s="26">
        <f>(EchelleFPAparam!$S$3/($U24+B$53)*COS((BA24-EchelleFPAparam!$AE20)*EchelleFPAparam!$C$3/EchelleFPAparam!$E$3))*(SIN('Standard Settings'!$F19)+SIN('Standard Settings'!$F19+EchelleFPAparam!$M$3+EchelleFPAparam!$K$3*EchelleFPAparam!$B$6*COS(EchelleFPAparam!$AC$3)-(BA24-1024)*SIN(EchelleFPAparam!$AC$3)*EchelleFPAparam!$C$3/EchelleFPAparam!$E$3))</f>
        <v>4360.6562179503253</v>
      </c>
      <c r="EN24" s="26">
        <f>(EchelleFPAparam!$S$3/($U24+C$53)*COS((BB24-EchelleFPAparam!$AE20)*EchelleFPAparam!$C$3/EchelleFPAparam!$E$3))*(SIN('Standard Settings'!$F19)+SIN('Standard Settings'!$F19+EchelleFPAparam!$M$3+EchelleFPAparam!$K$3*EchelleFPAparam!$B$6*COS(EchelleFPAparam!$AC$3)-(BB24-1024)*SIN(EchelleFPAparam!$AC$3)*EchelleFPAparam!$C$3/EchelleFPAparam!$E$3))</f>
        <v>4049.5219855424589</v>
      </c>
      <c r="EO24" s="26">
        <f>(EchelleFPAparam!$S$3/($U24+D$53)*COS((BC24-EchelleFPAparam!$AE20)*EchelleFPAparam!$C$3/EchelleFPAparam!$E$3))*(SIN('Standard Settings'!$F19)+SIN('Standard Settings'!$F19+EchelleFPAparam!$M$3+EchelleFPAparam!$K$3*EchelleFPAparam!$B$6*COS(EchelleFPAparam!$AC$3)-(BC24-1024)*SIN(EchelleFPAparam!$AC$3)*EchelleFPAparam!$C$3/EchelleFPAparam!$E$3))</f>
        <v>3779.8339715747115</v>
      </c>
      <c r="EP24" s="26">
        <f>(EchelleFPAparam!$S$3/($U24+E$53)*COS((BD24-EchelleFPAparam!$AE20)*EchelleFPAparam!$C$3/EchelleFPAparam!$E$3))*(SIN('Standard Settings'!$F19)+SIN('Standard Settings'!$F19+EchelleFPAparam!$M$3+EchelleFPAparam!$K$3*EchelleFPAparam!$B$6*COS(EchelleFPAparam!$AC$3)-(BD24-1024)*SIN(EchelleFPAparam!$AC$3)*EchelleFPAparam!$C$3/EchelleFPAparam!$E$3))</f>
        <v>3543.7706635931509</v>
      </c>
      <c r="EQ24" s="26">
        <f>(EchelleFPAparam!$S$3/($U24+F$53)*COS((BE24-EchelleFPAparam!$AE20)*EchelleFPAparam!$C$3/EchelleFPAparam!$E$3))*(SIN('Standard Settings'!$F19)+SIN('Standard Settings'!$F19+EchelleFPAparam!$M$3+EchelleFPAparam!$K$3*EchelleFPAparam!$B$6*COS(EchelleFPAparam!$AC$3)-(BE24-1024)*SIN(EchelleFPAparam!$AC$3)*EchelleFPAparam!$C$3/EchelleFPAparam!$E$3))</f>
        <v>3335.4212384587763</v>
      </c>
      <c r="ER24" s="26">
        <f>(EchelleFPAparam!$S$3/($U24+G$53)*COS((BF24-EchelleFPAparam!$AE20)*EchelleFPAparam!$C$3/EchelleFPAparam!$E$3))*(SIN('Standard Settings'!$F19)+SIN('Standard Settings'!$F19+EchelleFPAparam!$M$3+EchelleFPAparam!$K$3*EchelleFPAparam!$B$6*COS(EchelleFPAparam!$AC$3)-(BF24-1024)*SIN(EchelleFPAparam!$AC$3)*EchelleFPAparam!$C$3/EchelleFPAparam!$E$3))</f>
        <v>3150.1818037559178</v>
      </c>
      <c r="ES24" s="26">
        <f>(EchelleFPAparam!$S$3/($U24+H$53)*COS((BG24-EchelleFPAparam!$AE20)*EchelleFPAparam!$C$3/EchelleFPAparam!$E$3))*(SIN('Standard Settings'!$F19)+SIN('Standard Settings'!$F19+EchelleFPAparam!$M$3+EchelleFPAparam!$K$3*EchelleFPAparam!$B$6*COS(EchelleFPAparam!$AC$3)-(BG24-1024)*SIN(EchelleFPAparam!$AC$3)*EchelleFPAparam!$C$3/EchelleFPAparam!$E$3))</f>
        <v>2984.4135541928372</v>
      </c>
      <c r="ET24" s="26">
        <f>(EchelleFPAparam!$S$3/($U24+I$53)*COS((BH24-EchelleFPAparam!$AE20)*EchelleFPAparam!$C$3/EchelleFPAparam!$E$3))*(SIN('Standard Settings'!$F19)+SIN('Standard Settings'!$F19+EchelleFPAparam!$M$3+EchelleFPAparam!$K$3*EchelleFPAparam!$B$6*COS(EchelleFPAparam!$AC$3)-(BH24-1024)*SIN(EchelleFPAparam!$AC$3)*EchelleFPAparam!$C$3/EchelleFPAparam!$E$3))</f>
        <v>2834.2889491311639</v>
      </c>
      <c r="EU24" s="26">
        <f>(EchelleFPAparam!$S$3/($U24+J$53)*COS((BI24-EchelleFPAparam!$AE20)*EchelleFPAparam!$C$3/EchelleFPAparam!$E$3))*(SIN('Standard Settings'!$F19)+SIN('Standard Settings'!$F19+EchelleFPAparam!$M$3+EchelleFPAparam!$K$3*EchelleFPAparam!$B$6*COS(EchelleFPAparam!$AC$3)-(BI24-1024)*SIN(EchelleFPAparam!$AC$3)*EchelleFPAparam!$C$3/EchelleFPAparam!$E$3))</f>
        <v>2699.3228086963463</v>
      </c>
      <c r="EV24" s="26">
        <f>(EchelleFPAparam!$S$3/($U24+K$53)*COS((BJ24-EchelleFPAparam!$AE20)*EchelleFPAparam!$C$3/EchelleFPAparam!$E$3))*(SIN('Standard Settings'!$F19)+SIN('Standard Settings'!$F19+EchelleFPAparam!$M$3+EchelleFPAparam!$K$3*EchelleFPAparam!$B$6*COS(EchelleFPAparam!$AC$3)-(BJ24-1024)*SIN(EchelleFPAparam!$AC$3)*EchelleFPAparam!$C$3/EchelleFPAparam!$E$3))</f>
        <v>2576.6263173919674</v>
      </c>
      <c r="EW24" s="60">
        <f t="shared" si="40"/>
        <v>2775.8893743530866</v>
      </c>
      <c r="EX24" s="60">
        <f t="shared" si="41"/>
        <v>4049.5219855424589</v>
      </c>
      <c r="EY24" s="90">
        <v>0.39</v>
      </c>
      <c r="EZ24" s="90">
        <v>0.36</v>
      </c>
      <c r="FA24" s="50">
        <v>10000</v>
      </c>
      <c r="FB24" s="95">
        <v>1000</v>
      </c>
      <c r="FC24" s="95">
        <v>1000</v>
      </c>
      <c r="FD24" s="50">
        <v>4920</v>
      </c>
      <c r="FE24" s="50">
        <v>2000</v>
      </c>
      <c r="FF24" s="50">
        <v>5000</v>
      </c>
      <c r="FG24" s="95">
        <v>1000</v>
      </c>
      <c r="FH24" s="95">
        <f t="shared" si="27"/>
        <v>250</v>
      </c>
      <c r="FI24" s="95">
        <f t="shared" si="28"/>
        <v>250</v>
      </c>
      <c r="FJ24" s="50">
        <f t="shared" si="29"/>
        <v>1230</v>
      </c>
      <c r="FK24" s="50">
        <f t="shared" si="30"/>
        <v>500</v>
      </c>
      <c r="FL24" s="50">
        <f t="shared" si="31"/>
        <v>1250</v>
      </c>
      <c r="FM24" s="95">
        <f t="shared" si="32"/>
        <v>250</v>
      </c>
      <c r="FN24" s="50">
        <v>500</v>
      </c>
      <c r="FO24" s="91">
        <f>1/(F24*EchelleFPAparam!$Q$3)</f>
        <v>-3573.2635031131831</v>
      </c>
      <c r="FP24" s="91">
        <f t="shared" si="22"/>
        <v>-38.131291278294491</v>
      </c>
      <c r="FQ24" s="50">
        <v>-999999</v>
      </c>
      <c r="FR24" s="50">
        <v>-999999</v>
      </c>
      <c r="FS24" s="90">
        <v>1</v>
      </c>
      <c r="FT24" s="90">
        <v>1298.2470000000001</v>
      </c>
      <c r="FU24" s="90">
        <v>719.14599999999996</v>
      </c>
      <c r="FV24" s="50">
        <v>-999999</v>
      </c>
      <c r="FW24" s="50">
        <v>-999999</v>
      </c>
      <c r="FX24" s="50">
        <v>-999999</v>
      </c>
      <c r="FY24" s="90">
        <v>1</v>
      </c>
      <c r="FZ24" s="90">
        <v>1360.242</v>
      </c>
      <c r="GA24" s="90">
        <v>1541.547</v>
      </c>
      <c r="GB24" s="50">
        <v>-999999</v>
      </c>
      <c r="GC24" s="50">
        <v>-999999</v>
      </c>
      <c r="GD24" s="50">
        <v>-999999</v>
      </c>
      <c r="GE24" s="90">
        <v>2</v>
      </c>
      <c r="GF24" s="90">
        <v>365.03899999999999</v>
      </c>
      <c r="GG24" s="90">
        <v>374.286</v>
      </c>
      <c r="GH24" s="50">
        <v>-999999</v>
      </c>
      <c r="GI24" s="50">
        <v>-999999</v>
      </c>
      <c r="GJ24" s="50">
        <v>-999999</v>
      </c>
      <c r="GK24" s="90">
        <v>2</v>
      </c>
      <c r="GL24" s="90">
        <v>1557.3630000000001</v>
      </c>
      <c r="GM24" s="90">
        <v>1325.0650000000001</v>
      </c>
      <c r="GN24" s="50">
        <v>-999999</v>
      </c>
      <c r="GO24" s="50">
        <v>-999999</v>
      </c>
      <c r="GP24" s="50">
        <v>-999999</v>
      </c>
      <c r="GQ24" s="50">
        <v>-999999</v>
      </c>
      <c r="GR24" s="50">
        <v>-999999</v>
      </c>
      <c r="GS24" s="50">
        <v>-999999</v>
      </c>
      <c r="GT24" s="50">
        <v>-999999</v>
      </c>
      <c r="GU24" s="50">
        <v>-999999</v>
      </c>
      <c r="GV24" s="50">
        <v>-999999</v>
      </c>
      <c r="GW24" s="50">
        <v>-999999</v>
      </c>
      <c r="GX24" s="50">
        <v>-999999</v>
      </c>
      <c r="GY24" s="50">
        <v>-999999</v>
      </c>
      <c r="GZ24" s="50">
        <v>-999999</v>
      </c>
      <c r="HA24" s="50">
        <v>-999999</v>
      </c>
      <c r="HB24" s="50">
        <v>-999999</v>
      </c>
      <c r="HC24" s="50">
        <v>-999999</v>
      </c>
      <c r="HD24" s="50">
        <v>-999999</v>
      </c>
      <c r="HE24" s="50">
        <v>-999999</v>
      </c>
      <c r="HF24" s="50">
        <v>-999999</v>
      </c>
      <c r="HG24" s="50">
        <v>-999999</v>
      </c>
      <c r="HH24" s="50">
        <v>-999999</v>
      </c>
      <c r="HI24" s="50">
        <v>-999999</v>
      </c>
      <c r="HJ24" s="50">
        <v>-999999</v>
      </c>
      <c r="HK24" s="50">
        <v>-999999</v>
      </c>
      <c r="HL24" s="50">
        <v>-999999</v>
      </c>
      <c r="HM24" s="50">
        <v>-999999</v>
      </c>
      <c r="HN24" s="50">
        <v>-999999</v>
      </c>
      <c r="HO24" s="50">
        <v>-999999</v>
      </c>
      <c r="HP24" s="50">
        <v>-999999</v>
      </c>
      <c r="HQ24" s="50">
        <v>-999999</v>
      </c>
      <c r="HR24" s="50">
        <v>-999999</v>
      </c>
      <c r="HS24" s="50">
        <v>-999999</v>
      </c>
      <c r="HT24" s="50">
        <v>-999999</v>
      </c>
      <c r="HU24" s="50">
        <v>-999999</v>
      </c>
      <c r="HV24" s="50">
        <v>-999999</v>
      </c>
      <c r="HW24" s="50">
        <v>-999999</v>
      </c>
      <c r="HX24" s="50">
        <v>-999999</v>
      </c>
      <c r="HY24" s="50"/>
      <c r="HZ24" s="50"/>
      <c r="IA24" s="50"/>
      <c r="IB24" s="50"/>
      <c r="IC24" s="50"/>
      <c r="ID24" s="50"/>
      <c r="IE24" s="50"/>
      <c r="IF24" s="50"/>
      <c r="IG24" s="50"/>
      <c r="IH24" s="50"/>
      <c r="II24" s="50"/>
      <c r="IJ24" s="50"/>
      <c r="IK24" s="50"/>
      <c r="IL24" s="50"/>
      <c r="IM24" s="50"/>
      <c r="IN24" s="50"/>
      <c r="IO24" s="50"/>
      <c r="IP24" s="50"/>
      <c r="IQ24" s="50"/>
      <c r="IR24" s="50"/>
      <c r="IS24" s="50"/>
      <c r="IT24" s="50"/>
      <c r="IU24" s="50"/>
      <c r="IV24" s="50"/>
      <c r="IW24" s="50"/>
      <c r="IX24" s="50"/>
      <c r="IY24" s="50"/>
      <c r="IZ24" s="50"/>
      <c r="JA24" s="50"/>
      <c r="JB24" s="50"/>
      <c r="JC24" s="50"/>
      <c r="JD24" s="50"/>
      <c r="JE24" s="50"/>
      <c r="JF24" s="50"/>
      <c r="JG24" s="50"/>
      <c r="JH24" s="50"/>
      <c r="JI24" s="50"/>
      <c r="JJ24" s="50"/>
      <c r="JK24" s="50"/>
      <c r="JL24" s="50"/>
      <c r="JM24" s="50"/>
      <c r="JN24" s="50"/>
      <c r="JO24" s="50"/>
      <c r="JP24" s="50"/>
      <c r="JQ24" s="50"/>
      <c r="JR24" s="50"/>
      <c r="JS24" s="50"/>
      <c r="JT24" s="50"/>
      <c r="JU24" s="50"/>
      <c r="JV24" s="50"/>
      <c r="JW24" s="52">
        <f t="shared" si="23"/>
        <v>2753.2997997416815</v>
      </c>
      <c r="JX24" s="27">
        <f t="shared" si="24"/>
        <v>309448.41776307405</v>
      </c>
      <c r="JY24" s="107">
        <f>JW24*EchelleFPAparam!$Q$3</f>
        <v>-2.6225180592539515E-2</v>
      </c>
      <c r="KA24" s="19"/>
      <c r="KB24" s="19"/>
      <c r="KC24" s="19"/>
      <c r="KD24" s="19"/>
      <c r="KE24" s="19"/>
      <c r="KF24" s="19"/>
      <c r="KG24" s="19"/>
      <c r="KH24" s="19"/>
      <c r="KI24" s="19"/>
      <c r="KJ24" s="19"/>
      <c r="KK24" s="19"/>
      <c r="KL24" s="19"/>
      <c r="KM24" s="19"/>
      <c r="KW24" s="19"/>
      <c r="KX24" s="19"/>
      <c r="KY24" s="19"/>
      <c r="KZ24" s="19"/>
      <c r="LA24" s="19"/>
      <c r="LB24" s="19"/>
      <c r="LC24" s="19"/>
      <c r="LD24" s="19"/>
      <c r="LE24" s="19"/>
      <c r="LF24" s="19"/>
    </row>
    <row r="25" spans="1:318" x14ac:dyDescent="0.2">
      <c r="A25" s="53">
        <f t="shared" si="35"/>
        <v>19</v>
      </c>
      <c r="B25" s="96">
        <f t="shared" si="0"/>
        <v>3262.1396975604544</v>
      </c>
      <c r="C25" s="27" t="str">
        <f>'Standard Settings'!B20</f>
        <v>L/6/7</v>
      </c>
      <c r="D25" s="27">
        <f>'Standard Settings'!H20</f>
        <v>17</v>
      </c>
      <c r="E25" s="19">
        <f t="shared" si="1"/>
        <v>1.1123378598715039E-2</v>
      </c>
      <c r="F25" s="18">
        <f>((EchelleFPAparam!$S$3/('crmcfgWLEN.txt'!$U25+F$53))*(SIN('Standard Settings'!$F20+0.0005)+SIN('Standard Settings'!$F20+0.0005+EchelleFPAparam!$M$3))-(EchelleFPAparam!$S$3/('crmcfgWLEN.txt'!$U25+F$53))*(SIN('Standard Settings'!$F20-0.0005)+SIN('Standard Settings'!$F20-0.0005+EchelleFPAparam!$M$3)))*1000*EchelleFPAparam!$O$3/180</f>
        <v>30.714533667183293</v>
      </c>
      <c r="G25" s="20" t="str">
        <f>'Standard Settings'!C20</f>
        <v>L</v>
      </c>
      <c r="H25" s="46"/>
      <c r="I25" s="59" t="s">
        <v>361</v>
      </c>
      <c r="J25" s="57"/>
      <c r="K25" s="27" t="str">
        <f>'Standard Settings'!$D20</f>
        <v>LM</v>
      </c>
      <c r="L25" s="46"/>
      <c r="M25" s="12">
        <v>2.5</v>
      </c>
      <c r="N25" s="12">
        <v>2.5</v>
      </c>
      <c r="O25" s="47" t="s">
        <v>384</v>
      </c>
      <c r="P25" s="47" t="s">
        <v>384</v>
      </c>
      <c r="Q25" s="27">
        <f>'Standard Settings'!$E20</f>
        <v>63.258150000000001</v>
      </c>
      <c r="R25" s="106">
        <f>'Standard Settings'!$J20</f>
        <v>750000</v>
      </c>
      <c r="S25" s="21">
        <f>'Standard Settings'!$G20</f>
        <v>14</v>
      </c>
      <c r="T25" s="21">
        <f>'Standard Settings'!$I20</f>
        <v>20</v>
      </c>
      <c r="U25" s="22">
        <f t="shared" si="25"/>
        <v>13</v>
      </c>
      <c r="V25" s="22">
        <f t="shared" si="26"/>
        <v>22</v>
      </c>
      <c r="W25" s="23">
        <f>IF(AND($U25-$S25+B$53&gt;=0,$U25-$T25+B$53&lt;=0),(EchelleFPAparam!$S$3/('crmcfgWLEN.txt'!$U25+B$53))*(SIN('Standard Settings'!$F20)+SIN('Standard Settings'!$F20+EchelleFPAparam!$M$3)),-1)</f>
        <v>-1</v>
      </c>
      <c r="X25" s="23">
        <f>IF(AND($U25-$S25+C$53&gt;=0,$U25-$T25+C$53&lt;=0),(EchelleFPAparam!$S$3/('crmcfgWLEN.txt'!$U25+C$53))*(SIN('Standard Settings'!$F20)+SIN('Standard Settings'!$F20+EchelleFPAparam!$M$3)),-1)</f>
        <v>3961.1696327519799</v>
      </c>
      <c r="Y25" s="23">
        <f>IF(AND($U25-$S25+D$53&gt;=0,$U25-$T25+D$53&lt;=0),(EchelleFPAparam!$S$3/('crmcfgWLEN.txt'!$U25+D$53))*(SIN('Standard Settings'!$F20)+SIN('Standard Settings'!$F20+EchelleFPAparam!$M$3)),-1)</f>
        <v>3697.0916572351812</v>
      </c>
      <c r="Z25" s="23">
        <f>IF(AND($U25-$S25+E$53&gt;=0,$U25-$T25+E$53&lt;=0),(EchelleFPAparam!$S$3/('crmcfgWLEN.txt'!$U25+E$53))*(SIN('Standard Settings'!$F20)+SIN('Standard Settings'!$F20+EchelleFPAparam!$M$3)),-1)</f>
        <v>3466.0234286579825</v>
      </c>
      <c r="AA25" s="23">
        <f>IF(AND($U25-$S25+F$53&gt;=0,$U25-$T25+F$53&lt;=0),(EchelleFPAparam!$S$3/('crmcfgWLEN.txt'!$U25+F$53))*(SIN('Standard Settings'!$F20)+SIN('Standard Settings'!$F20+EchelleFPAparam!$M$3)),-1)</f>
        <v>3262.1396975604544</v>
      </c>
      <c r="AB25" s="23">
        <f>IF(AND($U25-$S25+G$53&gt;=0,$U25-$T25+G$53&lt;=0),(EchelleFPAparam!$S$3/('crmcfgWLEN.txt'!$U25+G$53))*(SIN('Standard Settings'!$F20)+SIN('Standard Settings'!$F20+EchelleFPAparam!$M$3)),-1)</f>
        <v>3080.9097143626514</v>
      </c>
      <c r="AC25" s="23">
        <f>IF(AND($U25-$S25+H$53&gt;=0,$U25-$T25+H$53&lt;=0),(EchelleFPAparam!$S$3/('crmcfgWLEN.txt'!$U25+H$53))*(SIN('Standard Settings'!$F20)+SIN('Standard Settings'!$F20+EchelleFPAparam!$M$3)),-1)</f>
        <v>2918.7565715014589</v>
      </c>
      <c r="AD25" s="23">
        <f>IF(AND($U25-$S25+I$53&gt;=0,$U25-$T25+I$53&lt;=0),(EchelleFPAparam!$S$3/('crmcfgWLEN.txt'!$U25+I$53))*(SIN('Standard Settings'!$F20)+SIN('Standard Settings'!$F20+EchelleFPAparam!$M$3)),-1)</f>
        <v>2772.8187429263862</v>
      </c>
      <c r="AE25" s="23">
        <f>IF(AND($U25-$S25+J$53&gt;=0,$U25-$T25+J$53&lt;=0),(EchelleFPAparam!$S$3/('crmcfgWLEN.txt'!$U25+J$53))*(SIN('Standard Settings'!$F20)+SIN('Standard Settings'!$F20+EchelleFPAparam!$M$3)),-1)</f>
        <v>-1</v>
      </c>
      <c r="AF25" s="23">
        <f>IF(AND($U25-$S25+K$53&gt;=0,$U25-$T25+K$53&lt;=0),(EchelleFPAparam!$S$3/('crmcfgWLEN.txt'!$U25+K$53))*(SIN('Standard Settings'!$F20)+SIN('Standard Settings'!$F20+EchelleFPAparam!$M$3)),-1)</f>
        <v>-1</v>
      </c>
      <c r="AG25" s="157">
        <v>85.051511256597806</v>
      </c>
      <c r="AH25" s="157">
        <v>438.60647326175399</v>
      </c>
      <c r="AI25" s="157">
        <v>788.03892183958101</v>
      </c>
      <c r="AJ25" s="157">
        <v>1093.28167530217</v>
      </c>
      <c r="AK25" s="157">
        <v>1362.51712553829</v>
      </c>
      <c r="AL25" s="157">
        <v>1602.26293362258</v>
      </c>
      <c r="AM25" s="157">
        <v>1817.15118302461</v>
      </c>
      <c r="AN25" s="159">
        <v>-100.1</v>
      </c>
      <c r="AO25" s="159">
        <f>-100-1</f>
        <v>-101</v>
      </c>
      <c r="AP25" s="159">
        <v>-100.1</v>
      </c>
      <c r="AQ25" s="157">
        <v>90.550425629188197</v>
      </c>
      <c r="AR25" s="157">
        <v>452.31441744880101</v>
      </c>
      <c r="AS25" s="157">
        <v>804.31931848680097</v>
      </c>
      <c r="AT25" s="157">
        <v>1111.80649925599</v>
      </c>
      <c r="AU25" s="157">
        <v>1382.91993934374</v>
      </c>
      <c r="AV25" s="157">
        <v>1623.8999510000201</v>
      </c>
      <c r="AW25" s="157">
        <v>1840.7821723274501</v>
      </c>
      <c r="AX25" s="160">
        <v>-100.1</v>
      </c>
      <c r="AY25" s="160">
        <v>-100.1</v>
      </c>
      <c r="AZ25" s="160">
        <v>-100.1</v>
      </c>
      <c r="BA25" s="157">
        <v>96.579626358125907</v>
      </c>
      <c r="BB25" s="157">
        <v>465.54883079226602</v>
      </c>
      <c r="BC25" s="157">
        <v>820.42555304897598</v>
      </c>
      <c r="BD25" s="157">
        <v>1130.30740740441</v>
      </c>
      <c r="BE25" s="157">
        <v>1403.5698653414599</v>
      </c>
      <c r="BF25" s="157">
        <v>1646.57000570271</v>
      </c>
      <c r="BG25" s="157">
        <v>1864.81312215307</v>
      </c>
      <c r="BH25" s="161">
        <v>-100.1</v>
      </c>
      <c r="BI25" s="161">
        <v>-100.1</v>
      </c>
      <c r="BJ25" s="161">
        <v>-100.1</v>
      </c>
      <c r="BK25" s="24">
        <f>EchelleFPAparam!$S$3/('crmcfgWLEN.txt'!$U25+B$53)*(SIN(EchelleFPAparam!$T$3-EchelleFPAparam!$M$3/2)+SIN('Standard Settings'!$F20+EchelleFPAparam!$M$3))</f>
        <v>4304.4912700392661</v>
      </c>
      <c r="BL25" s="24">
        <f>EchelleFPAparam!$S$3/('crmcfgWLEN.txt'!$U25+C$53)*(SIN(EchelleFPAparam!$T$3-EchelleFPAparam!$M$3/2)+SIN('Standard Settings'!$F20+EchelleFPAparam!$M$3))</f>
        <v>3997.0276078936035</v>
      </c>
      <c r="BM25" s="24">
        <f>EchelleFPAparam!$S$3/('crmcfgWLEN.txt'!$U25+D$53)*(SIN(EchelleFPAparam!$T$3-EchelleFPAparam!$M$3/2)+SIN('Standard Settings'!$F20+EchelleFPAparam!$M$3))</f>
        <v>3730.5591007006965</v>
      </c>
      <c r="BN25" s="24">
        <f>EchelleFPAparam!$S$3/('crmcfgWLEN.txt'!$U25+E$53)*(SIN(EchelleFPAparam!$T$3-EchelleFPAparam!$M$3/2)+SIN('Standard Settings'!$F20+EchelleFPAparam!$M$3))</f>
        <v>3497.3991569069035</v>
      </c>
      <c r="BO25" s="24">
        <f>EchelleFPAparam!$S$3/('crmcfgWLEN.txt'!$U25+F$53)*(SIN(EchelleFPAparam!$T$3-EchelleFPAparam!$M$3/2)+SIN('Standard Settings'!$F20+EchelleFPAparam!$M$3))</f>
        <v>3291.6697947359089</v>
      </c>
      <c r="BP25" s="24">
        <f>EchelleFPAparam!$S$3/('crmcfgWLEN.txt'!$U25+G$53)*(SIN(EchelleFPAparam!$T$3-EchelleFPAparam!$M$3/2)+SIN('Standard Settings'!$F20+EchelleFPAparam!$M$3))</f>
        <v>3108.7992505839143</v>
      </c>
      <c r="BQ25" s="24">
        <f>EchelleFPAparam!$S$3/('crmcfgWLEN.txt'!$U25+H$53)*(SIN(EchelleFPAparam!$T$3-EchelleFPAparam!$M$3/2)+SIN('Standard Settings'!$F20+EchelleFPAparam!$M$3))</f>
        <v>2945.1782373952869</v>
      </c>
      <c r="BR25" s="24">
        <f>EchelleFPAparam!$S$3/('crmcfgWLEN.txt'!$U25+I$53)*(SIN(EchelleFPAparam!$T$3-EchelleFPAparam!$M$3/2)+SIN('Standard Settings'!$F20+EchelleFPAparam!$M$3))</f>
        <v>2797.9193255255227</v>
      </c>
      <c r="BS25" s="24">
        <f>EchelleFPAparam!$S$3/('crmcfgWLEN.txt'!$U25+J$53)*(SIN(EchelleFPAparam!$T$3-EchelleFPAparam!$M$3/2)+SIN('Standard Settings'!$F20+EchelleFPAparam!$M$3))</f>
        <v>2664.6850719290692</v>
      </c>
      <c r="BT25" s="24">
        <f>EchelleFPAparam!$S$3/('crmcfgWLEN.txt'!$U25+K$53)*(SIN(EchelleFPAparam!$T$3-EchelleFPAparam!$M$3/2)+SIN('Standard Settings'!$F20+EchelleFPAparam!$M$3))</f>
        <v>2543.5630232050207</v>
      </c>
      <c r="BU25" s="25">
        <f t="shared" si="33"/>
        <v>4181.5058051810011</v>
      </c>
      <c r="BV25" s="25">
        <f t="shared" si="2"/>
        <v>3888.9998347072901</v>
      </c>
      <c r="BW25" s="25">
        <f t="shared" si="3"/>
        <v>3634.9037391442685</v>
      </c>
      <c r="BX25" s="25">
        <f t="shared" si="4"/>
        <v>3412.0967384457595</v>
      </c>
      <c r="BY25" s="25">
        <f t="shared" si="5"/>
        <v>3215.1193343932132</v>
      </c>
      <c r="BZ25" s="25">
        <f t="shared" si="6"/>
        <v>3039.7148227931607</v>
      </c>
      <c r="CA25" s="25">
        <f t="shared" si="7"/>
        <v>2882.5148706421955</v>
      </c>
      <c r="CB25" s="25">
        <f t="shared" si="8"/>
        <v>2740.8189311270426</v>
      </c>
      <c r="CC25" s="25">
        <f t="shared" si="9"/>
        <v>2612.4363450284991</v>
      </c>
      <c r="CD25" s="25">
        <f t="shared" si="10"/>
        <v>2495.5712680502088</v>
      </c>
      <c r="CE25" s="25">
        <f t="shared" si="34"/>
        <v>4434.9303994343954</v>
      </c>
      <c r="CF25" s="25">
        <f t="shared" si="11"/>
        <v>4111.2283966905634</v>
      </c>
      <c r="CG25" s="25">
        <f t="shared" si="12"/>
        <v>3831.3850223412555</v>
      </c>
      <c r="CH25" s="25">
        <f t="shared" si="13"/>
        <v>3587.0760583660544</v>
      </c>
      <c r="CI25" s="25">
        <f t="shared" si="14"/>
        <v>3371.954423875809</v>
      </c>
      <c r="CJ25" s="25">
        <f t="shared" si="15"/>
        <v>3181.0969075742378</v>
      </c>
      <c r="CK25" s="25">
        <f t="shared" si="16"/>
        <v>3010.6266426707375</v>
      </c>
      <c r="CL25" s="25">
        <f t="shared" si="17"/>
        <v>2857.4495239409594</v>
      </c>
      <c r="CM25" s="25">
        <f t="shared" si="18"/>
        <v>2719.0663999276217</v>
      </c>
      <c r="CN25" s="25">
        <f t="shared" si="19"/>
        <v>2593.4368079737465</v>
      </c>
      <c r="CO25" s="26">
        <f>(EchelleFPAparam!$S$3/($U25+B$53)*COS((AG25-EchelleFPAparam!$AE21)*EchelleFPAparam!$C$3/EchelleFPAparam!$E$3))*(SIN('Standard Settings'!$F20)+SIN('Standard Settings'!$F20+EchelleFPAparam!$M$3+(EchelleFPAparam!$F$3*EchelleFPAparam!$B$6)*COS(EchelleFPAparam!$AC$3)-(AG25-1024)*SIN(EchelleFPAparam!$AC$3)*EchelleFPAparam!$C$3/EchelleFPAparam!$E$3))</f>
        <v>4216.5511236829943</v>
      </c>
      <c r="CP25" s="26">
        <f>(EchelleFPAparam!$S$3/($U25+C$53)*COS((AH25-EchelleFPAparam!$AE21)*EchelleFPAparam!$C$3/EchelleFPAparam!$E$3))*(SIN('Standard Settings'!$F20)+SIN('Standard Settings'!$F20+EchelleFPAparam!$M$3+(EchelleFPAparam!$F$3*EchelleFPAparam!$B$6)*COS(EchelleFPAparam!$AC$3)-(AH25-1024)*SIN(EchelleFPAparam!$AC$3)*EchelleFPAparam!$C$3/EchelleFPAparam!$E$3))</f>
        <v>3915.7395380972698</v>
      </c>
      <c r="CQ25" s="26">
        <f>(EchelleFPAparam!$S$3/($U25+D$53)*COS((AI25-EchelleFPAparam!$AE21)*EchelleFPAparam!$C$3/EchelleFPAparam!$E$3))*(SIN('Standard Settings'!$F20)+SIN('Standard Settings'!$F20+EchelleFPAparam!$M$3+(EchelleFPAparam!$F$3*EchelleFPAparam!$B$6)*COS(EchelleFPAparam!$AC$3)-(AI25-1024)*SIN(EchelleFPAparam!$AC$3)*EchelleFPAparam!$C$3/EchelleFPAparam!$E$3))</f>
        <v>3654.9685079958626</v>
      </c>
      <c r="CR25" s="26">
        <f>(EchelleFPAparam!$S$3/($U25+E$53)*COS((AJ25-EchelleFPAparam!$AE21)*EchelleFPAparam!$C$3/EchelleFPAparam!$E$3))*(SIN('Standard Settings'!$F20)+SIN('Standard Settings'!$F20+EchelleFPAparam!$M$3+(EchelleFPAparam!$F$3*EchelleFPAparam!$B$6)*COS(EchelleFPAparam!$AC$3)-(AJ25-1024)*SIN(EchelleFPAparam!$AC$3)*EchelleFPAparam!$C$3/EchelleFPAparam!$E$3))</f>
        <v>3426.712336644332</v>
      </c>
      <c r="CS25" s="26">
        <f>(EchelleFPAparam!$S$3/($U25+F$53)*COS((AK25-EchelleFPAparam!$AE21)*EchelleFPAparam!$C$3/EchelleFPAparam!$E$3))*(SIN('Standard Settings'!$F20)+SIN('Standard Settings'!$F20+EchelleFPAparam!$M$3+(EchelleFPAparam!$F$3*EchelleFPAparam!$B$6)*COS(EchelleFPAparam!$AC$3)-(AK25-1024)*SIN(EchelleFPAparam!$AC$3)*EchelleFPAparam!$C$3/EchelleFPAparam!$E$3))</f>
        <v>3225.2545642047271</v>
      </c>
      <c r="CT25" s="26">
        <f>(EchelleFPAparam!$S$3/($U25+G$53)*COS((AL25-EchelleFPAparam!$AE21)*EchelleFPAparam!$C$3/EchelleFPAparam!$E$3))*(SIN('Standard Settings'!$F20)+SIN('Standard Settings'!$F20+EchelleFPAparam!$M$3+(EchelleFPAparam!$F$3*EchelleFPAparam!$B$6)*COS(EchelleFPAparam!$AC$3)-(AL25-1024)*SIN(EchelleFPAparam!$AC$3)*EchelleFPAparam!$C$3/EchelleFPAparam!$E$3))</f>
        <v>3046.1428975285844</v>
      </c>
      <c r="CU25" s="26">
        <f>(EchelleFPAparam!$S$3/($U25+H$53)*COS((AM25-EchelleFPAparam!$AE21)*EchelleFPAparam!$C$3/EchelleFPAparam!$E$3))*(SIN('Standard Settings'!$F20)+SIN('Standard Settings'!$F20+EchelleFPAparam!$M$3+(EchelleFPAparam!$F$3*EchelleFPAparam!$B$6)*COS(EchelleFPAparam!$AC$3)-(AM25-1024)*SIN(EchelleFPAparam!$AC$3)*EchelleFPAparam!$C$3/EchelleFPAparam!$E$3))</f>
        <v>2885.8583150352883</v>
      </c>
      <c r="CV25" s="26">
        <f>(EchelleFPAparam!$S$3/($U25+I$53)*COS((AN25-EchelleFPAparam!$AE21)*EchelleFPAparam!$C$3/EchelleFPAparam!$E$3))*(SIN('Standard Settings'!$F20)+SIN('Standard Settings'!$F20+EchelleFPAparam!$M$3+(EchelleFPAparam!$F$3*EchelleFPAparam!$B$6)*COS(EchelleFPAparam!$AC$3)-(AN25-1024)*SIN(EchelleFPAparam!$AC$3)*EchelleFPAparam!$C$3/EchelleFPAparam!$E$3))</f>
        <v>2740.6029898099418</v>
      </c>
      <c r="CW25" s="26">
        <f>(EchelleFPAparam!$S$3/($U25+J$53)*COS((AO25-EchelleFPAparam!$AE21)*EchelleFPAparam!$C$3/EchelleFPAparam!$E$3))*(SIN('Standard Settings'!$F20)+SIN('Standard Settings'!$F20+EchelleFPAparam!$M$3+(EchelleFPAparam!$F$3*EchelleFPAparam!$B$6)*COS(EchelleFPAparam!$AC$3)-(AO25-1024)*SIN(EchelleFPAparam!$AC$3)*EchelleFPAparam!$C$3/EchelleFPAparam!$E$3))</f>
        <v>2610.097335889559</v>
      </c>
      <c r="CX25" s="26">
        <f>(EchelleFPAparam!$S$3/($U25+K$53)*COS((AP25-EchelleFPAparam!$AE21)*EchelleFPAparam!$C$3/EchelleFPAparam!$E$3))*(SIN('Standard Settings'!$F20)+SIN('Standard Settings'!$F20+EchelleFPAparam!$M$3+(EchelleFPAparam!$F$3*EchelleFPAparam!$B$6)*COS(EchelleFPAparam!$AC$3)-(AP25-1024)*SIN(EchelleFPAparam!$AC$3)*EchelleFPAparam!$C$3/EchelleFPAparam!$E$3))</f>
        <v>2491.4572634635838</v>
      </c>
      <c r="CY25" s="26">
        <f>(EchelleFPAparam!$S$3/($U25+B$53)*COS((AG25-EchelleFPAparam!$AE21)*EchelleFPAparam!$C$3/EchelleFPAparam!$E$3))*(SIN('Standard Settings'!$F20)+SIN('Standard Settings'!$F20+EchelleFPAparam!$M$3+EchelleFPAparam!$G$3*EchelleFPAparam!$B$6*COS(EchelleFPAparam!$AC$3)-(AG25-1024)*SIN(EchelleFPAparam!$AC$3)*EchelleFPAparam!$C$3/EchelleFPAparam!$E$3))</f>
        <v>4247.7077230993946</v>
      </c>
      <c r="CZ25" s="26">
        <f>(EchelleFPAparam!$S$3/($U25+C$53)*COS((AH25-EchelleFPAparam!$AE21)*EchelleFPAparam!$C$3/EchelleFPAparam!$E$3))*(SIN('Standard Settings'!$F20)+SIN('Standard Settings'!$F20+EchelleFPAparam!$M$3+EchelleFPAparam!$G$3*EchelleFPAparam!$B$6*COS(EchelleFPAparam!$AC$3)-(AH25-1024)*SIN(EchelleFPAparam!$AC$3)*EchelleFPAparam!$C$3/EchelleFPAparam!$E$3))</f>
        <v>3944.6677571831624</v>
      </c>
      <c r="DA25" s="26">
        <f>(EchelleFPAparam!$S$3/($U25+D$53)*COS((AI25-EchelleFPAparam!$AE21)*EchelleFPAparam!$C$3/EchelleFPAparam!$E$3))*(SIN('Standard Settings'!$F20)+SIN('Standard Settings'!$F20+EchelleFPAparam!$M$3+EchelleFPAparam!$G$3*EchelleFPAparam!$B$6*COS(EchelleFPAparam!$AC$3)-(AI25-1024)*SIN(EchelleFPAparam!$AC$3)*EchelleFPAparam!$C$3/EchelleFPAparam!$E$3))</f>
        <v>3681.9650250562795</v>
      </c>
      <c r="DB25" s="26">
        <f>(EchelleFPAparam!$S$3/($U25+E$53)*COS((AJ25-EchelleFPAparam!$AE21)*EchelleFPAparam!$C$3/EchelleFPAparam!$E$3))*(SIN('Standard Settings'!$F20)+SIN('Standard Settings'!$F20+EchelleFPAparam!$M$3+EchelleFPAparam!$G$3*EchelleFPAparam!$B$6*COS(EchelleFPAparam!$AC$3)-(AJ25-1024)*SIN(EchelleFPAparam!$AC$3)*EchelleFPAparam!$C$3/EchelleFPAparam!$E$3))</f>
        <v>3452.0186295176691</v>
      </c>
      <c r="DC25" s="26">
        <f>(EchelleFPAparam!$S$3/($U25+F$53)*COS((AK25-EchelleFPAparam!$AE21)*EchelleFPAparam!$C$3/EchelleFPAparam!$E$3))*(SIN('Standard Settings'!$F20)+SIN('Standard Settings'!$F20+EchelleFPAparam!$M$3+EchelleFPAparam!$G$3*EchelleFPAparam!$B$6*COS(EchelleFPAparam!$AC$3)-(AK25-1024)*SIN(EchelleFPAparam!$AC$3)*EchelleFPAparam!$C$3/EchelleFPAparam!$E$3))</f>
        <v>3249.0695481066341</v>
      </c>
      <c r="DD25" s="26">
        <f>(EchelleFPAparam!$S$3/($U25+G$53)*COS((AL25-EchelleFPAparam!$AE21)*EchelleFPAparam!$C$3/EchelleFPAparam!$E$3))*(SIN('Standard Settings'!$F20)+SIN('Standard Settings'!$F20+EchelleFPAparam!$M$3+EchelleFPAparam!$G$3*EchelleFPAparam!$B$6*COS(EchelleFPAparam!$AC$3)-(AL25-1024)*SIN(EchelleFPAparam!$AC$3)*EchelleFPAparam!$C$3/EchelleFPAparam!$E$3))</f>
        <v>3068.6323584907741</v>
      </c>
      <c r="DE25" s="26">
        <f>(EchelleFPAparam!$S$3/($U25+H$53)*COS((AM25-EchelleFPAparam!$AE21)*EchelleFPAparam!$C$3/EchelleFPAparam!$E$3))*(SIN('Standard Settings'!$F20)+SIN('Standard Settings'!$F20+EchelleFPAparam!$M$3+EchelleFPAparam!$G$3*EchelleFPAparam!$B$6*COS(EchelleFPAparam!$AC$3)-(AM25-1024)*SIN(EchelleFPAparam!$AC$3)*EchelleFPAparam!$C$3/EchelleFPAparam!$E$3))</f>
        <v>2907.1618766631977</v>
      </c>
      <c r="DF25" s="26">
        <f>(EchelleFPAparam!$S$3/($U25+I$53)*COS((AN25-EchelleFPAparam!$AE21)*EchelleFPAparam!$C$3/EchelleFPAparam!$E$3))*(SIN('Standard Settings'!$F20)+SIN('Standard Settings'!$F20+EchelleFPAparam!$M$3+EchelleFPAparam!$G$3*EchelleFPAparam!$B$6*COS(EchelleFPAparam!$AC$3)-(AN25-1024)*SIN(EchelleFPAparam!$AC$3)*EchelleFPAparam!$C$3/EchelleFPAparam!$E$3))</f>
        <v>2760.8557023871303</v>
      </c>
      <c r="DG25" s="26">
        <f>(EchelleFPAparam!$S$3/($U25+J$53)*COS((AO25-EchelleFPAparam!$AE21)*EchelleFPAparam!$C$3/EchelleFPAparam!$E$3))*(SIN('Standard Settings'!$F20)+SIN('Standard Settings'!$F20+EchelleFPAparam!$M$3+EchelleFPAparam!$G$3*EchelleFPAparam!$B$6*COS(EchelleFPAparam!$AC$3)-(AO25-1024)*SIN(EchelleFPAparam!$AC$3)*EchelleFPAparam!$C$3/EchelleFPAparam!$E$3))</f>
        <v>2629.3856376255385</v>
      </c>
      <c r="DH25" s="26">
        <f>(EchelleFPAparam!$S$3/($U25+K$53)*COS((AP25-EchelleFPAparam!$AE21)*EchelleFPAparam!$C$3/EchelleFPAparam!$E$3))*(SIN('Standard Settings'!$F20)+SIN('Standard Settings'!$F20+EchelleFPAparam!$M$3+EchelleFPAparam!$G$3*EchelleFPAparam!$B$6*COS(EchelleFPAparam!$AC$3)-(AP25-1024)*SIN(EchelleFPAparam!$AC$3)*EchelleFPAparam!$C$3/EchelleFPAparam!$E$3))</f>
        <v>2509.8688203519368</v>
      </c>
      <c r="DI25" s="26">
        <f>(EchelleFPAparam!$S$3/($U25+B$53)*COS((AQ25-EchelleFPAparam!$AE21)*EchelleFPAparam!$C$3/EchelleFPAparam!$E$3))*(SIN('Standard Settings'!$F20)+SIN('Standard Settings'!$F20+EchelleFPAparam!$M$3+EchelleFPAparam!$H$3*EchelleFPAparam!$B$6*COS(EchelleFPAparam!$AC$3)-(AQ25-1024)*SIN(EchelleFPAparam!$AC$3)*EchelleFPAparam!$C$3/EchelleFPAparam!$E$3))</f>
        <v>4249.8603510712574</v>
      </c>
      <c r="DJ25" s="26">
        <f>(EchelleFPAparam!$S$3/($U25+C$53)*COS((AR25-EchelleFPAparam!$AE21)*EchelleFPAparam!$C$3/EchelleFPAparam!$E$3))*(SIN('Standard Settings'!$F20)+SIN('Standard Settings'!$F20+EchelleFPAparam!$M$3+EchelleFPAparam!$H$3*EchelleFPAparam!$B$6*COS(EchelleFPAparam!$AC$3)-(AR25-1024)*SIN(EchelleFPAparam!$AC$3)*EchelleFPAparam!$C$3/EchelleFPAparam!$E$3))</f>
        <v>3946.6730056986626</v>
      </c>
      <c r="DK25" s="26">
        <f>(EchelleFPAparam!$S$3/($U25+D$53)*COS((AS25-EchelleFPAparam!$AE21)*EchelleFPAparam!$C$3/EchelleFPAparam!$E$3))*(SIN('Standard Settings'!$F20)+SIN('Standard Settings'!$F20+EchelleFPAparam!$M$3+EchelleFPAparam!$H$3*EchelleFPAparam!$B$6*COS(EchelleFPAparam!$AC$3)-(AS25-1024)*SIN(EchelleFPAparam!$AC$3)*EchelleFPAparam!$C$3/EchelleFPAparam!$E$3))</f>
        <v>3683.835631826576</v>
      </c>
      <c r="DL25" s="26">
        <f>(EchelleFPAparam!$S$3/($U25+E$53)*COS((AT25-EchelleFPAparam!$AE21)*EchelleFPAparam!$C$3/EchelleFPAparam!$E$3))*(SIN('Standard Settings'!$F20)+SIN('Standard Settings'!$F20+EchelleFPAparam!$M$3+EchelleFPAparam!$H$3*EchelleFPAparam!$B$6*COS(EchelleFPAparam!$AC$3)-(AT25-1024)*SIN(EchelleFPAparam!$AC$3)*EchelleFPAparam!$C$3/EchelleFPAparam!$E$3))</f>
        <v>3453.770789245762</v>
      </c>
      <c r="DM25" s="26">
        <f>(EchelleFPAparam!$S$3/($U25+F$53)*COS((AU25-EchelleFPAparam!$AE21)*EchelleFPAparam!$C$3/EchelleFPAparam!$E$3))*(SIN('Standard Settings'!$F20)+SIN('Standard Settings'!$F20+EchelleFPAparam!$M$3+EchelleFPAparam!$H$3*EchelleFPAparam!$B$6*COS(EchelleFPAparam!$AC$3)-(AU25-1024)*SIN(EchelleFPAparam!$AC$3)*EchelleFPAparam!$C$3/EchelleFPAparam!$E$3))</f>
        <v>3250.7167873780563</v>
      </c>
      <c r="DN25" s="26">
        <f>(EchelleFPAparam!$S$3/($U25+G$53)*COS((AV25-EchelleFPAparam!$AE21)*EchelleFPAparam!$C$3/EchelleFPAparam!$E$3))*(SIN('Standard Settings'!$F20)+SIN('Standard Settings'!$F20+EchelleFPAparam!$M$3+EchelleFPAparam!$H$3*EchelleFPAparam!$B$6*COS(EchelleFPAparam!$AC$3)-(AV25-1024)*SIN(EchelleFPAparam!$AC$3)*EchelleFPAparam!$C$3/EchelleFPAparam!$E$3))</f>
        <v>3070.1860469647299</v>
      </c>
      <c r="DO25" s="26">
        <f>(EchelleFPAparam!$S$3/($U25+H$53)*COS((AW25-EchelleFPAparam!$AE21)*EchelleFPAparam!$C$3/EchelleFPAparam!$E$3))*(SIN('Standard Settings'!$F20)+SIN('Standard Settings'!$F20+EchelleFPAparam!$M$3+EchelleFPAparam!$H$3*EchelleFPAparam!$B$6*COS(EchelleFPAparam!$AC$3)-(AW25-1024)*SIN(EchelleFPAparam!$AC$3)*EchelleFPAparam!$C$3/EchelleFPAparam!$E$3))</f>
        <v>2908.6319459959277</v>
      </c>
      <c r="DP25" s="26">
        <f>(EchelleFPAparam!$S$3/($U25+I$53)*COS((AX25-EchelleFPAparam!$AE21)*EchelleFPAparam!$C$3/EchelleFPAparam!$E$3))*(SIN('Standard Settings'!$F20)+SIN('Standard Settings'!$F20+EchelleFPAparam!$M$3+EchelleFPAparam!$H$3*EchelleFPAparam!$B$6*COS(EchelleFPAparam!$AC$3)-(AX25-1024)*SIN(EchelleFPAparam!$AC$3)*EchelleFPAparam!$C$3/EchelleFPAparam!$E$3))</f>
        <v>2762.2506018211352</v>
      </c>
      <c r="DQ25" s="26">
        <f>(EchelleFPAparam!$S$3/($U25+J$53)*COS((AY25-EchelleFPAparam!$AE21)*EchelleFPAparam!$C$3/EchelleFPAparam!$E$3))*(SIN('Standard Settings'!$F20)+SIN('Standard Settings'!$F20+EchelleFPAparam!$M$3+EchelleFPAparam!$H$3*EchelleFPAparam!$B$6*COS(EchelleFPAparam!$AC$3)-(AY25-1024)*SIN(EchelleFPAparam!$AC$3)*EchelleFPAparam!$C$3/EchelleFPAparam!$E$3))</f>
        <v>2630.7148588772711</v>
      </c>
      <c r="DR25" s="26">
        <f>(EchelleFPAparam!$S$3/($U25+K$53)*COS((AZ25-EchelleFPAparam!$AE21)*EchelleFPAparam!$C$3/EchelleFPAparam!$E$3))*(SIN('Standard Settings'!$F20)+SIN('Standard Settings'!$F20+EchelleFPAparam!$M$3+EchelleFPAparam!$H$3*EchelleFPAparam!$B$6*COS(EchelleFPAparam!$AC$3)-(AZ25-1024)*SIN(EchelleFPAparam!$AC$3)*EchelleFPAparam!$C$3/EchelleFPAparam!$E$3))</f>
        <v>2511.1369107464866</v>
      </c>
      <c r="DS25" s="26">
        <f>(EchelleFPAparam!$S$3/($U25+B$53)*COS((AQ25-EchelleFPAparam!$AE21)*EchelleFPAparam!$C$3/EchelleFPAparam!$E$3))*(SIN('Standard Settings'!$F20)+SIN('Standard Settings'!$F20+EchelleFPAparam!$M$3+EchelleFPAparam!$I$3*EchelleFPAparam!$B$6*COS(EchelleFPAparam!$AC$3)-(AQ25-1024)*SIN(EchelleFPAparam!$AC$3)*EchelleFPAparam!$C$3/EchelleFPAparam!$E$3))</f>
        <v>4279.6651282111743</v>
      </c>
      <c r="DT25" s="26">
        <f>(EchelleFPAparam!$S$3/($U25+C$53)*COS((AR25-EchelleFPAparam!$AE21)*EchelleFPAparam!$C$3/EchelleFPAparam!$E$3))*(SIN('Standard Settings'!$F20)+SIN('Standard Settings'!$F20+EchelleFPAparam!$M$3+EchelleFPAparam!$I$3*EchelleFPAparam!$B$6*COS(EchelleFPAparam!$AC$3)-(AR25-1024)*SIN(EchelleFPAparam!$AC$3)*EchelleFPAparam!$C$3/EchelleFPAparam!$E$3))</f>
        <v>3974.3457212429639</v>
      </c>
      <c r="DU25" s="26">
        <f>(EchelleFPAparam!$S$3/($U25+D$53)*COS((AS25-EchelleFPAparam!$AE21)*EchelleFPAparam!$C$3/EchelleFPAparam!$E$3))*(SIN('Standard Settings'!$F20)+SIN('Standard Settings'!$F20+EchelleFPAparam!$M$3+EchelleFPAparam!$I$3*EchelleFPAparam!$B$6*COS(EchelleFPAparam!$AC$3)-(AS25-1024)*SIN(EchelleFPAparam!$AC$3)*EchelleFPAparam!$C$3/EchelleFPAparam!$E$3))</f>
        <v>3709.6601793427972</v>
      </c>
      <c r="DV25" s="26">
        <f>(EchelleFPAparam!$S$3/($U25+E$53)*COS((AT25-EchelleFPAparam!$AE21)*EchelleFPAparam!$C$3/EchelleFPAparam!$E$3))*(SIN('Standard Settings'!$F20)+SIN('Standard Settings'!$F20+EchelleFPAparam!$M$3+EchelleFPAparam!$I$3*EchelleFPAparam!$B$6*COS(EchelleFPAparam!$AC$3)-(AT25-1024)*SIN(EchelleFPAparam!$AC$3)*EchelleFPAparam!$C$3/EchelleFPAparam!$E$3))</f>
        <v>3477.9782350557584</v>
      </c>
      <c r="DW25" s="26">
        <f>(EchelleFPAparam!$S$3/($U25+F$53)*COS((AU25-EchelleFPAparam!$AE21)*EchelleFPAparam!$C$3/EchelleFPAparam!$E$3))*(SIN('Standard Settings'!$F20)+SIN('Standard Settings'!$F20+EchelleFPAparam!$M$3+EchelleFPAparam!$I$3*EchelleFPAparam!$B$6*COS(EchelleFPAparam!$AC$3)-(AU25-1024)*SIN(EchelleFPAparam!$AC$3)*EchelleFPAparam!$C$3/EchelleFPAparam!$E$3))</f>
        <v>3273.4974667482247</v>
      </c>
      <c r="DX25" s="26">
        <f>(EchelleFPAparam!$S$3/($U25+G$53)*COS((AV25-EchelleFPAparam!$AE21)*EchelleFPAparam!$C$3/EchelleFPAparam!$E$3))*(SIN('Standard Settings'!$F20)+SIN('Standard Settings'!$F20+EchelleFPAparam!$M$3+EchelleFPAparam!$I$3*EchelleFPAparam!$B$6*COS(EchelleFPAparam!$AC$3)-(AV25-1024)*SIN(EchelleFPAparam!$AC$3)*EchelleFPAparam!$C$3/EchelleFPAparam!$E$3))</f>
        <v>3091.6985950403505</v>
      </c>
      <c r="DY25" s="26">
        <f>(EchelleFPAparam!$S$3/($U25+H$53)*COS((AW25-EchelleFPAparam!$AE21)*EchelleFPAparam!$C$3/EchelleFPAparam!$E$3))*(SIN('Standard Settings'!$F20)+SIN('Standard Settings'!$F20+EchelleFPAparam!$M$3+EchelleFPAparam!$I$3*EchelleFPAparam!$B$6*COS(EchelleFPAparam!$AC$3)-(AW25-1024)*SIN(EchelleFPAparam!$AC$3)*EchelleFPAparam!$C$3/EchelleFPAparam!$E$3))</f>
        <v>2929.009947239676</v>
      </c>
      <c r="DZ25" s="26">
        <f>(EchelleFPAparam!$S$3/($U25+I$53)*COS((AX25-EchelleFPAparam!$AE21)*EchelleFPAparam!$C$3/EchelleFPAparam!$E$3))*(SIN('Standard Settings'!$F20)+SIN('Standard Settings'!$F20+EchelleFPAparam!$M$3+EchelleFPAparam!$I$3*EchelleFPAparam!$B$6*COS(EchelleFPAparam!$AC$3)-(AX25-1024)*SIN(EchelleFPAparam!$AC$3)*EchelleFPAparam!$C$3/EchelleFPAparam!$E$3))</f>
        <v>2781.6247237518833</v>
      </c>
      <c r="EA25" s="26">
        <f>(EchelleFPAparam!$S$3/($U25+J$53)*COS((AY25-EchelleFPAparam!$AE21)*EchelleFPAparam!$C$3/EchelleFPAparam!$E$3))*(SIN('Standard Settings'!$F20)+SIN('Standard Settings'!$F20+EchelleFPAparam!$M$3+EchelleFPAparam!$I$3*EchelleFPAparam!$B$6*COS(EchelleFPAparam!$AC$3)-(AY25-1024)*SIN(EchelleFPAparam!$AC$3)*EchelleFPAparam!$C$3/EchelleFPAparam!$E$3))</f>
        <v>2649.1664035732219</v>
      </c>
      <c r="EB25" s="26">
        <f>(EchelleFPAparam!$S$3/($U25+K$53)*COS((AZ25-EchelleFPAparam!$AE21)*EchelleFPAparam!$C$3/EchelleFPAparam!$E$3))*(SIN('Standard Settings'!$F20)+SIN('Standard Settings'!$F20+EchelleFPAparam!$M$3+EchelleFPAparam!$I$3*EchelleFPAparam!$B$6*COS(EchelleFPAparam!$AC$3)-(AZ25-1024)*SIN(EchelleFPAparam!$AC$3)*EchelleFPAparam!$C$3/EchelleFPAparam!$E$3))</f>
        <v>2528.7497488653485</v>
      </c>
      <c r="EC25" s="26">
        <f>(EchelleFPAparam!$S$3/($U25+B$53)*COS((BA25-EchelleFPAparam!$AE21)*EchelleFPAparam!$C$3/EchelleFPAparam!$E$3))*(SIN('Standard Settings'!$F20)+SIN('Standard Settings'!$F20+EchelleFPAparam!$M$3+EchelleFPAparam!$J$3*EchelleFPAparam!$B$6*COS(EchelleFPAparam!$AC$3)-(BA25-1024)*SIN(EchelleFPAparam!$AC$3)*EchelleFPAparam!$C$3/EchelleFPAparam!$E$3))</f>
        <v>4281.7815833694713</v>
      </c>
      <c r="ED25" s="26">
        <f>(EchelleFPAparam!$S$3/($U25+C$53)*COS((BB25-EchelleFPAparam!$AE21)*EchelleFPAparam!$C$3/EchelleFPAparam!$E$3))*(SIN('Standard Settings'!$F20)+SIN('Standard Settings'!$F20+EchelleFPAparam!$M$3+EchelleFPAparam!$J$3*EchelleFPAparam!$B$6*COS(EchelleFPAparam!$AC$3)-(BB25-1024)*SIN(EchelleFPAparam!$AC$3)*EchelleFPAparam!$C$3/EchelleFPAparam!$E$3))</f>
        <v>3976.3161481581851</v>
      </c>
      <c r="EE25" s="26">
        <f>(EchelleFPAparam!$S$3/($U25+D$53)*COS((BC25-EchelleFPAparam!$AE21)*EchelleFPAparam!$C$3/EchelleFPAparam!$E$3))*(SIN('Standard Settings'!$F20)+SIN('Standard Settings'!$F20+EchelleFPAparam!$M$3+EchelleFPAparam!$J$3*EchelleFPAparam!$B$6*COS(EchelleFPAparam!$AC$3)-(BC25-1024)*SIN(EchelleFPAparam!$AC$3)*EchelleFPAparam!$C$3/EchelleFPAparam!$E$3))</f>
        <v>3711.4984684541232</v>
      </c>
      <c r="EF25" s="26">
        <f>(EchelleFPAparam!$S$3/($U25+E$53)*COS((BD25-EchelleFPAparam!$AE21)*EchelleFPAparam!$C$3/EchelleFPAparam!$E$3))*(SIN('Standard Settings'!$F20)+SIN('Standard Settings'!$F20+EchelleFPAparam!$M$3+EchelleFPAparam!$J$3*EchelleFPAparam!$B$6*COS(EchelleFPAparam!$AC$3)-(BD25-1024)*SIN(EchelleFPAparam!$AC$3)*EchelleFPAparam!$C$3/EchelleFPAparam!$E$3))</f>
        <v>3479.7000974611869</v>
      </c>
      <c r="EG25" s="26">
        <f>(EchelleFPAparam!$S$3/($U25+F$53)*COS((BE25-EchelleFPAparam!$AE21)*EchelleFPAparam!$C$3/EchelleFPAparam!$E$3))*(SIN('Standard Settings'!$F20)+SIN('Standard Settings'!$F20+EchelleFPAparam!$M$3+EchelleFPAparam!$J$3*EchelleFPAparam!$B$6*COS(EchelleFPAparam!$AC$3)-(BE25-1024)*SIN(EchelleFPAparam!$AC$3)*EchelleFPAparam!$C$3/EchelleFPAparam!$E$3))</f>
        <v>3275.1161949381594</v>
      </c>
      <c r="EH25" s="26">
        <f>(EchelleFPAparam!$S$3/($U25+G$53)*COS((BF25-EchelleFPAparam!$AE21)*EchelleFPAparam!$C$3/EchelleFPAparam!$E$3))*(SIN('Standard Settings'!$F20)+SIN('Standard Settings'!$F20+EchelleFPAparam!$M$3+EchelleFPAparam!$J$3*EchelleFPAparam!$B$6*COS(EchelleFPAparam!$AC$3)-(BF25-1024)*SIN(EchelleFPAparam!$AC$3)*EchelleFPAparam!$C$3/EchelleFPAparam!$E$3))</f>
        <v>3093.2254196472504</v>
      </c>
      <c r="EI25" s="26">
        <f>(EchelleFPAparam!$S$3/($U25+H$53)*COS((BG25-EchelleFPAparam!$AE21)*EchelleFPAparam!$C$3/EchelleFPAparam!$E$3))*(SIN('Standard Settings'!$F20)+SIN('Standard Settings'!$F20+EchelleFPAparam!$M$3+EchelleFPAparam!$J$3*EchelleFPAparam!$B$6*COS(EchelleFPAparam!$AC$3)-(BG25-1024)*SIN(EchelleFPAparam!$AC$3)*EchelleFPAparam!$C$3/EchelleFPAparam!$E$3))</f>
        <v>2930.4543292263543</v>
      </c>
      <c r="EJ25" s="26">
        <f>(EchelleFPAparam!$S$3/($U25+I$53)*COS((BH25-EchelleFPAparam!$AE21)*EchelleFPAparam!$C$3/EchelleFPAparam!$E$3))*(SIN('Standard Settings'!$F20)+SIN('Standard Settings'!$F20+EchelleFPAparam!$M$3+EchelleFPAparam!$J$3*EchelleFPAparam!$B$6*COS(EchelleFPAparam!$AC$3)-(BH25-1024)*SIN(EchelleFPAparam!$AC$3)*EchelleFPAparam!$C$3/EchelleFPAparam!$E$3))</f>
        <v>2782.9957475584156</v>
      </c>
      <c r="EK25" s="26">
        <f>(EchelleFPAparam!$S$3/($U25+J$53)*COS((BI25-EchelleFPAparam!$AE21)*EchelleFPAparam!$C$3/EchelleFPAparam!$E$3))*(SIN('Standard Settings'!$F20)+SIN('Standard Settings'!$F20+EchelleFPAparam!$M$3+EchelleFPAparam!$J$3*EchelleFPAparam!$B$6*COS(EchelleFPAparam!$AC$3)-(BI25-1024)*SIN(EchelleFPAparam!$AC$3)*EchelleFPAparam!$C$3/EchelleFPAparam!$E$3))</f>
        <v>2650.4721405318242</v>
      </c>
      <c r="EL25" s="26">
        <f>(EchelleFPAparam!$S$3/($U25+K$53)*COS((BJ25-EchelleFPAparam!$AE21)*EchelleFPAparam!$C$3/EchelleFPAparam!$E$3))*(SIN('Standard Settings'!$F20)+SIN('Standard Settings'!$F20+EchelleFPAparam!$M$3+EchelleFPAparam!$J$3*EchelleFPAparam!$B$6*COS(EchelleFPAparam!$AC$3)-(BJ25-1024)*SIN(EchelleFPAparam!$AC$3)*EchelleFPAparam!$C$3/EchelleFPAparam!$E$3))</f>
        <v>2529.9961341440144</v>
      </c>
      <c r="EM25" s="26">
        <f>(EchelleFPAparam!$S$3/($U25+B$53)*COS((BA25-EchelleFPAparam!$AE21)*EchelleFPAparam!$C$3/EchelleFPAparam!$E$3))*(SIN('Standard Settings'!$F20)+SIN('Standard Settings'!$F20+EchelleFPAparam!$M$3+EchelleFPAparam!$K$3*EchelleFPAparam!$B$6*COS(EchelleFPAparam!$AC$3)-(BA25-1024)*SIN(EchelleFPAparam!$AC$3)*EchelleFPAparam!$C$3/EchelleFPAparam!$E$3))</f>
        <v>4310.2112059959672</v>
      </c>
      <c r="EN25" s="26">
        <f>(EchelleFPAparam!$S$3/($U25+C$53)*COS((BB25-EchelleFPAparam!$AE21)*EchelleFPAparam!$C$3/EchelleFPAparam!$E$3))*(SIN('Standard Settings'!$F20)+SIN('Standard Settings'!$F20+EchelleFPAparam!$M$3+EchelleFPAparam!$K$3*EchelleFPAparam!$B$6*COS(EchelleFPAparam!$AC$3)-(BB25-1024)*SIN(EchelleFPAparam!$AC$3)*EchelleFPAparam!$C$3/EchelleFPAparam!$E$3))</f>
        <v>4002.7116990642048</v>
      </c>
      <c r="EO25" s="26">
        <f>(EchelleFPAparam!$S$3/($U25+D$53)*COS((BC25-EchelleFPAparam!$AE21)*EchelleFPAparam!$C$3/EchelleFPAparam!$E$3))*(SIN('Standard Settings'!$F20)+SIN('Standard Settings'!$F20+EchelleFPAparam!$M$3+EchelleFPAparam!$K$3*EchelleFPAparam!$B$6*COS(EchelleFPAparam!$AC$3)-(BC25-1024)*SIN(EchelleFPAparam!$AC$3)*EchelleFPAparam!$C$3/EchelleFPAparam!$E$3))</f>
        <v>3736.1308286475637</v>
      </c>
      <c r="EP25" s="26">
        <f>(EchelleFPAparam!$S$3/($U25+E$53)*COS((BD25-EchelleFPAparam!$AE21)*EchelleFPAparam!$C$3/EchelleFPAparam!$E$3))*(SIN('Standard Settings'!$F20)+SIN('Standard Settings'!$F20+EchelleFPAparam!$M$3+EchelleFPAparam!$K$3*EchelleFPAparam!$B$6*COS(EchelleFPAparam!$AC$3)-(BD25-1024)*SIN(EchelleFPAparam!$AC$3)*EchelleFPAparam!$C$3/EchelleFPAparam!$E$3))</f>
        <v>3502.7897427583553</v>
      </c>
      <c r="EQ25" s="26">
        <f>(EchelleFPAparam!$S$3/($U25+F$53)*COS((BE25-EchelleFPAparam!$AE21)*EchelleFPAparam!$C$3/EchelleFPAparam!$E$3))*(SIN('Standard Settings'!$F20)+SIN('Standard Settings'!$F20+EchelleFPAparam!$M$3+EchelleFPAparam!$K$3*EchelleFPAparam!$B$6*COS(EchelleFPAparam!$AC$3)-(BE25-1024)*SIN(EchelleFPAparam!$AC$3)*EchelleFPAparam!$C$3/EchelleFPAparam!$E$3))</f>
        <v>3296.8447306301778</v>
      </c>
      <c r="ER25" s="26">
        <f>(EchelleFPAparam!$S$3/($U25+G$53)*COS((BF25-EchelleFPAparam!$AE21)*EchelleFPAparam!$C$3/EchelleFPAparam!$E$3))*(SIN('Standard Settings'!$F20)+SIN('Standard Settings'!$F20+EchelleFPAparam!$M$3+EchelleFPAparam!$K$3*EchelleFPAparam!$B$6*COS(EchelleFPAparam!$AC$3)-(BF25-1024)*SIN(EchelleFPAparam!$AC$3)*EchelleFPAparam!$C$3/EchelleFPAparam!$E$3))</f>
        <v>3113.7442003849551</v>
      </c>
      <c r="ES25" s="26">
        <f>(EchelleFPAparam!$S$3/($U25+H$53)*COS((BG25-EchelleFPAparam!$AE21)*EchelleFPAparam!$C$3/EchelleFPAparam!$E$3))*(SIN('Standard Settings'!$F20)+SIN('Standard Settings'!$F20+EchelleFPAparam!$M$3+EchelleFPAparam!$K$3*EchelleFPAparam!$B$6*COS(EchelleFPAparam!$AC$3)-(BG25-1024)*SIN(EchelleFPAparam!$AC$3)*EchelleFPAparam!$C$3/EchelleFPAparam!$E$3))</f>
        <v>2949.8908112187064</v>
      </c>
      <c r="ET25" s="26">
        <f>(EchelleFPAparam!$S$3/($U25+I$53)*COS((BH25-EchelleFPAparam!$AE21)*EchelleFPAparam!$C$3/EchelleFPAparam!$E$3))*(SIN('Standard Settings'!$F20)+SIN('Standard Settings'!$F20+EchelleFPAparam!$M$3+EchelleFPAparam!$K$3*EchelleFPAparam!$B$6*COS(EchelleFPAparam!$AC$3)-(BH25-1024)*SIN(EchelleFPAparam!$AC$3)*EchelleFPAparam!$C$3/EchelleFPAparam!$E$3))</f>
        <v>2801.476119131119</v>
      </c>
      <c r="EU25" s="26">
        <f>(EchelleFPAparam!$S$3/($U25+J$53)*COS((BI25-EchelleFPAparam!$AE21)*EchelleFPAparam!$C$3/EchelleFPAparam!$E$3))*(SIN('Standard Settings'!$F20)+SIN('Standard Settings'!$F20+EchelleFPAparam!$M$3+EchelleFPAparam!$K$3*EchelleFPAparam!$B$6*COS(EchelleFPAparam!$AC$3)-(BI25-1024)*SIN(EchelleFPAparam!$AC$3)*EchelleFPAparam!$C$3/EchelleFPAparam!$E$3))</f>
        <v>2668.0724944105891</v>
      </c>
      <c r="EV25" s="26">
        <f>(EchelleFPAparam!$S$3/($U25+K$53)*COS((BJ25-EchelleFPAparam!$AE21)*EchelleFPAparam!$C$3/EchelleFPAparam!$E$3))*(SIN('Standard Settings'!$F20)+SIN('Standard Settings'!$F20+EchelleFPAparam!$M$3+EchelleFPAparam!$K$3*EchelleFPAparam!$B$6*COS(EchelleFPAparam!$AC$3)-(BJ25-1024)*SIN(EchelleFPAparam!$AC$3)*EchelleFPAparam!$C$3/EchelleFPAparam!$E$3))</f>
        <v>2546.7964719373808</v>
      </c>
      <c r="EW25" s="60">
        <f t="shared" si="40"/>
        <v>2740.6029898099418</v>
      </c>
      <c r="EX25" s="60">
        <f t="shared" si="41"/>
        <v>4002.7116990642048</v>
      </c>
      <c r="EY25" s="90">
        <v>0.39</v>
      </c>
      <c r="EZ25" s="90">
        <v>0.36</v>
      </c>
      <c r="FA25" s="50">
        <v>10000</v>
      </c>
      <c r="FB25" s="95">
        <v>1000</v>
      </c>
      <c r="FC25" s="95">
        <v>1000</v>
      </c>
      <c r="FD25" s="50">
        <v>5250</v>
      </c>
      <c r="FE25" s="50">
        <v>2000</v>
      </c>
      <c r="FF25" s="50">
        <v>5000</v>
      </c>
      <c r="FG25" s="95">
        <v>1000</v>
      </c>
      <c r="FH25" s="95">
        <f t="shared" si="27"/>
        <v>250</v>
      </c>
      <c r="FI25" s="95">
        <f t="shared" si="28"/>
        <v>250</v>
      </c>
      <c r="FJ25" s="50">
        <f t="shared" si="29"/>
        <v>1312.5</v>
      </c>
      <c r="FK25" s="50">
        <f t="shared" si="30"/>
        <v>500</v>
      </c>
      <c r="FL25" s="50">
        <f t="shared" si="31"/>
        <v>1250</v>
      </c>
      <c r="FM25" s="95">
        <f t="shared" si="32"/>
        <v>250</v>
      </c>
      <c r="FN25" s="50">
        <v>500</v>
      </c>
      <c r="FO25" s="91">
        <f>1/(F25*EchelleFPAparam!$Q$3)</f>
        <v>-3418.1497846601651</v>
      </c>
      <c r="FP25" s="91">
        <f t="shared" si="22"/>
        <v>-38.021374161891302</v>
      </c>
      <c r="FQ25" s="50">
        <v>-999999</v>
      </c>
      <c r="FR25" s="50">
        <v>-999999</v>
      </c>
      <c r="FS25" s="90">
        <v>1</v>
      </c>
      <c r="FT25" s="90">
        <v>709.42899999999997</v>
      </c>
      <c r="FU25" s="90">
        <v>1354.7380000000001</v>
      </c>
      <c r="FV25" s="50">
        <v>-999999</v>
      </c>
      <c r="FW25" s="50">
        <v>-999999</v>
      </c>
      <c r="FX25" s="50">
        <v>-999999</v>
      </c>
      <c r="FY25" s="90">
        <v>2</v>
      </c>
      <c r="FZ25" s="90">
        <v>498.55500000000001</v>
      </c>
      <c r="GA25" s="90">
        <v>1825.9169999999999</v>
      </c>
      <c r="GB25" s="50">
        <v>-999999</v>
      </c>
      <c r="GC25" s="50">
        <v>-999999</v>
      </c>
      <c r="GD25" s="50">
        <v>-999999</v>
      </c>
      <c r="GE25" s="90">
        <v>2</v>
      </c>
      <c r="GF25" s="90">
        <v>1386.4359999999999</v>
      </c>
      <c r="GG25" s="90">
        <v>798.90200000000004</v>
      </c>
      <c r="GH25" s="50">
        <v>-999999</v>
      </c>
      <c r="GI25" s="50">
        <v>-999999</v>
      </c>
      <c r="GJ25" s="50">
        <v>-999999</v>
      </c>
      <c r="GK25" s="90">
        <v>2</v>
      </c>
      <c r="GL25" s="90">
        <v>1976.329</v>
      </c>
      <c r="GM25" s="90">
        <v>1841.78</v>
      </c>
      <c r="GN25" s="50">
        <v>-999999</v>
      </c>
      <c r="GO25" s="50">
        <v>-999999</v>
      </c>
      <c r="GP25" s="50">
        <v>-999999</v>
      </c>
      <c r="GQ25" s="90">
        <v>3</v>
      </c>
      <c r="GR25" s="90">
        <v>593.83299999999997</v>
      </c>
      <c r="GS25" s="90">
        <v>812.64400000000001</v>
      </c>
      <c r="GT25" s="50">
        <v>-999999</v>
      </c>
      <c r="GU25" s="50">
        <v>-999999</v>
      </c>
      <c r="GV25" s="50">
        <v>-999999</v>
      </c>
      <c r="GW25" s="90">
        <v>3</v>
      </c>
      <c r="GX25" s="90">
        <v>652.83100000000002</v>
      </c>
      <c r="GY25" s="90">
        <v>1638.6089999999999</v>
      </c>
      <c r="GZ25" s="50">
        <v>-999999</v>
      </c>
      <c r="HA25" s="50">
        <v>-999999</v>
      </c>
      <c r="HB25" s="50">
        <v>-999999</v>
      </c>
      <c r="HC25" s="90">
        <v>3</v>
      </c>
      <c r="HD25" s="90">
        <v>1217.2429999999999</v>
      </c>
      <c r="HE25" s="90">
        <v>818.02700000000004</v>
      </c>
      <c r="HF25" s="50">
        <v>-999999</v>
      </c>
      <c r="HG25" s="50">
        <v>-999999</v>
      </c>
      <c r="HH25" s="50">
        <v>-999999</v>
      </c>
      <c r="HI25" s="50">
        <v>-999999</v>
      </c>
      <c r="HJ25" s="50">
        <v>-999999</v>
      </c>
      <c r="HK25" s="50">
        <v>-999999</v>
      </c>
      <c r="HL25" s="50">
        <v>-999999</v>
      </c>
      <c r="HM25" s="50">
        <v>-999999</v>
      </c>
      <c r="HN25" s="50">
        <v>-999999</v>
      </c>
      <c r="HO25" s="50">
        <v>-999999</v>
      </c>
      <c r="HP25" s="50">
        <v>-999999</v>
      </c>
      <c r="HQ25" s="50">
        <v>-999999</v>
      </c>
      <c r="HR25" s="50">
        <v>-999999</v>
      </c>
      <c r="HS25" s="50">
        <v>-999999</v>
      </c>
      <c r="HT25" s="50">
        <v>-999999</v>
      </c>
      <c r="HU25" s="50">
        <v>-999999</v>
      </c>
      <c r="HV25" s="50">
        <v>-999999</v>
      </c>
      <c r="HW25" s="50">
        <v>-999999</v>
      </c>
      <c r="HX25" s="50">
        <v>-999999</v>
      </c>
      <c r="HY25" s="50"/>
      <c r="HZ25" s="50"/>
      <c r="IA25" s="50"/>
      <c r="IB25" s="50"/>
      <c r="IC25" s="50"/>
      <c r="ID25" s="50"/>
      <c r="IE25" s="50"/>
      <c r="IF25" s="50"/>
      <c r="IG25" s="50"/>
      <c r="IH25" s="50"/>
      <c r="II25" s="50"/>
      <c r="IJ25" s="50"/>
      <c r="IK25" s="50"/>
      <c r="IL25" s="50"/>
      <c r="IM25" s="50"/>
      <c r="IN25" s="50"/>
      <c r="IO25" s="50"/>
      <c r="IP25" s="50"/>
      <c r="IQ25" s="50"/>
      <c r="IR25" s="50"/>
      <c r="IS25" s="50"/>
      <c r="IT25" s="50"/>
      <c r="IU25" s="50"/>
      <c r="IV25" s="50"/>
      <c r="IW25" s="50"/>
      <c r="IX25" s="50"/>
      <c r="IY25" s="50"/>
      <c r="IZ25" s="50"/>
      <c r="JA25" s="50"/>
      <c r="JB25" s="50"/>
      <c r="JC25" s="50"/>
      <c r="JD25" s="50"/>
      <c r="JE25" s="50"/>
      <c r="JF25" s="50"/>
      <c r="JG25" s="50"/>
      <c r="JH25" s="50"/>
      <c r="JI25" s="50"/>
      <c r="JJ25" s="50"/>
      <c r="JK25" s="50"/>
      <c r="JL25" s="50"/>
      <c r="JM25" s="50"/>
      <c r="JN25" s="50"/>
      <c r="JO25" s="50"/>
      <c r="JP25" s="50"/>
      <c r="JQ25" s="50"/>
      <c r="JR25" s="50"/>
      <c r="JS25" s="50"/>
      <c r="JT25" s="50"/>
      <c r="JU25" s="50"/>
      <c r="JV25" s="50"/>
      <c r="JW25" s="52">
        <f t="shared" si="23"/>
        <v>2761.2593956598225</v>
      </c>
      <c r="JX25" s="27">
        <f t="shared" si="24"/>
        <v>293268.78237672261</v>
      </c>
      <c r="JY25" s="107">
        <f>JW25*EchelleFPAparam!$Q$3</f>
        <v>-2.6300995743659808E-2</v>
      </c>
      <c r="KA25" s="19"/>
      <c r="KB25" s="19"/>
      <c r="KC25" s="19"/>
      <c r="KD25" s="19"/>
      <c r="KE25" s="19"/>
      <c r="KF25" s="19"/>
      <c r="KG25" s="19"/>
      <c r="KH25" s="19"/>
      <c r="KI25" s="19"/>
      <c r="KJ25" s="19"/>
      <c r="KK25" s="19"/>
      <c r="KL25" s="19"/>
      <c r="KM25" s="19"/>
      <c r="KW25" s="19"/>
      <c r="KX25" s="19"/>
      <c r="KY25" s="19"/>
      <c r="KZ25" s="19"/>
      <c r="LA25" s="19"/>
      <c r="LB25" s="19"/>
      <c r="LC25" s="19"/>
      <c r="LD25" s="19"/>
      <c r="LE25" s="19"/>
      <c r="LF25" s="19"/>
    </row>
    <row r="26" spans="1:318" x14ac:dyDescent="0.2">
      <c r="A26" s="53">
        <f t="shared" si="35"/>
        <v>20</v>
      </c>
      <c r="B26" s="96">
        <f t="shared" si="0"/>
        <v>3244.4243552026169</v>
      </c>
      <c r="C26" s="27" t="str">
        <f>'Standard Settings'!B21</f>
        <v>L/7/7</v>
      </c>
      <c r="D26" s="27">
        <f>'Standard Settings'!H21</f>
        <v>17</v>
      </c>
      <c r="E26" s="19">
        <f t="shared" si="1"/>
        <v>1.1315304657754766E-2</v>
      </c>
      <c r="F26" s="18">
        <f>((EchelleFPAparam!$S$3/('crmcfgWLEN.txt'!$U26+F$53))*(SIN('Standard Settings'!$F21+0.0005)+SIN('Standard Settings'!$F21+0.0005+EchelleFPAparam!$M$3))-(EchelleFPAparam!$S$3/('crmcfgWLEN.txt'!$U26+F$53))*(SIN('Standard Settings'!$F21-0.0005)+SIN('Standard Settings'!$F21-0.0005+EchelleFPAparam!$M$3)))*1000*EchelleFPAparam!$O$3/180</f>
        <v>31.280898500346964</v>
      </c>
      <c r="G26" s="20" t="str">
        <f>'Standard Settings'!C21</f>
        <v>L</v>
      </c>
      <c r="H26" s="46"/>
      <c r="I26" s="59" t="s">
        <v>361</v>
      </c>
      <c r="J26" s="57"/>
      <c r="K26" s="27" t="str">
        <f>'Standard Settings'!$D21</f>
        <v>LM</v>
      </c>
      <c r="L26" s="46"/>
      <c r="M26" s="12">
        <v>2.5</v>
      </c>
      <c r="N26" s="12">
        <v>2.5</v>
      </c>
      <c r="O26" s="47" t="s">
        <v>384</v>
      </c>
      <c r="P26" s="47" t="s">
        <v>384</v>
      </c>
      <c r="Q26" s="27">
        <f>'Standard Settings'!$E21</f>
        <v>62.68665</v>
      </c>
      <c r="R26" s="106">
        <f>'Standard Settings'!$J21</f>
        <v>810000</v>
      </c>
      <c r="S26" s="21">
        <f>'Standard Settings'!$G21</f>
        <v>14</v>
      </c>
      <c r="T26" s="21">
        <f>'Standard Settings'!$I21</f>
        <v>20</v>
      </c>
      <c r="U26" s="22">
        <f t="shared" si="25"/>
        <v>13</v>
      </c>
      <c r="V26" s="22">
        <f t="shared" si="26"/>
        <v>22</v>
      </c>
      <c r="W26" s="23">
        <f>IF(AND($U26-$S26+B$53&gt;=0,$U26-$T26+B$53&lt;=0),(EchelleFPAparam!$S$3/('crmcfgWLEN.txt'!$U26+B$53))*(SIN('Standard Settings'!$F21)+SIN('Standard Settings'!$F21+EchelleFPAparam!$M$3)),-1)</f>
        <v>-1</v>
      </c>
      <c r="X26" s="23">
        <f>IF(AND($U26-$S26+C$53&gt;=0,$U26-$T26+C$53&lt;=0),(EchelleFPAparam!$S$3/('crmcfgWLEN.txt'!$U26+C$53))*(SIN('Standard Settings'!$F21)+SIN('Standard Settings'!$F21+EchelleFPAparam!$M$3)),-1)</f>
        <v>3939.6581456031772</v>
      </c>
      <c r="Y26" s="23">
        <f>IF(AND($U26-$S26+D$53&gt;=0,$U26-$T26+D$53&lt;=0),(EchelleFPAparam!$S$3/('crmcfgWLEN.txt'!$U26+D$53))*(SIN('Standard Settings'!$F21)+SIN('Standard Settings'!$F21+EchelleFPAparam!$M$3)),-1)</f>
        <v>3677.0142692296317</v>
      </c>
      <c r="Z26" s="23">
        <f>IF(AND($U26-$S26+E$53&gt;=0,$U26-$T26+E$53&lt;=0),(EchelleFPAparam!$S$3/('crmcfgWLEN.txt'!$U26+E$53))*(SIN('Standard Settings'!$F21)+SIN('Standard Settings'!$F21+EchelleFPAparam!$M$3)),-1)</f>
        <v>3447.2008774027804</v>
      </c>
      <c r="AA26" s="23">
        <f>IF(AND($U26-$S26+F$53&gt;=0,$U26-$T26+F$53&lt;=0),(EchelleFPAparam!$S$3/('crmcfgWLEN.txt'!$U26+F$53))*(SIN('Standard Settings'!$F21)+SIN('Standard Settings'!$F21+EchelleFPAparam!$M$3)),-1)</f>
        <v>3244.4243552026169</v>
      </c>
      <c r="AB26" s="23">
        <f>IF(AND($U26-$S26+G$53&gt;=0,$U26-$T26+G$53&lt;=0),(EchelleFPAparam!$S$3/('crmcfgWLEN.txt'!$U26+G$53))*(SIN('Standard Settings'!$F21)+SIN('Standard Settings'!$F21+EchelleFPAparam!$M$3)),-1)</f>
        <v>3064.1785576913603</v>
      </c>
      <c r="AC26" s="23">
        <f>IF(AND($U26-$S26+H$53&gt;=0,$U26-$T26+H$53&lt;=0),(EchelleFPAparam!$S$3/('crmcfgWLEN.txt'!$U26+H$53))*(SIN('Standard Settings'!$F21)+SIN('Standard Settings'!$F21+EchelleFPAparam!$M$3)),-1)</f>
        <v>2902.9060020233937</v>
      </c>
      <c r="AD26" s="23">
        <f>IF(AND($U26-$S26+I$53&gt;=0,$U26-$T26+I$53&lt;=0),(EchelleFPAparam!$S$3/('crmcfgWLEN.txt'!$U26+I$53))*(SIN('Standard Settings'!$F21)+SIN('Standard Settings'!$F21+EchelleFPAparam!$M$3)),-1)</f>
        <v>2757.7607019222241</v>
      </c>
      <c r="AE26" s="23">
        <f>IF(AND($U26-$S26+J$53&gt;=0,$U26-$T26+J$53&lt;=0),(EchelleFPAparam!$S$3/('crmcfgWLEN.txt'!$U26+J$53))*(SIN('Standard Settings'!$F21)+SIN('Standard Settings'!$F21+EchelleFPAparam!$M$3)),-1)</f>
        <v>-1</v>
      </c>
      <c r="AF26" s="23">
        <f>IF(AND($U26-$S26+K$53&gt;=0,$U26-$T26+K$53&lt;=0),(EchelleFPAparam!$S$3/('crmcfgWLEN.txt'!$U26+K$53))*(SIN('Standard Settings'!$F21)+SIN('Standard Settings'!$F21+EchelleFPAparam!$M$3)),-1)</f>
        <v>-1</v>
      </c>
      <c r="AG26" s="157">
        <v>100.914282385875</v>
      </c>
      <c r="AH26" s="157">
        <v>469.54234812588498</v>
      </c>
      <c r="AI26" s="157">
        <v>816.94331139487701</v>
      </c>
      <c r="AJ26" s="157">
        <v>1120.4821127897501</v>
      </c>
      <c r="AK26" s="157">
        <v>1388.1945441318301</v>
      </c>
      <c r="AL26" s="157">
        <v>1626.4992135656</v>
      </c>
      <c r="AM26" s="157">
        <v>1860.28261441625</v>
      </c>
      <c r="AN26" s="159">
        <v>-100.1</v>
      </c>
      <c r="AO26" s="159">
        <v>-100.1</v>
      </c>
      <c r="AP26" s="159">
        <v>-100.1</v>
      </c>
      <c r="AQ26" s="157">
        <v>107.622523693453</v>
      </c>
      <c r="AR26" s="157">
        <v>482.69263515472397</v>
      </c>
      <c r="AS26" s="157">
        <v>832.69655850177503</v>
      </c>
      <c r="AT26" s="157">
        <v>1138.4862348987499</v>
      </c>
      <c r="AU26" s="157">
        <v>1408.1316551141699</v>
      </c>
      <c r="AV26" s="157">
        <v>1647.8522291146301</v>
      </c>
      <c r="AW26" s="157">
        <v>1869.5970901313799</v>
      </c>
      <c r="AX26" s="160">
        <v>-100.1</v>
      </c>
      <c r="AY26" s="160">
        <v>-100.1</v>
      </c>
      <c r="AZ26" s="160">
        <v>-100.1</v>
      </c>
      <c r="BA26" s="157">
        <v>113.261985616869</v>
      </c>
      <c r="BB26" s="157">
        <v>495.35967829354701</v>
      </c>
      <c r="BC26" s="157">
        <v>848.29164882486305</v>
      </c>
      <c r="BD26" s="157">
        <v>1156.5536446526701</v>
      </c>
      <c r="BE26" s="157">
        <v>1428.40133429772</v>
      </c>
      <c r="BF26" s="157">
        <v>1670.0659684991499</v>
      </c>
      <c r="BG26" s="157">
        <v>1888.8389619547499</v>
      </c>
      <c r="BH26" s="161">
        <v>-100.1</v>
      </c>
      <c r="BI26" s="161">
        <v>-100.1</v>
      </c>
      <c r="BJ26" s="161">
        <v>-100.1</v>
      </c>
      <c r="BK26" s="24">
        <f>EchelleFPAparam!$S$3/('crmcfgWLEN.txt'!$U26+B$53)*(SIN(EchelleFPAparam!$T$3-EchelleFPAparam!$M$3/2)+SIN('Standard Settings'!$F21+EchelleFPAparam!$M$3))</f>
        <v>4292.3142056197748</v>
      </c>
      <c r="BL26" s="24">
        <f>EchelleFPAparam!$S$3/('crmcfgWLEN.txt'!$U26+C$53)*(SIN(EchelleFPAparam!$T$3-EchelleFPAparam!$M$3/2)+SIN('Standard Settings'!$F21+EchelleFPAparam!$M$3))</f>
        <v>3985.7203337897909</v>
      </c>
      <c r="BM26" s="24">
        <f>EchelleFPAparam!$S$3/('crmcfgWLEN.txt'!$U26+D$53)*(SIN(EchelleFPAparam!$T$3-EchelleFPAparam!$M$3/2)+SIN('Standard Settings'!$F21+EchelleFPAparam!$M$3))</f>
        <v>3720.0056448704709</v>
      </c>
      <c r="BN26" s="24">
        <f>EchelleFPAparam!$S$3/('crmcfgWLEN.txt'!$U26+E$53)*(SIN(EchelleFPAparam!$T$3-EchelleFPAparam!$M$3/2)+SIN('Standard Settings'!$F21+EchelleFPAparam!$M$3))</f>
        <v>3487.5052920660669</v>
      </c>
      <c r="BO26" s="24">
        <f>EchelleFPAparam!$S$3/('crmcfgWLEN.txt'!$U26+F$53)*(SIN(EchelleFPAparam!$T$3-EchelleFPAparam!$M$3/2)+SIN('Standard Settings'!$F21+EchelleFPAparam!$M$3))</f>
        <v>3282.3579219445337</v>
      </c>
      <c r="BP26" s="24">
        <f>EchelleFPAparam!$S$3/('crmcfgWLEN.txt'!$U26+G$53)*(SIN(EchelleFPAparam!$T$3-EchelleFPAparam!$M$3/2)+SIN('Standard Settings'!$F21+EchelleFPAparam!$M$3))</f>
        <v>3100.004704058726</v>
      </c>
      <c r="BQ26" s="24">
        <f>EchelleFPAparam!$S$3/('crmcfgWLEN.txt'!$U26+H$53)*(SIN(EchelleFPAparam!$T$3-EchelleFPAparam!$M$3/2)+SIN('Standard Settings'!$F21+EchelleFPAparam!$M$3))</f>
        <v>2936.846561739846</v>
      </c>
      <c r="BR26" s="24">
        <f>EchelleFPAparam!$S$3/('crmcfgWLEN.txt'!$U26+I$53)*(SIN(EchelleFPAparam!$T$3-EchelleFPAparam!$M$3/2)+SIN('Standard Settings'!$F21+EchelleFPAparam!$M$3))</f>
        <v>2790.0042336528536</v>
      </c>
      <c r="BS26" s="24">
        <f>EchelleFPAparam!$S$3/('crmcfgWLEN.txt'!$U26+J$53)*(SIN(EchelleFPAparam!$T$3-EchelleFPAparam!$M$3/2)+SIN('Standard Settings'!$F21+EchelleFPAparam!$M$3))</f>
        <v>2657.1468891931941</v>
      </c>
      <c r="BT26" s="24">
        <f>EchelleFPAparam!$S$3/('crmcfgWLEN.txt'!$U26+K$53)*(SIN(EchelleFPAparam!$T$3-EchelleFPAparam!$M$3/2)+SIN('Standard Settings'!$F21+EchelleFPAparam!$M$3))</f>
        <v>2536.3674851389578</v>
      </c>
      <c r="BU26" s="25">
        <f t="shared" si="33"/>
        <v>4169.6766568877811</v>
      </c>
      <c r="BV26" s="25">
        <f t="shared" si="2"/>
        <v>3877.9981626062831</v>
      </c>
      <c r="BW26" s="25">
        <f t="shared" si="3"/>
        <v>3624.6208847455869</v>
      </c>
      <c r="BX26" s="25">
        <f t="shared" si="4"/>
        <v>3402.4441873815285</v>
      </c>
      <c r="BY26" s="25">
        <f t="shared" si="5"/>
        <v>3206.0240167830329</v>
      </c>
      <c r="BZ26" s="25">
        <f t="shared" si="6"/>
        <v>3031.1157106351989</v>
      </c>
      <c r="CA26" s="25">
        <f t="shared" si="7"/>
        <v>2874.3604646815515</v>
      </c>
      <c r="CB26" s="25">
        <f t="shared" si="8"/>
        <v>2733.0653717415707</v>
      </c>
      <c r="CC26" s="25">
        <f t="shared" si="9"/>
        <v>2605.0459697972487</v>
      </c>
      <c r="CD26" s="25">
        <f t="shared" si="10"/>
        <v>2488.5114948533169</v>
      </c>
      <c r="CE26" s="25">
        <f t="shared" si="34"/>
        <v>4422.3843330627979</v>
      </c>
      <c r="CF26" s="25">
        <f t="shared" si="11"/>
        <v>4099.5980576123557</v>
      </c>
      <c r="CG26" s="25">
        <f t="shared" si="12"/>
        <v>3820.5463379750781</v>
      </c>
      <c r="CH26" s="25">
        <f t="shared" si="13"/>
        <v>3576.9285046831451</v>
      </c>
      <c r="CI26" s="25">
        <f t="shared" si="14"/>
        <v>3362.415432235864</v>
      </c>
      <c r="CJ26" s="25">
        <f t="shared" si="15"/>
        <v>3172.0978367112548</v>
      </c>
      <c r="CK26" s="25">
        <f t="shared" si="16"/>
        <v>3002.109818667398</v>
      </c>
      <c r="CL26" s="25">
        <f t="shared" si="17"/>
        <v>2849.3660258582331</v>
      </c>
      <c r="CM26" s="25">
        <f t="shared" si="18"/>
        <v>2711.3743767277492</v>
      </c>
      <c r="CN26" s="25">
        <f t="shared" si="19"/>
        <v>2586.100180925996</v>
      </c>
      <c r="CO26" s="26">
        <f>(EchelleFPAparam!$S$3/($U26+B$53)*COS((AG26-EchelleFPAparam!$AE22)*EchelleFPAparam!$C$3/EchelleFPAparam!$E$3))*(SIN('Standard Settings'!$F21)+SIN('Standard Settings'!$F21+EchelleFPAparam!$M$3+(EchelleFPAparam!$F$3*EchelleFPAparam!$B$6)*COS(EchelleFPAparam!$AC$3)-(AG26-1024)*SIN(EchelleFPAparam!$AC$3)*EchelleFPAparam!$C$3/EchelleFPAparam!$E$3))</f>
        <v>4192.6041289199975</v>
      </c>
      <c r="CP26" s="26">
        <f>(EchelleFPAparam!$S$3/($U26+C$53)*COS((AH26-EchelleFPAparam!$AE22)*EchelleFPAparam!$C$3/EchelleFPAparam!$E$3))*(SIN('Standard Settings'!$F21)+SIN('Standard Settings'!$F21+EchelleFPAparam!$M$3+(EchelleFPAparam!$F$3*EchelleFPAparam!$B$6)*COS(EchelleFPAparam!$AC$3)-(AH26-1024)*SIN(EchelleFPAparam!$AC$3)*EchelleFPAparam!$C$3/EchelleFPAparam!$E$3))</f>
        <v>3893.5145908177983</v>
      </c>
      <c r="CQ26" s="26">
        <f>(EchelleFPAparam!$S$3/($U26+D$53)*COS((AI26-EchelleFPAparam!$AE22)*EchelleFPAparam!$C$3/EchelleFPAparam!$E$3))*(SIN('Standard Settings'!$F21)+SIN('Standard Settings'!$F21+EchelleFPAparam!$M$3+(EchelleFPAparam!$F$3*EchelleFPAparam!$B$6)*COS(EchelleFPAparam!$AC$3)-(AI26-1024)*SIN(EchelleFPAparam!$AC$3)*EchelleFPAparam!$C$3/EchelleFPAparam!$E$3))</f>
        <v>3634.2190570384778</v>
      </c>
      <c r="CR26" s="26">
        <f>(EchelleFPAparam!$S$3/($U26+E$53)*COS((AJ26-EchelleFPAparam!$AE22)*EchelleFPAparam!$C$3/EchelleFPAparam!$E$3))*(SIN('Standard Settings'!$F21)+SIN('Standard Settings'!$F21+EchelleFPAparam!$M$3+(EchelleFPAparam!$F$3*EchelleFPAparam!$B$6)*COS(EchelleFPAparam!$AC$3)-(AJ26-1024)*SIN(EchelleFPAparam!$AC$3)*EchelleFPAparam!$C$3/EchelleFPAparam!$E$3))</f>
        <v>3407.2555465009923</v>
      </c>
      <c r="CS26" s="26">
        <f>(EchelleFPAparam!$S$3/($U26+F$53)*COS((AK26-EchelleFPAparam!$AE22)*EchelleFPAparam!$C$3/EchelleFPAparam!$E$3))*(SIN('Standard Settings'!$F21)+SIN('Standard Settings'!$F21+EchelleFPAparam!$M$3+(EchelleFPAparam!$F$3*EchelleFPAparam!$B$6)*COS(EchelleFPAparam!$AC$3)-(AK26-1024)*SIN(EchelleFPAparam!$AC$3)*EchelleFPAparam!$C$3/EchelleFPAparam!$E$3))</f>
        <v>3206.9394061510015</v>
      </c>
      <c r="CT26" s="26">
        <f>(EchelleFPAparam!$S$3/($U26+G$53)*COS((AL26-EchelleFPAparam!$AE22)*EchelleFPAparam!$C$3/EchelleFPAparam!$E$3))*(SIN('Standard Settings'!$F21)+SIN('Standard Settings'!$F21+EchelleFPAparam!$M$3+(EchelleFPAparam!$F$3*EchelleFPAparam!$B$6)*COS(EchelleFPAparam!$AC$3)-(AL26-1024)*SIN(EchelleFPAparam!$AC$3)*EchelleFPAparam!$C$3/EchelleFPAparam!$E$3))</f>
        <v>3028.8432474580582</v>
      </c>
      <c r="CU26" s="26">
        <f>(EchelleFPAparam!$S$3/($U26+H$53)*COS((AM26-EchelleFPAparam!$AE22)*EchelleFPAparam!$C$3/EchelleFPAparam!$E$3))*(SIN('Standard Settings'!$F21)+SIN('Standard Settings'!$F21+EchelleFPAparam!$M$3+(EchelleFPAparam!$F$3*EchelleFPAparam!$B$6)*COS(EchelleFPAparam!$AC$3)-(AM26-1024)*SIN(EchelleFPAparam!$AC$3)*EchelleFPAparam!$C$3/EchelleFPAparam!$E$3))</f>
        <v>2869.4703983679506</v>
      </c>
      <c r="CV26" s="26">
        <f>(EchelleFPAparam!$S$3/($U26+I$53)*COS((AN26-EchelleFPAparam!$AE22)*EchelleFPAparam!$C$3/EchelleFPAparam!$E$3))*(SIN('Standard Settings'!$F21)+SIN('Standard Settings'!$F21+EchelleFPAparam!$M$3+(EchelleFPAparam!$F$3*EchelleFPAparam!$B$6)*COS(EchelleFPAparam!$AC$3)-(AN26-1024)*SIN(EchelleFPAparam!$AC$3)*EchelleFPAparam!$C$3/EchelleFPAparam!$E$3))</f>
        <v>2725.0246852475598</v>
      </c>
      <c r="CW26" s="26">
        <f>(EchelleFPAparam!$S$3/($U26+J$53)*COS((AO26-EchelleFPAparam!$AE22)*EchelleFPAparam!$C$3/EchelleFPAparam!$E$3))*(SIN('Standard Settings'!$F21)+SIN('Standard Settings'!$F21+EchelleFPAparam!$M$3+(EchelleFPAparam!$F$3*EchelleFPAparam!$B$6)*COS(EchelleFPAparam!$AC$3)-(AO26-1024)*SIN(EchelleFPAparam!$AC$3)*EchelleFPAparam!$C$3/EchelleFPAparam!$E$3))</f>
        <v>2595.2616049976759</v>
      </c>
      <c r="CX26" s="26">
        <f>(EchelleFPAparam!$S$3/($U26+K$53)*COS((AP26-EchelleFPAparam!$AE22)*EchelleFPAparam!$C$3/EchelleFPAparam!$E$3))*(SIN('Standard Settings'!$F21)+SIN('Standard Settings'!$F21+EchelleFPAparam!$M$3+(EchelleFPAparam!$F$3*EchelleFPAparam!$B$6)*COS(EchelleFPAparam!$AC$3)-(AP26-1024)*SIN(EchelleFPAparam!$AC$3)*EchelleFPAparam!$C$3/EchelleFPAparam!$E$3))</f>
        <v>2477.2951684068726</v>
      </c>
      <c r="CY26" s="26">
        <f>(EchelleFPAparam!$S$3/($U26+B$53)*COS((AG26-EchelleFPAparam!$AE22)*EchelleFPAparam!$C$3/EchelleFPAparam!$E$3))*(SIN('Standard Settings'!$F21)+SIN('Standard Settings'!$F21+EchelleFPAparam!$M$3+EchelleFPAparam!$G$3*EchelleFPAparam!$B$6*COS(EchelleFPAparam!$AC$3)-(AG26-1024)*SIN(EchelleFPAparam!$AC$3)*EchelleFPAparam!$C$3/EchelleFPAparam!$E$3))</f>
        <v>4224.2666983360878</v>
      </c>
      <c r="CZ26" s="26">
        <f>(EchelleFPAparam!$S$3/($U26+C$53)*COS((AH26-EchelleFPAparam!$AE22)*EchelleFPAparam!$C$3/EchelleFPAparam!$E$3))*(SIN('Standard Settings'!$F21)+SIN('Standard Settings'!$F21+EchelleFPAparam!$M$3+EchelleFPAparam!$G$3*EchelleFPAparam!$B$6*COS(EchelleFPAparam!$AC$3)-(AH26-1024)*SIN(EchelleFPAparam!$AC$3)*EchelleFPAparam!$C$3/EchelleFPAparam!$E$3))</f>
        <v>3922.9125409811604</v>
      </c>
      <c r="DA26" s="26">
        <f>(EchelleFPAparam!$S$3/($U26+D$53)*COS((AI26-EchelleFPAparam!$AE22)*EchelleFPAparam!$C$3/EchelleFPAparam!$E$3))*(SIN('Standard Settings'!$F21)+SIN('Standard Settings'!$F21+EchelleFPAparam!$M$3+EchelleFPAparam!$G$3*EchelleFPAparam!$B$6*COS(EchelleFPAparam!$AC$3)-(AI26-1024)*SIN(EchelleFPAparam!$AC$3)*EchelleFPAparam!$C$3/EchelleFPAparam!$E$3))</f>
        <v>3661.6540144082533</v>
      </c>
      <c r="DB26" s="26">
        <f>(EchelleFPAparam!$S$3/($U26+E$53)*COS((AJ26-EchelleFPAparam!$AE22)*EchelleFPAparam!$C$3/EchelleFPAparam!$E$3))*(SIN('Standard Settings'!$F21)+SIN('Standard Settings'!$F21+EchelleFPAparam!$M$3+EchelleFPAparam!$G$3*EchelleFPAparam!$B$6*COS(EchelleFPAparam!$AC$3)-(AJ26-1024)*SIN(EchelleFPAparam!$AC$3)*EchelleFPAparam!$C$3/EchelleFPAparam!$E$3))</f>
        <v>3432.9728950363092</v>
      </c>
      <c r="DC26" s="26">
        <f>(EchelleFPAparam!$S$3/($U26+F$53)*COS((AK26-EchelleFPAparam!$AE22)*EchelleFPAparam!$C$3/EchelleFPAparam!$E$3))*(SIN('Standard Settings'!$F21)+SIN('Standard Settings'!$F21+EchelleFPAparam!$M$3+EchelleFPAparam!$G$3*EchelleFPAparam!$B$6*COS(EchelleFPAparam!$AC$3)-(AK26-1024)*SIN(EchelleFPAparam!$AC$3)*EchelleFPAparam!$C$3/EchelleFPAparam!$E$3))</f>
        <v>3231.14127973839</v>
      </c>
      <c r="DD26" s="26">
        <f>(EchelleFPAparam!$S$3/($U26+G$53)*COS((AL26-EchelleFPAparam!$AE22)*EchelleFPAparam!$C$3/EchelleFPAparam!$E$3))*(SIN('Standard Settings'!$F21)+SIN('Standard Settings'!$F21+EchelleFPAparam!$M$3+EchelleFPAparam!$G$3*EchelleFPAparam!$B$6*COS(EchelleFPAparam!$AC$3)-(AL26-1024)*SIN(EchelleFPAparam!$AC$3)*EchelleFPAparam!$C$3/EchelleFPAparam!$E$3))</f>
        <v>3051.6981157967475</v>
      </c>
      <c r="DE26" s="26">
        <f>(EchelleFPAparam!$S$3/($U26+H$53)*COS((AM26-EchelleFPAparam!$AE22)*EchelleFPAparam!$C$3/EchelleFPAparam!$E$3))*(SIN('Standard Settings'!$F21)+SIN('Standard Settings'!$F21+EchelleFPAparam!$M$3+EchelleFPAparam!$G$3*EchelleFPAparam!$B$6*COS(EchelleFPAparam!$AC$3)-(AM26-1024)*SIN(EchelleFPAparam!$AC$3)*EchelleFPAparam!$C$3/EchelleFPAparam!$E$3))</f>
        <v>2891.1199262236232</v>
      </c>
      <c r="DF26" s="26">
        <f>(EchelleFPAparam!$S$3/($U26+I$53)*COS((AN26-EchelleFPAparam!$AE22)*EchelleFPAparam!$C$3/EchelleFPAparam!$E$3))*(SIN('Standard Settings'!$F21)+SIN('Standard Settings'!$F21+EchelleFPAparam!$M$3+EchelleFPAparam!$G$3*EchelleFPAparam!$B$6*COS(EchelleFPAparam!$AC$3)-(AN26-1024)*SIN(EchelleFPAparam!$AC$3)*EchelleFPAparam!$C$3/EchelleFPAparam!$E$3))</f>
        <v>2745.6063359397308</v>
      </c>
      <c r="DG26" s="26">
        <f>(EchelleFPAparam!$S$3/($U26+J$53)*COS((AO26-EchelleFPAparam!$AE22)*EchelleFPAparam!$C$3/EchelleFPAparam!$E$3))*(SIN('Standard Settings'!$F21)+SIN('Standard Settings'!$F21+EchelleFPAparam!$M$3+EchelleFPAparam!$G$3*EchelleFPAparam!$B$6*COS(EchelleFPAparam!$AC$3)-(AO26-1024)*SIN(EchelleFPAparam!$AC$3)*EchelleFPAparam!$C$3/EchelleFPAparam!$E$3))</f>
        <v>2614.8631770854577</v>
      </c>
      <c r="DH26" s="26">
        <f>(EchelleFPAparam!$S$3/($U26+K$53)*COS((AP26-EchelleFPAparam!$AE22)*EchelleFPAparam!$C$3/EchelleFPAparam!$E$3))*(SIN('Standard Settings'!$F21)+SIN('Standard Settings'!$F21+EchelleFPAparam!$M$3+EchelleFPAparam!$G$3*EchelleFPAparam!$B$6*COS(EchelleFPAparam!$AC$3)-(AP26-1024)*SIN(EchelleFPAparam!$AC$3)*EchelleFPAparam!$C$3/EchelleFPAparam!$E$3))</f>
        <v>2496.0057599452102</v>
      </c>
      <c r="DI26" s="26">
        <f>(EchelleFPAparam!$S$3/($U26+B$53)*COS((AQ26-EchelleFPAparam!$AE22)*EchelleFPAparam!$C$3/EchelleFPAparam!$E$3))*(SIN('Standard Settings'!$F21)+SIN('Standard Settings'!$F21+EchelleFPAparam!$M$3+EchelleFPAparam!$H$3*EchelleFPAparam!$B$6*COS(EchelleFPAparam!$AC$3)-(AQ26-1024)*SIN(EchelleFPAparam!$AC$3)*EchelleFPAparam!$C$3/EchelleFPAparam!$E$3))</f>
        <v>4226.4566533148472</v>
      </c>
      <c r="DJ26" s="26">
        <f>(EchelleFPAparam!$S$3/($U26+C$53)*COS((AR26-EchelleFPAparam!$AE22)*EchelleFPAparam!$C$3/EchelleFPAparam!$E$3))*(SIN('Standard Settings'!$F21)+SIN('Standard Settings'!$F21+EchelleFPAparam!$M$3+EchelleFPAparam!$H$3*EchelleFPAparam!$B$6*COS(EchelleFPAparam!$AC$3)-(AR26-1024)*SIN(EchelleFPAparam!$AC$3)*EchelleFPAparam!$C$3/EchelleFPAparam!$E$3))</f>
        <v>3924.9504041858654</v>
      </c>
      <c r="DK26" s="26">
        <f>(EchelleFPAparam!$S$3/($U26+D$53)*COS((AS26-EchelleFPAparam!$AE22)*EchelleFPAparam!$C$3/EchelleFPAparam!$E$3))*(SIN('Standard Settings'!$F21)+SIN('Standard Settings'!$F21+EchelleFPAparam!$M$3+EchelleFPAparam!$H$3*EchelleFPAparam!$B$6*COS(EchelleFPAparam!$AC$3)-(AS26-1024)*SIN(EchelleFPAparam!$AC$3)*EchelleFPAparam!$C$3/EchelleFPAparam!$E$3))</f>
        <v>3663.5551826348483</v>
      </c>
      <c r="DL26" s="26">
        <f>(EchelleFPAparam!$S$3/($U26+E$53)*COS((AT26-EchelleFPAparam!$AE22)*EchelleFPAparam!$C$3/EchelleFPAparam!$E$3))*(SIN('Standard Settings'!$F21)+SIN('Standard Settings'!$F21+EchelleFPAparam!$M$3+EchelleFPAparam!$H$3*EchelleFPAparam!$B$6*COS(EchelleFPAparam!$AC$3)-(AT26-1024)*SIN(EchelleFPAparam!$AC$3)*EchelleFPAparam!$C$3/EchelleFPAparam!$E$3))</f>
        <v>3434.7537943864495</v>
      </c>
      <c r="DM26" s="26">
        <f>(EchelleFPAparam!$S$3/($U26+F$53)*COS((AU26-EchelleFPAparam!$AE22)*EchelleFPAparam!$C$3/EchelleFPAparam!$E$3))*(SIN('Standard Settings'!$F21)+SIN('Standard Settings'!$F21+EchelleFPAparam!$M$3+EchelleFPAparam!$H$3*EchelleFPAparam!$B$6*COS(EchelleFPAparam!$AC$3)-(AU26-1024)*SIN(EchelleFPAparam!$AC$3)*EchelleFPAparam!$C$3/EchelleFPAparam!$E$3))</f>
        <v>3232.8156628763545</v>
      </c>
      <c r="DN26" s="26">
        <f>(EchelleFPAparam!$S$3/($U26+G$53)*COS((AV26-EchelleFPAparam!$AE22)*EchelleFPAparam!$C$3/EchelleFPAparam!$E$3))*(SIN('Standard Settings'!$F21)+SIN('Standard Settings'!$F21+EchelleFPAparam!$M$3+EchelleFPAparam!$H$3*EchelleFPAparam!$B$6*COS(EchelleFPAparam!$AC$3)-(AV26-1024)*SIN(EchelleFPAparam!$AC$3)*EchelleFPAparam!$C$3/EchelleFPAparam!$E$3))</f>
        <v>3053.2775444185172</v>
      </c>
      <c r="DO26" s="26">
        <f>(EchelleFPAparam!$S$3/($U26+H$53)*COS((AW26-EchelleFPAparam!$AE22)*EchelleFPAparam!$C$3/EchelleFPAparam!$E$3))*(SIN('Standard Settings'!$F21)+SIN('Standard Settings'!$F21+EchelleFPAparam!$M$3+EchelleFPAparam!$H$3*EchelleFPAparam!$B$6*COS(EchelleFPAparam!$AC$3)-(AW26-1024)*SIN(EchelleFPAparam!$AC$3)*EchelleFPAparam!$C$3/EchelleFPAparam!$E$3))</f>
        <v>2892.6127367991817</v>
      </c>
      <c r="DP26" s="26">
        <f>(EchelleFPAparam!$S$3/($U26+I$53)*COS((AX26-EchelleFPAparam!$AE22)*EchelleFPAparam!$C$3/EchelleFPAparam!$E$3))*(SIN('Standard Settings'!$F21)+SIN('Standard Settings'!$F21+EchelleFPAparam!$M$3+EchelleFPAparam!$H$3*EchelleFPAparam!$B$6*COS(EchelleFPAparam!$AC$3)-(AX26-1024)*SIN(EchelleFPAparam!$AC$3)*EchelleFPAparam!$C$3/EchelleFPAparam!$E$3))</f>
        <v>2747.024578056813</v>
      </c>
      <c r="DQ26" s="26">
        <f>(EchelleFPAparam!$S$3/($U26+J$53)*COS((AY26-EchelleFPAparam!$AE22)*EchelleFPAparam!$C$3/EchelleFPAparam!$E$3))*(SIN('Standard Settings'!$F21)+SIN('Standard Settings'!$F21+EchelleFPAparam!$M$3+EchelleFPAparam!$H$3*EchelleFPAparam!$B$6*COS(EchelleFPAparam!$AC$3)-(AY26-1024)*SIN(EchelleFPAparam!$AC$3)*EchelleFPAparam!$C$3/EchelleFPAparam!$E$3))</f>
        <v>2616.2138838636311</v>
      </c>
      <c r="DR26" s="26">
        <f>(EchelleFPAparam!$S$3/($U26+K$53)*COS((AZ26-EchelleFPAparam!$AE22)*EchelleFPAparam!$C$3/EchelleFPAparam!$E$3))*(SIN('Standard Settings'!$F21)+SIN('Standard Settings'!$F21+EchelleFPAparam!$M$3+EchelleFPAparam!$H$3*EchelleFPAparam!$B$6*COS(EchelleFPAparam!$AC$3)-(AZ26-1024)*SIN(EchelleFPAparam!$AC$3)*EchelleFPAparam!$C$3/EchelleFPAparam!$E$3))</f>
        <v>2497.2950709607389</v>
      </c>
      <c r="DS26" s="26">
        <f>(EchelleFPAparam!$S$3/($U26+B$53)*COS((AQ26-EchelleFPAparam!$AE22)*EchelleFPAparam!$C$3/EchelleFPAparam!$E$3))*(SIN('Standard Settings'!$F21)+SIN('Standard Settings'!$F21+EchelleFPAparam!$M$3+EchelleFPAparam!$I$3*EchelleFPAparam!$B$6*COS(EchelleFPAparam!$AC$3)-(AQ26-1024)*SIN(EchelleFPAparam!$AC$3)*EchelleFPAparam!$C$3/EchelleFPAparam!$E$3))</f>
        <v>4256.7754618246909</v>
      </c>
      <c r="DT26" s="26">
        <f>(EchelleFPAparam!$S$3/($U26+C$53)*COS((AR26-EchelleFPAparam!$AE22)*EchelleFPAparam!$C$3/EchelleFPAparam!$E$3))*(SIN('Standard Settings'!$F21)+SIN('Standard Settings'!$F21+EchelleFPAparam!$M$3+EchelleFPAparam!$I$3*EchelleFPAparam!$B$6*COS(EchelleFPAparam!$AC$3)-(AR26-1024)*SIN(EchelleFPAparam!$AC$3)*EchelleFPAparam!$C$3/EchelleFPAparam!$E$3))</f>
        <v>3953.1003450075445</v>
      </c>
      <c r="DU26" s="26">
        <f>(EchelleFPAparam!$S$3/($U26+D$53)*COS((AS26-EchelleFPAparam!$AE22)*EchelleFPAparam!$C$3/EchelleFPAparam!$E$3))*(SIN('Standard Settings'!$F21)+SIN('Standard Settings'!$F21+EchelleFPAparam!$M$3+EchelleFPAparam!$I$3*EchelleFPAparam!$B$6*COS(EchelleFPAparam!$AC$3)-(AS26-1024)*SIN(EchelleFPAparam!$AC$3)*EchelleFPAparam!$C$3/EchelleFPAparam!$E$3))</f>
        <v>3689.8251668975399</v>
      </c>
      <c r="DV26" s="26">
        <f>(EchelleFPAparam!$S$3/($U26+E$53)*COS((AT26-EchelleFPAparam!$AE22)*EchelleFPAparam!$C$3/EchelleFPAparam!$E$3))*(SIN('Standard Settings'!$F21)+SIN('Standard Settings'!$F21+EchelleFPAparam!$M$3+EchelleFPAparam!$I$3*EchelleFPAparam!$B$6*COS(EchelleFPAparam!$AC$3)-(AT26-1024)*SIN(EchelleFPAparam!$AC$3)*EchelleFPAparam!$C$3/EchelleFPAparam!$E$3))</f>
        <v>3459.3788563326157</v>
      </c>
      <c r="DW26" s="26">
        <f>(EchelleFPAparam!$S$3/($U26+F$53)*COS((AU26-EchelleFPAparam!$AE22)*EchelleFPAparam!$C$3/EchelleFPAparam!$E$3))*(SIN('Standard Settings'!$F21)+SIN('Standard Settings'!$F21+EchelleFPAparam!$M$3+EchelleFPAparam!$I$3*EchelleFPAparam!$B$6*COS(EchelleFPAparam!$AC$3)-(AU26-1024)*SIN(EchelleFPAparam!$AC$3)*EchelleFPAparam!$C$3/EchelleFPAparam!$E$3))</f>
        <v>3255.9894068154363</v>
      </c>
      <c r="DX26" s="26">
        <f>(EchelleFPAparam!$S$3/($U26+G$53)*COS((AV26-EchelleFPAparam!$AE22)*EchelleFPAparam!$C$3/EchelleFPAparam!$E$3))*(SIN('Standard Settings'!$F21)+SIN('Standard Settings'!$F21+EchelleFPAparam!$M$3+EchelleFPAparam!$I$3*EchelleFPAparam!$B$6*COS(EchelleFPAparam!$AC$3)-(AV26-1024)*SIN(EchelleFPAparam!$AC$3)*EchelleFPAparam!$C$3/EchelleFPAparam!$E$3))</f>
        <v>3075.161330298326</v>
      </c>
      <c r="DY26" s="26">
        <f>(EchelleFPAparam!$S$3/($U26+H$53)*COS((AW26-EchelleFPAparam!$AE22)*EchelleFPAparam!$C$3/EchelleFPAparam!$E$3))*(SIN('Standard Settings'!$F21)+SIN('Standard Settings'!$F21+EchelleFPAparam!$M$3+EchelleFPAparam!$I$3*EchelleFPAparam!$B$6*COS(EchelleFPAparam!$AC$3)-(AW26-1024)*SIN(EchelleFPAparam!$AC$3)*EchelleFPAparam!$C$3/EchelleFPAparam!$E$3))</f>
        <v>2913.342378854165</v>
      </c>
      <c r="DZ26" s="26">
        <f>(EchelleFPAparam!$S$3/($U26+I$53)*COS((AX26-EchelleFPAparam!$AE22)*EchelleFPAparam!$C$3/EchelleFPAparam!$E$3))*(SIN('Standard Settings'!$F21)+SIN('Standard Settings'!$F21+EchelleFPAparam!$M$3+EchelleFPAparam!$I$3*EchelleFPAparam!$B$6*COS(EchelleFPAparam!$AC$3)-(AX26-1024)*SIN(EchelleFPAparam!$AC$3)*EchelleFPAparam!$C$3/EchelleFPAparam!$E$3))</f>
        <v>2766.7328897058369</v>
      </c>
      <c r="EA26" s="26">
        <f>(EchelleFPAparam!$S$3/($U26+J$53)*COS((AY26-EchelleFPAparam!$AE22)*EchelleFPAparam!$C$3/EchelleFPAparam!$E$3))*(SIN('Standard Settings'!$F21)+SIN('Standard Settings'!$F21+EchelleFPAparam!$M$3+EchelleFPAparam!$I$3*EchelleFPAparam!$B$6*COS(EchelleFPAparam!$AC$3)-(AY26-1024)*SIN(EchelleFPAparam!$AC$3)*EchelleFPAparam!$C$3/EchelleFPAparam!$E$3))</f>
        <v>2634.9837044817491</v>
      </c>
      <c r="EB26" s="26">
        <f>(EchelleFPAparam!$S$3/($U26+K$53)*COS((AZ26-EchelleFPAparam!$AE22)*EchelleFPAparam!$C$3/EchelleFPAparam!$E$3))*(SIN('Standard Settings'!$F21)+SIN('Standard Settings'!$F21+EchelleFPAparam!$M$3+EchelleFPAparam!$I$3*EchelleFPAparam!$B$6*COS(EchelleFPAparam!$AC$3)-(AZ26-1024)*SIN(EchelleFPAparam!$AC$3)*EchelleFPAparam!$C$3/EchelleFPAparam!$E$3))</f>
        <v>2515.211717914397</v>
      </c>
      <c r="EC26" s="26">
        <f>(EchelleFPAparam!$S$3/($U26+B$53)*COS((BA26-EchelleFPAparam!$AE22)*EchelleFPAparam!$C$3/EchelleFPAparam!$E$3))*(SIN('Standard Settings'!$F21)+SIN('Standard Settings'!$F21+EchelleFPAparam!$M$3+EchelleFPAparam!$J$3*EchelleFPAparam!$B$6*COS(EchelleFPAparam!$AC$3)-(BA26-1024)*SIN(EchelleFPAparam!$AC$3)*EchelleFPAparam!$C$3/EchelleFPAparam!$E$3))</f>
        <v>4258.9289092996078</v>
      </c>
      <c r="ED26" s="26">
        <f>(EchelleFPAparam!$S$3/($U26+C$53)*COS((BB26-EchelleFPAparam!$AE22)*EchelleFPAparam!$C$3/EchelleFPAparam!$E$3))*(SIN('Standard Settings'!$F21)+SIN('Standard Settings'!$F21+EchelleFPAparam!$M$3+EchelleFPAparam!$J$3*EchelleFPAparam!$B$6*COS(EchelleFPAparam!$AC$3)-(BB26-1024)*SIN(EchelleFPAparam!$AC$3)*EchelleFPAparam!$C$3/EchelleFPAparam!$E$3))</f>
        <v>3955.1048944333183</v>
      </c>
      <c r="EE26" s="26">
        <f>(EchelleFPAparam!$S$3/($U26+D$53)*COS((BC26-EchelleFPAparam!$AE22)*EchelleFPAparam!$C$3/EchelleFPAparam!$E$3))*(SIN('Standard Settings'!$F21)+SIN('Standard Settings'!$F21+EchelleFPAparam!$M$3+EchelleFPAparam!$J$3*EchelleFPAparam!$B$6*COS(EchelleFPAparam!$AC$3)-(BC26-1024)*SIN(EchelleFPAparam!$AC$3)*EchelleFPAparam!$C$3/EchelleFPAparam!$E$3))</f>
        <v>3691.695440739622</v>
      </c>
      <c r="EF26" s="26">
        <f>(EchelleFPAparam!$S$3/($U26+E$53)*COS((BD26-EchelleFPAparam!$AE22)*EchelleFPAparam!$C$3/EchelleFPAparam!$E$3))*(SIN('Standard Settings'!$F21)+SIN('Standard Settings'!$F21+EchelleFPAparam!$M$3+EchelleFPAparam!$J$3*EchelleFPAparam!$B$6*COS(EchelleFPAparam!$AC$3)-(BD26-1024)*SIN(EchelleFPAparam!$AC$3)*EchelleFPAparam!$C$3/EchelleFPAparam!$E$3))</f>
        <v>3461.130823356877</v>
      </c>
      <c r="EG26" s="26">
        <f>(EchelleFPAparam!$S$3/($U26+F$53)*COS((BE26-EchelleFPAparam!$AE22)*EchelleFPAparam!$C$3/EchelleFPAparam!$E$3))*(SIN('Standard Settings'!$F21)+SIN('Standard Settings'!$F21+EchelleFPAparam!$M$3+EchelleFPAparam!$J$3*EchelleFPAparam!$B$6*COS(EchelleFPAparam!$AC$3)-(BE26-1024)*SIN(EchelleFPAparam!$AC$3)*EchelleFPAparam!$C$3/EchelleFPAparam!$E$3))</f>
        <v>3257.6365498706427</v>
      </c>
      <c r="EH26" s="26">
        <f>(EchelleFPAparam!$S$3/($U26+G$53)*COS((BF26-EchelleFPAparam!$AE22)*EchelleFPAparam!$C$3/EchelleFPAparam!$E$3))*(SIN('Standard Settings'!$F21)+SIN('Standard Settings'!$F21+EchelleFPAparam!$M$3+EchelleFPAparam!$J$3*EchelleFPAparam!$B$6*COS(EchelleFPAparam!$AC$3)-(BF26-1024)*SIN(EchelleFPAparam!$AC$3)*EchelleFPAparam!$C$3/EchelleFPAparam!$E$3))</f>
        <v>3076.7150288136122</v>
      </c>
      <c r="EI26" s="26">
        <f>(EchelleFPAparam!$S$3/($U26+H$53)*COS((BG26-EchelleFPAparam!$AE22)*EchelleFPAparam!$C$3/EchelleFPAparam!$E$3))*(SIN('Standard Settings'!$F21)+SIN('Standard Settings'!$F21+EchelleFPAparam!$M$3+EchelleFPAparam!$J$3*EchelleFPAparam!$B$6*COS(EchelleFPAparam!$AC$3)-(BG26-1024)*SIN(EchelleFPAparam!$AC$3)*EchelleFPAparam!$C$3/EchelleFPAparam!$E$3))</f>
        <v>2914.8118357661001</v>
      </c>
      <c r="EJ26" s="26">
        <f>(EchelleFPAparam!$S$3/($U26+I$53)*COS((BH26-EchelleFPAparam!$AE22)*EchelleFPAparam!$C$3/EchelleFPAparam!$E$3))*(SIN('Standard Settings'!$F21)+SIN('Standard Settings'!$F21+EchelleFPAparam!$M$3+EchelleFPAparam!$J$3*EchelleFPAparam!$B$6*COS(EchelleFPAparam!$AC$3)-(BH26-1024)*SIN(EchelleFPAparam!$AC$3)*EchelleFPAparam!$C$3/EchelleFPAparam!$E$3))</f>
        <v>2768.1283031886783</v>
      </c>
      <c r="EK26" s="26">
        <f>(EchelleFPAparam!$S$3/($U26+J$53)*COS((BI26-EchelleFPAparam!$AE22)*EchelleFPAparam!$C$3/EchelleFPAparam!$E$3))*(SIN('Standard Settings'!$F21)+SIN('Standard Settings'!$F21+EchelleFPAparam!$M$3+EchelleFPAparam!$J$3*EchelleFPAparam!$B$6*COS(EchelleFPAparam!$AC$3)-(BI26-1024)*SIN(EchelleFPAparam!$AC$3)*EchelleFPAparam!$C$3/EchelleFPAparam!$E$3))</f>
        <v>2636.3126697035032</v>
      </c>
      <c r="EL26" s="26">
        <f>(EchelleFPAparam!$S$3/($U26+K$53)*COS((BJ26-EchelleFPAparam!$AE22)*EchelleFPAparam!$C$3/EchelleFPAparam!$E$3))*(SIN('Standard Settings'!$F21)+SIN('Standard Settings'!$F21+EchelleFPAparam!$M$3+EchelleFPAparam!$J$3*EchelleFPAparam!$B$6*COS(EchelleFPAparam!$AC$3)-(BJ26-1024)*SIN(EchelleFPAparam!$AC$3)*EchelleFPAparam!$C$3/EchelleFPAparam!$E$3))</f>
        <v>2516.4802756260715</v>
      </c>
      <c r="EM26" s="26">
        <f>(EchelleFPAparam!$S$3/($U26+B$53)*COS((BA26-EchelleFPAparam!$AE22)*EchelleFPAparam!$C$3/EchelleFPAparam!$E$3))*(SIN('Standard Settings'!$F21)+SIN('Standard Settings'!$F21+EchelleFPAparam!$M$3+EchelleFPAparam!$K$3*EchelleFPAparam!$B$6*COS(EchelleFPAparam!$AC$3)-(BA26-1024)*SIN(EchelleFPAparam!$AC$3)*EchelleFPAparam!$C$3/EchelleFPAparam!$E$3))</f>
        <v>4287.8802952939031</v>
      </c>
      <c r="EN26" s="26">
        <f>(EchelleFPAparam!$S$3/($U26+C$53)*COS((BB26-EchelleFPAparam!$AE22)*EchelleFPAparam!$C$3/EchelleFPAparam!$E$3))*(SIN('Standard Settings'!$F21)+SIN('Standard Settings'!$F21+EchelleFPAparam!$M$3+EchelleFPAparam!$K$3*EchelleFPAparam!$B$6*COS(EchelleFPAparam!$AC$3)-(BB26-1024)*SIN(EchelleFPAparam!$AC$3)*EchelleFPAparam!$C$3/EchelleFPAparam!$E$3))</f>
        <v>3981.9848474089404</v>
      </c>
      <c r="EO26" s="26">
        <f>(EchelleFPAparam!$S$3/($U26+D$53)*COS((BC26-EchelleFPAparam!$AE22)*EchelleFPAparam!$C$3/EchelleFPAparam!$E$3))*(SIN('Standard Settings'!$F21)+SIN('Standard Settings'!$F21+EchelleFPAparam!$M$3+EchelleFPAparam!$K$3*EchelleFPAparam!$B$6*COS(EchelleFPAparam!$AC$3)-(BC26-1024)*SIN(EchelleFPAparam!$AC$3)*EchelleFPAparam!$C$3/EchelleFPAparam!$E$3))</f>
        <v>3716.779937520841</v>
      </c>
      <c r="EP26" s="26">
        <f>(EchelleFPAparam!$S$3/($U26+E$53)*COS((BD26-EchelleFPAparam!$AE22)*EchelleFPAparam!$C$3/EchelleFPAparam!$E$3))*(SIN('Standard Settings'!$F21)+SIN('Standard Settings'!$F21+EchelleFPAparam!$M$3+EchelleFPAparam!$K$3*EchelleFPAparam!$B$6*COS(EchelleFPAparam!$AC$3)-(BD26-1024)*SIN(EchelleFPAparam!$AC$3)*EchelleFPAparam!$C$3/EchelleFPAparam!$E$3))</f>
        <v>3484.64436634914</v>
      </c>
      <c r="EQ26" s="26">
        <f>(EchelleFPAparam!$S$3/($U26+F$53)*COS((BE26-EchelleFPAparam!$AE22)*EchelleFPAparam!$C$3/EchelleFPAparam!$E$3))*(SIN('Standard Settings'!$F21)+SIN('Standard Settings'!$F21+EchelleFPAparam!$M$3+EchelleFPAparam!$K$3*EchelleFPAparam!$B$6*COS(EchelleFPAparam!$AC$3)-(BE26-1024)*SIN(EchelleFPAparam!$AC$3)*EchelleFPAparam!$C$3/EchelleFPAparam!$E$3))</f>
        <v>3279.7640623602451</v>
      </c>
      <c r="ER26" s="26">
        <f>(EchelleFPAparam!$S$3/($U26+G$53)*COS((BF26-EchelleFPAparam!$AE22)*EchelleFPAparam!$C$3/EchelleFPAparam!$E$3))*(SIN('Standard Settings'!$F21)+SIN('Standard Settings'!$F21+EchelleFPAparam!$M$3+EchelleFPAparam!$K$3*EchelleFPAparam!$B$6*COS(EchelleFPAparam!$AC$3)-(BF26-1024)*SIN(EchelleFPAparam!$AC$3)*EchelleFPAparam!$C$3/EchelleFPAparam!$E$3))</f>
        <v>3097.61063238316</v>
      </c>
      <c r="ES26" s="26">
        <f>(EchelleFPAparam!$S$3/($U26+H$53)*COS((BG26-EchelleFPAparam!$AE22)*EchelleFPAparam!$C$3/EchelleFPAparam!$E$3))*(SIN('Standard Settings'!$F21)+SIN('Standard Settings'!$F21+EchelleFPAparam!$M$3+EchelleFPAparam!$K$3*EchelleFPAparam!$B$6*COS(EchelleFPAparam!$AC$3)-(BG26-1024)*SIN(EchelleFPAparam!$AC$3)*EchelleFPAparam!$C$3/EchelleFPAparam!$E$3))</f>
        <v>2934.605297235239</v>
      </c>
      <c r="ET26" s="26">
        <f>(EchelleFPAparam!$S$3/($U26+I$53)*COS((BH26-EchelleFPAparam!$AE22)*EchelleFPAparam!$C$3/EchelleFPAparam!$E$3))*(SIN('Standard Settings'!$F21)+SIN('Standard Settings'!$F21+EchelleFPAparam!$M$3+EchelleFPAparam!$K$3*EchelleFPAparam!$B$6*COS(EchelleFPAparam!$AC$3)-(BH26-1024)*SIN(EchelleFPAparam!$AC$3)*EchelleFPAparam!$C$3/EchelleFPAparam!$E$3))</f>
        <v>2786.9478933668738</v>
      </c>
      <c r="EU26" s="26">
        <f>(EchelleFPAparam!$S$3/($U26+J$53)*COS((BI26-EchelleFPAparam!$AE22)*EchelleFPAparam!$C$3/EchelleFPAparam!$E$3))*(SIN('Standard Settings'!$F21)+SIN('Standard Settings'!$F21+EchelleFPAparam!$M$3+EchelleFPAparam!$K$3*EchelleFPAparam!$B$6*COS(EchelleFPAparam!$AC$3)-(BI26-1024)*SIN(EchelleFPAparam!$AC$3)*EchelleFPAparam!$C$3/EchelleFPAparam!$E$3))</f>
        <v>2654.2360889208317</v>
      </c>
      <c r="EV26" s="26">
        <f>(EchelleFPAparam!$S$3/($U26+K$53)*COS((BJ26-EchelleFPAparam!$AE22)*EchelleFPAparam!$C$3/EchelleFPAparam!$E$3))*(SIN('Standard Settings'!$F21)+SIN('Standard Settings'!$F21+EchelleFPAparam!$M$3+EchelleFPAparam!$K$3*EchelleFPAparam!$B$6*COS(EchelleFPAparam!$AC$3)-(BJ26-1024)*SIN(EchelleFPAparam!$AC$3)*EchelleFPAparam!$C$3/EchelleFPAparam!$E$3))</f>
        <v>2533.588993969885</v>
      </c>
      <c r="EW26" s="60">
        <f t="shared" si="40"/>
        <v>2725.0246852475598</v>
      </c>
      <c r="EX26" s="60">
        <f t="shared" si="41"/>
        <v>3981.9848474089404</v>
      </c>
      <c r="EY26" s="90">
        <v>0.39</v>
      </c>
      <c r="EZ26" s="90">
        <v>0.36</v>
      </c>
      <c r="FA26" s="50">
        <v>10000</v>
      </c>
      <c r="FB26" s="95">
        <v>1000</v>
      </c>
      <c r="FC26" s="95">
        <v>1000</v>
      </c>
      <c r="FD26" s="50">
        <v>5150</v>
      </c>
      <c r="FE26" s="50">
        <v>2000</v>
      </c>
      <c r="FF26" s="50">
        <v>5000</v>
      </c>
      <c r="FG26" s="95">
        <v>1000</v>
      </c>
      <c r="FH26" s="95">
        <f t="shared" si="27"/>
        <v>250</v>
      </c>
      <c r="FI26" s="95">
        <f t="shared" si="28"/>
        <v>250</v>
      </c>
      <c r="FJ26" s="50">
        <f t="shared" si="29"/>
        <v>1287.5</v>
      </c>
      <c r="FK26" s="50">
        <f t="shared" si="30"/>
        <v>500</v>
      </c>
      <c r="FL26" s="50">
        <f t="shared" si="31"/>
        <v>1250</v>
      </c>
      <c r="FM26" s="95">
        <f t="shared" si="32"/>
        <v>250</v>
      </c>
      <c r="FN26" s="50">
        <v>500</v>
      </c>
      <c r="FO26" s="91">
        <f>1/(F26*EchelleFPAparam!$Q$3)</f>
        <v>-3356.2615421438568</v>
      </c>
      <c r="FP26" s="91">
        <f t="shared" si="22"/>
        <v>-37.977121860463576</v>
      </c>
      <c r="FQ26" s="50">
        <v>-999999</v>
      </c>
      <c r="FR26" s="50">
        <v>-999999</v>
      </c>
      <c r="FS26" s="90">
        <v>1</v>
      </c>
      <c r="FT26" s="90">
        <v>1422.029</v>
      </c>
      <c r="FU26" s="90">
        <v>1837.548</v>
      </c>
      <c r="FV26" s="50">
        <v>-999999</v>
      </c>
      <c r="FW26" s="50">
        <v>-999999</v>
      </c>
      <c r="FX26" s="50">
        <v>-999999</v>
      </c>
      <c r="FY26" s="90">
        <v>2</v>
      </c>
      <c r="FZ26" s="90">
        <v>540.495</v>
      </c>
      <c r="GA26" s="90">
        <v>470.65699999999998</v>
      </c>
      <c r="GB26" s="50">
        <v>-999999</v>
      </c>
      <c r="GC26" s="50">
        <v>-999999</v>
      </c>
      <c r="GD26" s="50">
        <v>-999999</v>
      </c>
      <c r="GE26" s="90">
        <v>3</v>
      </c>
      <c r="GF26" s="90">
        <v>784.65700000000004</v>
      </c>
      <c r="GG26" s="90">
        <v>838.42100000000005</v>
      </c>
      <c r="GH26" s="50">
        <v>-999999</v>
      </c>
      <c r="GI26" s="50">
        <v>-999999</v>
      </c>
      <c r="GJ26" s="50">
        <v>-999999</v>
      </c>
      <c r="GK26" s="50">
        <v>-999999</v>
      </c>
      <c r="GL26" s="50">
        <v>-999999</v>
      </c>
      <c r="GM26" s="50">
        <v>-999999</v>
      </c>
      <c r="GN26" s="50">
        <v>-999999</v>
      </c>
      <c r="GO26" s="50">
        <v>-999999</v>
      </c>
      <c r="GP26" s="50">
        <v>-999999</v>
      </c>
      <c r="GQ26" s="50">
        <v>-999999</v>
      </c>
      <c r="GR26" s="50">
        <v>-999999</v>
      </c>
      <c r="GS26" s="50">
        <v>-999999</v>
      </c>
      <c r="GT26" s="50">
        <v>-999999</v>
      </c>
      <c r="GU26" s="50">
        <v>-999999</v>
      </c>
      <c r="GV26" s="50">
        <v>-999999</v>
      </c>
      <c r="GW26" s="50">
        <v>-999999</v>
      </c>
      <c r="GX26" s="50">
        <v>-999999</v>
      </c>
      <c r="GY26" s="50">
        <v>-999999</v>
      </c>
      <c r="GZ26" s="50">
        <v>-999999</v>
      </c>
      <c r="HA26" s="50">
        <v>-999999</v>
      </c>
      <c r="HB26" s="50">
        <v>-999999</v>
      </c>
      <c r="HC26" s="50">
        <v>-999999</v>
      </c>
      <c r="HD26" s="50">
        <v>-999999</v>
      </c>
      <c r="HE26" s="50">
        <v>-999999</v>
      </c>
      <c r="HF26" s="50">
        <v>-999999</v>
      </c>
      <c r="HG26" s="50">
        <v>-999999</v>
      </c>
      <c r="HH26" s="50">
        <v>-999999</v>
      </c>
      <c r="HI26" s="50">
        <v>-999999</v>
      </c>
      <c r="HJ26" s="50">
        <v>-999999</v>
      </c>
      <c r="HK26" s="50">
        <v>-999999</v>
      </c>
      <c r="HL26" s="50">
        <v>-999999</v>
      </c>
      <c r="HM26" s="50">
        <v>-999999</v>
      </c>
      <c r="HN26" s="50">
        <v>-999999</v>
      </c>
      <c r="HO26" s="50">
        <v>-999999</v>
      </c>
      <c r="HP26" s="50">
        <v>-999999</v>
      </c>
      <c r="HQ26" s="50">
        <v>-999999</v>
      </c>
      <c r="HR26" s="50">
        <v>-999999</v>
      </c>
      <c r="HS26" s="50">
        <v>-999999</v>
      </c>
      <c r="HT26" s="50">
        <v>-999999</v>
      </c>
      <c r="HU26" s="50">
        <v>-999999</v>
      </c>
      <c r="HV26" s="50">
        <v>-999999</v>
      </c>
      <c r="HW26" s="50">
        <v>-999999</v>
      </c>
      <c r="HX26" s="50">
        <v>-999999</v>
      </c>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2">
        <f t="shared" si="23"/>
        <v>2764.4769139211021</v>
      </c>
      <c r="JX26" s="27">
        <f t="shared" si="24"/>
        <v>286728.85559286305</v>
      </c>
      <c r="JY26" s="107">
        <f>JW26*EchelleFPAparam!$Q$3</f>
        <v>-2.6331642605098494E-2</v>
      </c>
      <c r="KA26" s="19"/>
      <c r="KB26" s="19"/>
      <c r="KC26" s="19"/>
      <c r="KD26" s="19"/>
      <c r="KE26" s="19"/>
      <c r="KF26" s="19"/>
      <c r="KG26" s="19"/>
      <c r="KH26" s="19"/>
      <c r="KI26" s="19"/>
      <c r="KJ26" s="19"/>
      <c r="KK26" s="19"/>
      <c r="KL26" s="19"/>
      <c r="KM26" s="19"/>
      <c r="KW26" s="19"/>
      <c r="KX26" s="19"/>
      <c r="KY26" s="19"/>
      <c r="KZ26" s="19"/>
      <c r="LA26" s="19"/>
      <c r="LB26" s="19"/>
      <c r="LC26" s="19"/>
      <c r="LD26" s="19"/>
      <c r="LE26" s="19"/>
      <c r="LF26" s="19"/>
    </row>
    <row r="27" spans="1:318" x14ac:dyDescent="0.2">
      <c r="A27" s="53">
        <f t="shared" si="35"/>
        <v>21</v>
      </c>
      <c r="B27" s="96">
        <f t="shared" si="0"/>
        <v>4518.5271410255909</v>
      </c>
      <c r="C27" s="27" t="str">
        <f>'Standard Settings'!B22</f>
        <v>M/1/9</v>
      </c>
      <c r="D27" s="27">
        <f>'Standard Settings'!H22</f>
        <v>13</v>
      </c>
      <c r="E27" s="19">
        <f t="shared" si="1"/>
        <v>1.1301775602808206E-2</v>
      </c>
      <c r="F27" s="18">
        <f>((EchelleFPAparam!$S$3/('crmcfgWLEN.txt'!$U27+F$53))*(SIN('Standard Settings'!$F22+0.0005)+SIN('Standard Settings'!$F22+0.0005+EchelleFPAparam!$M$3))-(EchelleFPAparam!$S$3/('crmcfgWLEN.txt'!$U27+F$53))*(SIN('Standard Settings'!$F22-0.0005)+SIN('Standard Settings'!$F22-0.0005+EchelleFPAparam!$M$3)))*1000*EchelleFPAparam!$O$3/180</f>
        <v>30.613277246006692</v>
      </c>
      <c r="G27" s="20" t="str">
        <f>'Standard Settings'!C22</f>
        <v>M</v>
      </c>
      <c r="H27" s="46"/>
      <c r="I27" s="59" t="s">
        <v>361</v>
      </c>
      <c r="J27" s="57"/>
      <c r="K27" s="27" t="str">
        <f>'Standard Settings'!$D22</f>
        <v>LM</v>
      </c>
      <c r="L27" s="46"/>
      <c r="M27" s="12">
        <v>2.5</v>
      </c>
      <c r="N27" s="12">
        <v>2.5</v>
      </c>
      <c r="O27" s="47" t="s">
        <v>384</v>
      </c>
      <c r="P27" s="47" t="s">
        <v>384</v>
      </c>
      <c r="Q27" s="27">
        <f>'Standard Settings'!$E22</f>
        <v>70.388175000000004</v>
      </c>
      <c r="R27" s="106">
        <f>'Standard Settings'!$J22</f>
        <v>1000</v>
      </c>
      <c r="S27" s="21">
        <f>'Standard Settings'!$G22</f>
        <v>10</v>
      </c>
      <c r="T27" s="21">
        <f>'Standard Settings'!$I22</f>
        <v>16</v>
      </c>
      <c r="U27" s="22">
        <f t="shared" si="25"/>
        <v>9</v>
      </c>
      <c r="V27" s="22">
        <f t="shared" si="26"/>
        <v>18</v>
      </c>
      <c r="W27" s="23">
        <f>IF(AND($U27-$S27+B$53&gt;=0,$U27-$T27+B$53&lt;=0),(EchelleFPAparam!$S$3/('crmcfgWLEN.txt'!$U27+B$53))*(SIN('Standard Settings'!$F22)+SIN('Standard Settings'!$F22+EchelleFPAparam!$M$3)),-1)</f>
        <v>-1</v>
      </c>
      <c r="X27" s="23">
        <f>IF(AND($U27-$S27+C$53&gt;=0,$U27-$T27+C$53&lt;=0),(EchelleFPAparam!$S$3/('crmcfgWLEN.txt'!$U27+C$53))*(SIN('Standard Settings'!$F22)+SIN('Standard Settings'!$F22+EchelleFPAparam!$M$3)),-1)</f>
        <v>5874.0852833332683</v>
      </c>
      <c r="Y27" s="23">
        <f>IF(AND($U27-$S27+D$53&gt;=0,$U27-$T27+D$53&lt;=0),(EchelleFPAparam!$S$3/('crmcfgWLEN.txt'!$U27+D$53))*(SIN('Standard Settings'!$F22)+SIN('Standard Settings'!$F22+EchelleFPAparam!$M$3)),-1)</f>
        <v>5340.0775303029714</v>
      </c>
      <c r="Z27" s="23">
        <f>IF(AND($U27-$S27+E$53&gt;=0,$U27-$T27+E$53&lt;=0),(EchelleFPAparam!$S$3/('crmcfgWLEN.txt'!$U27+E$53))*(SIN('Standard Settings'!$F22)+SIN('Standard Settings'!$F22+EchelleFPAparam!$M$3)),-1)</f>
        <v>4895.0710694443897</v>
      </c>
      <c r="AA27" s="23">
        <f>IF(AND($U27-$S27+F$53&gt;=0,$U27-$T27+F$53&lt;=0),(EchelleFPAparam!$S$3/('crmcfgWLEN.txt'!$U27+F$53))*(SIN('Standard Settings'!$F22)+SIN('Standard Settings'!$F22+EchelleFPAparam!$M$3)),-1)</f>
        <v>4518.5271410255909</v>
      </c>
      <c r="AB27" s="23">
        <f>IF(AND($U27-$S27+G$53&gt;=0,$U27-$T27+G$53&lt;=0),(EchelleFPAparam!$S$3/('crmcfgWLEN.txt'!$U27+G$53))*(SIN('Standard Settings'!$F22)+SIN('Standard Settings'!$F22+EchelleFPAparam!$M$3)),-1)</f>
        <v>4195.7752023809053</v>
      </c>
      <c r="AC27" s="23">
        <f>IF(AND($U27-$S27+H$53&gt;=0,$U27-$T27+H$53&lt;=0),(EchelleFPAparam!$S$3/('crmcfgWLEN.txt'!$U27+H$53))*(SIN('Standard Settings'!$F22)+SIN('Standard Settings'!$F22+EchelleFPAparam!$M$3)),-1)</f>
        <v>3916.0568555555114</v>
      </c>
      <c r="AD27" s="23">
        <f>IF(AND($U27-$S27+I$53&gt;=0,$U27-$T27+I$53&lt;=0),(EchelleFPAparam!$S$3/('crmcfgWLEN.txt'!$U27+I$53))*(SIN('Standard Settings'!$F22)+SIN('Standard Settings'!$F22+EchelleFPAparam!$M$3)),-1)</f>
        <v>3671.3033020832922</v>
      </c>
      <c r="AE27" s="23">
        <f>IF(AND($U27-$S27+J$53&gt;=0,$U27-$T27+J$53&lt;=0),(EchelleFPAparam!$S$3/('crmcfgWLEN.txt'!$U27+J$53))*(SIN('Standard Settings'!$F22)+SIN('Standard Settings'!$F22+EchelleFPAparam!$M$3)),-1)</f>
        <v>-1</v>
      </c>
      <c r="AF27" s="23">
        <f>IF(AND($U27-$S27+K$53&gt;=0,$U27-$T27+K$53&lt;=0),(EchelleFPAparam!$S$3/('crmcfgWLEN.txt'!$U27+K$53))*(SIN('Standard Settings'!$F22)+SIN('Standard Settings'!$F22+EchelleFPAparam!$M$3)),-1)</f>
        <v>-1</v>
      </c>
      <c r="AG27" s="159">
        <v>-100.1</v>
      </c>
      <c r="AH27" s="159">
        <v>-100.1</v>
      </c>
      <c r="AI27" s="157">
        <v>266.61017568846199</v>
      </c>
      <c r="AJ27" s="157">
        <v>668.01156180827002</v>
      </c>
      <c r="AK27" s="157">
        <v>1008.57550750474</v>
      </c>
      <c r="AL27" s="157">
        <v>1301.1412830126001</v>
      </c>
      <c r="AM27" s="157">
        <v>1555.2772025509501</v>
      </c>
      <c r="AN27" s="157">
        <v>1778.33304059338</v>
      </c>
      <c r="AO27" s="157">
        <v>1967.48490937311</v>
      </c>
      <c r="AP27" s="159">
        <v>-100.1</v>
      </c>
      <c r="AQ27" s="160">
        <v>-100.1</v>
      </c>
      <c r="AR27" s="160">
        <v>-100.1</v>
      </c>
      <c r="AS27" s="157">
        <v>291.89712277558101</v>
      </c>
      <c r="AT27" s="157">
        <v>695.53291767825897</v>
      </c>
      <c r="AU27" s="157">
        <v>1037.6869206559199</v>
      </c>
      <c r="AV27" s="157">
        <v>1331.5521507311701</v>
      </c>
      <c r="AW27" s="157">
        <v>1586.93199670268</v>
      </c>
      <c r="AX27" s="157">
        <v>1811.15146847604</v>
      </c>
      <c r="AY27" s="157">
        <v>1984.1371614438301</v>
      </c>
      <c r="AZ27" s="160">
        <v>-100.1</v>
      </c>
      <c r="BA27" s="161">
        <v>-100.1</v>
      </c>
      <c r="BB27" s="161">
        <v>-100.1</v>
      </c>
      <c r="BC27" s="157">
        <v>316.385507089062</v>
      </c>
      <c r="BD27" s="157">
        <v>722.31573425614101</v>
      </c>
      <c r="BE27" s="157">
        <v>1066.8607434364999</v>
      </c>
      <c r="BF27" s="157">
        <v>1359.1788484967601</v>
      </c>
      <c r="BG27" s="157">
        <v>1619.0121553479</v>
      </c>
      <c r="BH27" s="157">
        <v>1844.9242957384599</v>
      </c>
      <c r="BI27" s="157">
        <v>1997.4095000223399</v>
      </c>
      <c r="BJ27" s="161">
        <v>-100.1</v>
      </c>
      <c r="BK27" s="24">
        <f>EchelleFPAparam!$S$3/('crmcfgWLEN.txt'!$U27+B$53)*(SIN(EchelleFPAparam!$T$3-EchelleFPAparam!$M$3/2)+SIN('Standard Settings'!$F22+EchelleFPAparam!$M$3))</f>
        <v>6411.1342646913572</v>
      </c>
      <c r="BL27" s="24">
        <f>EchelleFPAparam!$S$3/('crmcfgWLEN.txt'!$U27+C$53)*(SIN(EchelleFPAparam!$T$3-EchelleFPAparam!$M$3/2)+SIN('Standard Settings'!$F22+EchelleFPAparam!$M$3))</f>
        <v>5770.0208382222218</v>
      </c>
      <c r="BM27" s="24">
        <f>EchelleFPAparam!$S$3/('crmcfgWLEN.txt'!$U27+D$53)*(SIN(EchelleFPAparam!$T$3-EchelleFPAparam!$M$3/2)+SIN('Standard Settings'!$F22+EchelleFPAparam!$M$3))</f>
        <v>5245.4734892929282</v>
      </c>
      <c r="BN27" s="24">
        <f>EchelleFPAparam!$S$3/('crmcfgWLEN.txt'!$U27+E$53)*(SIN(EchelleFPAparam!$T$3-EchelleFPAparam!$M$3/2)+SIN('Standard Settings'!$F22+EchelleFPAparam!$M$3))</f>
        <v>4808.3506985185177</v>
      </c>
      <c r="BO27" s="24">
        <f>EchelleFPAparam!$S$3/('crmcfgWLEN.txt'!$U27+F$53)*(SIN(EchelleFPAparam!$T$3-EchelleFPAparam!$M$3/2)+SIN('Standard Settings'!$F22+EchelleFPAparam!$M$3))</f>
        <v>4438.4775678632468</v>
      </c>
      <c r="BP27" s="24">
        <f>EchelleFPAparam!$S$3/('crmcfgWLEN.txt'!$U27+G$53)*(SIN(EchelleFPAparam!$T$3-EchelleFPAparam!$M$3/2)+SIN('Standard Settings'!$F22+EchelleFPAparam!$M$3))</f>
        <v>4121.4434558730145</v>
      </c>
      <c r="BQ27" s="24">
        <f>EchelleFPAparam!$S$3/('crmcfgWLEN.txt'!$U27+H$53)*(SIN(EchelleFPAparam!$T$3-EchelleFPAparam!$M$3/2)+SIN('Standard Settings'!$F22+EchelleFPAparam!$M$3))</f>
        <v>3846.6805588148136</v>
      </c>
      <c r="BR27" s="24">
        <f>EchelleFPAparam!$S$3/('crmcfgWLEN.txt'!$U27+I$53)*(SIN(EchelleFPAparam!$T$3-EchelleFPAparam!$M$3/2)+SIN('Standard Settings'!$F22+EchelleFPAparam!$M$3))</f>
        <v>3606.2630238888883</v>
      </c>
      <c r="BS27" s="24">
        <f>EchelleFPAparam!$S$3/('crmcfgWLEN.txt'!$U27+J$53)*(SIN(EchelleFPAparam!$T$3-EchelleFPAparam!$M$3/2)+SIN('Standard Settings'!$F22+EchelleFPAparam!$M$3))</f>
        <v>3394.1299048366009</v>
      </c>
      <c r="BT27" s="24">
        <f>EchelleFPAparam!$S$3/('crmcfgWLEN.txt'!$U27+K$53)*(SIN(EchelleFPAparam!$T$3-EchelleFPAparam!$M$3/2)+SIN('Standard Settings'!$F22+EchelleFPAparam!$M$3))</f>
        <v>3205.5671323456786</v>
      </c>
      <c r="BU27" s="25">
        <f t="shared" si="33"/>
        <v>6173.6848474805656</v>
      </c>
      <c r="BV27" s="25">
        <f t="shared" si="2"/>
        <v>5571.0546024214555</v>
      </c>
      <c r="BW27" s="25">
        <f t="shared" si="3"/>
        <v>5076.2646670576723</v>
      </c>
      <c r="BX27" s="25">
        <f t="shared" si="4"/>
        <v>4662.6431015937142</v>
      </c>
      <c r="BY27" s="25">
        <f t="shared" si="5"/>
        <v>4311.6639230671544</v>
      </c>
      <c r="BZ27" s="25">
        <f t="shared" si="6"/>
        <v>4010.0530922007711</v>
      </c>
      <c r="CA27" s="25">
        <f t="shared" si="7"/>
        <v>3748.0477239734082</v>
      </c>
      <c r="CB27" s="25">
        <f t="shared" si="8"/>
        <v>3518.3053891598911</v>
      </c>
      <c r="CC27" s="25">
        <f t="shared" si="9"/>
        <v>3315.1966512357494</v>
      </c>
      <c r="CD27" s="25">
        <f t="shared" si="10"/>
        <v>3134.3323071824411</v>
      </c>
      <c r="CE27" s="25">
        <f t="shared" si="34"/>
        <v>6667.5796352790121</v>
      </c>
      <c r="CF27" s="25">
        <f t="shared" si="11"/>
        <v>5983.7253137119333</v>
      </c>
      <c r="CG27" s="25">
        <f t="shared" si="12"/>
        <v>5426.3518854754429</v>
      </c>
      <c r="CH27" s="25">
        <f t="shared" si="13"/>
        <v>4963.4587855675018</v>
      </c>
      <c r="CI27" s="25">
        <f t="shared" si="14"/>
        <v>4572.976888101527</v>
      </c>
      <c r="CJ27" s="25">
        <f t="shared" si="15"/>
        <v>4239.1989831836718</v>
      </c>
      <c r="CK27" s="25">
        <f t="shared" si="16"/>
        <v>3950.6448982422407</v>
      </c>
      <c r="CL27" s="25">
        <f t="shared" si="17"/>
        <v>3698.7313065527055</v>
      </c>
      <c r="CM27" s="25">
        <f t="shared" si="18"/>
        <v>3476.913561052128</v>
      </c>
      <c r="CN27" s="25">
        <f t="shared" si="19"/>
        <v>3280.1152051909271</v>
      </c>
      <c r="CO27" s="26">
        <f>(EchelleFPAparam!$S$3/($U27+B$53)*COS((AG27-EchelleFPAparam!$AE23)*EchelleFPAparam!$C$3/EchelleFPAparam!$E$3))*(SIN('Standard Settings'!$F22)+SIN('Standard Settings'!$F22+EchelleFPAparam!$M$3+(EchelleFPAparam!$F$3*EchelleFPAparam!$B$6)*COS(EchelleFPAparam!$AC$3)-(AG27-1024)*SIN(EchelleFPAparam!$AC$3)*EchelleFPAparam!$C$3/EchelleFPAparam!$E$3))</f>
        <v>6470.8038628216827</v>
      </c>
      <c r="CP27" s="26">
        <f>(EchelleFPAparam!$S$3/($U27+C$53)*COS((AH27-EchelleFPAparam!$AE23)*EchelleFPAparam!$C$3/EchelleFPAparam!$E$3))*(SIN('Standard Settings'!$F22)+SIN('Standard Settings'!$F22+EchelleFPAparam!$M$3+(EchelleFPAparam!$F$3*EchelleFPAparam!$B$6)*COS(EchelleFPAparam!$AC$3)-(AH27-1024)*SIN(EchelleFPAparam!$AC$3)*EchelleFPAparam!$C$3/EchelleFPAparam!$E$3))</f>
        <v>5823.7234765395151</v>
      </c>
      <c r="CQ27" s="26">
        <f>(EchelleFPAparam!$S$3/($U27+D$53)*COS((AI27-EchelleFPAparam!$AE23)*EchelleFPAparam!$C$3/EchelleFPAparam!$E$3))*(SIN('Standard Settings'!$F22)+SIN('Standard Settings'!$F22+EchelleFPAparam!$M$3+(EchelleFPAparam!$F$3*EchelleFPAparam!$B$6)*COS(EchelleFPAparam!$AC$3)-(AI27-1024)*SIN(EchelleFPAparam!$AC$3)*EchelleFPAparam!$C$3/EchelleFPAparam!$E$3))</f>
        <v>5294.679552881712</v>
      </c>
      <c r="CR27" s="26">
        <f>(EchelleFPAparam!$S$3/($U27+E$53)*COS((AJ27-EchelleFPAparam!$AE23)*EchelleFPAparam!$C$3/EchelleFPAparam!$E$3))*(SIN('Standard Settings'!$F22)+SIN('Standard Settings'!$F22+EchelleFPAparam!$M$3+(EchelleFPAparam!$F$3*EchelleFPAparam!$B$6)*COS(EchelleFPAparam!$AC$3)-(AJ27-1024)*SIN(EchelleFPAparam!$AC$3)*EchelleFPAparam!$C$3/EchelleFPAparam!$E$3))</f>
        <v>4853.736986287031</v>
      </c>
      <c r="CS27" s="26">
        <f>(EchelleFPAparam!$S$3/($U27+F$53)*COS((AK27-EchelleFPAparam!$AE23)*EchelleFPAparam!$C$3/EchelleFPAparam!$E$3))*(SIN('Standard Settings'!$F22)+SIN('Standard Settings'!$F22+EchelleFPAparam!$M$3+(EchelleFPAparam!$F$3*EchelleFPAparam!$B$6)*COS(EchelleFPAparam!$AC$3)-(AK27-1024)*SIN(EchelleFPAparam!$AC$3)*EchelleFPAparam!$C$3/EchelleFPAparam!$E$3))</f>
        <v>4480.5122195895865</v>
      </c>
      <c r="CT27" s="26">
        <f>(EchelleFPAparam!$S$3/($U27+G$53)*COS((AL27-EchelleFPAparam!$AE23)*EchelleFPAparam!$C$3/EchelleFPAparam!$E$3))*(SIN('Standard Settings'!$F22)+SIN('Standard Settings'!$F22+EchelleFPAparam!$M$3+(EchelleFPAparam!$F$3*EchelleFPAparam!$B$6)*COS(EchelleFPAparam!$AC$3)-(AL27-1024)*SIN(EchelleFPAparam!$AC$3)*EchelleFPAparam!$C$3/EchelleFPAparam!$E$3))</f>
        <v>4160.5323802328421</v>
      </c>
      <c r="CU27" s="26">
        <f>(EchelleFPAparam!$S$3/($U27+H$53)*COS((AM27-EchelleFPAparam!$AE23)*EchelleFPAparam!$C$3/EchelleFPAparam!$E$3))*(SIN('Standard Settings'!$F22)+SIN('Standard Settings'!$F22+EchelleFPAparam!$M$3+(EchelleFPAparam!$F$3*EchelleFPAparam!$B$6)*COS(EchelleFPAparam!$AC$3)-(AM27-1024)*SIN(EchelleFPAparam!$AC$3)*EchelleFPAparam!$C$3/EchelleFPAparam!$E$3))</f>
        <v>3883.1713195150601</v>
      </c>
      <c r="CV27" s="26">
        <f>(EchelleFPAparam!$S$3/($U27+I$53)*COS((AN27-EchelleFPAparam!$AE23)*EchelleFPAparam!$C$3/EchelleFPAparam!$E$3))*(SIN('Standard Settings'!$F22)+SIN('Standard Settings'!$F22+EchelleFPAparam!$M$3+(EchelleFPAparam!$F$3*EchelleFPAparam!$B$6)*COS(EchelleFPAparam!$AC$3)-(AN27-1024)*SIN(EchelleFPAparam!$AC$3)*EchelleFPAparam!$C$3/EchelleFPAparam!$E$3))</f>
        <v>3640.4520331656986</v>
      </c>
      <c r="CW27" s="26">
        <f>(EchelleFPAparam!$S$3/($U27+J$53)*COS((AO27-EchelleFPAparam!$AE23)*EchelleFPAparam!$C$3/EchelleFPAparam!$E$3))*(SIN('Standard Settings'!$F22)+SIN('Standard Settings'!$F22+EchelleFPAparam!$M$3+(EchelleFPAparam!$F$3*EchelleFPAparam!$B$6)*COS(EchelleFPAparam!$AC$3)-(AO27-1024)*SIN(EchelleFPAparam!$AC$3)*EchelleFPAparam!$C$3/EchelleFPAparam!$E$3))</f>
        <v>3426.272034703773</v>
      </c>
      <c r="CX27" s="26">
        <f>(EchelleFPAparam!$S$3/($U27+K$53)*COS((AP27-EchelleFPAparam!$AE23)*EchelleFPAparam!$C$3/EchelleFPAparam!$E$3))*(SIN('Standard Settings'!$F22)+SIN('Standard Settings'!$F22+EchelleFPAparam!$M$3+(EchelleFPAparam!$F$3*EchelleFPAparam!$B$6)*COS(EchelleFPAparam!$AC$3)-(AP27-1024)*SIN(EchelleFPAparam!$AC$3)*EchelleFPAparam!$C$3/EchelleFPAparam!$E$3))</f>
        <v>3235.4019314108414</v>
      </c>
      <c r="CY27" s="26">
        <f>(EchelleFPAparam!$S$3/($U27+B$53)*COS((AG27-EchelleFPAparam!$AE23)*EchelleFPAparam!$C$3/EchelleFPAparam!$E$3))*(SIN('Standard Settings'!$F22)+SIN('Standard Settings'!$F22+EchelleFPAparam!$M$3+EchelleFPAparam!$G$3*EchelleFPAparam!$B$6*COS(EchelleFPAparam!$AC$3)-(AG27-1024)*SIN(EchelleFPAparam!$AC$3)*EchelleFPAparam!$C$3/EchelleFPAparam!$E$3))</f>
        <v>6506.3413128159109</v>
      </c>
      <c r="CZ27" s="26">
        <f>(EchelleFPAparam!$S$3/($U27+C$53)*COS((AH27-EchelleFPAparam!$AE23)*EchelleFPAparam!$C$3/EchelleFPAparam!$E$3))*(SIN('Standard Settings'!$F22)+SIN('Standard Settings'!$F22+EchelleFPAparam!$M$3+EchelleFPAparam!$G$3*EchelleFPAparam!$B$6*COS(EchelleFPAparam!$AC$3)-(AH27-1024)*SIN(EchelleFPAparam!$AC$3)*EchelleFPAparam!$C$3/EchelleFPAparam!$E$3))</f>
        <v>5855.7071815343206</v>
      </c>
      <c r="DA27" s="26">
        <f>(EchelleFPAparam!$S$3/($U27+D$53)*COS((AI27-EchelleFPAparam!$AE23)*EchelleFPAparam!$C$3/EchelleFPAparam!$E$3))*(SIN('Standard Settings'!$F22)+SIN('Standard Settings'!$F22+EchelleFPAparam!$M$3+EchelleFPAparam!$G$3*EchelleFPAparam!$B$6*COS(EchelleFPAparam!$AC$3)-(AI27-1024)*SIN(EchelleFPAparam!$AC$3)*EchelleFPAparam!$C$3/EchelleFPAparam!$E$3))</f>
        <v>5323.7503627462029</v>
      </c>
      <c r="DB27" s="26">
        <f>(EchelleFPAparam!$S$3/($U27+E$53)*COS((AJ27-EchelleFPAparam!$AE23)*EchelleFPAparam!$C$3/EchelleFPAparam!$E$3))*(SIN('Standard Settings'!$F22)+SIN('Standard Settings'!$F22+EchelleFPAparam!$M$3+EchelleFPAparam!$G$3*EchelleFPAparam!$B$6*COS(EchelleFPAparam!$AC$3)-(AJ27-1024)*SIN(EchelleFPAparam!$AC$3)*EchelleFPAparam!$C$3/EchelleFPAparam!$E$3))</f>
        <v>4880.3793420995207</v>
      </c>
      <c r="DC27" s="26">
        <f>(EchelleFPAparam!$S$3/($U27+F$53)*COS((AK27-EchelleFPAparam!$AE23)*EchelleFPAparam!$C$3/EchelleFPAparam!$E$3))*(SIN('Standard Settings'!$F22)+SIN('Standard Settings'!$F22+EchelleFPAparam!$M$3+EchelleFPAparam!$G$3*EchelleFPAparam!$B$6*COS(EchelleFPAparam!$AC$3)-(AK27-1024)*SIN(EchelleFPAparam!$AC$3)*EchelleFPAparam!$C$3/EchelleFPAparam!$E$3))</f>
        <v>4505.1001123981505</v>
      </c>
      <c r="DD27" s="26">
        <f>(EchelleFPAparam!$S$3/($U27+G$53)*COS((AL27-EchelleFPAparam!$AE23)*EchelleFPAparam!$C$3/EchelleFPAparam!$E$3))*(SIN('Standard Settings'!$F22)+SIN('Standard Settings'!$F22+EchelleFPAparam!$M$3+EchelleFPAparam!$G$3*EchelleFPAparam!$B$6*COS(EchelleFPAparam!$AC$3)-(AL27-1024)*SIN(EchelleFPAparam!$AC$3)*EchelleFPAparam!$C$3/EchelleFPAparam!$E$3))</f>
        <v>4183.3596659106524</v>
      </c>
      <c r="DE27" s="26">
        <f>(EchelleFPAparam!$S$3/($U27+H$53)*COS((AM27-EchelleFPAparam!$AE23)*EchelleFPAparam!$C$3/EchelleFPAparam!$E$3))*(SIN('Standard Settings'!$F22)+SIN('Standard Settings'!$F22+EchelleFPAparam!$M$3+EchelleFPAparam!$G$3*EchelleFPAparam!$B$6*COS(EchelleFPAparam!$AC$3)-(AM27-1024)*SIN(EchelleFPAparam!$AC$3)*EchelleFPAparam!$C$3/EchelleFPAparam!$E$3))</f>
        <v>3904.4730666036726</v>
      </c>
      <c r="DF27" s="26">
        <f>(EchelleFPAparam!$S$3/($U27+I$53)*COS((AN27-EchelleFPAparam!$AE23)*EchelleFPAparam!$C$3/EchelleFPAparam!$E$3))*(SIN('Standard Settings'!$F22)+SIN('Standard Settings'!$F22+EchelleFPAparam!$M$3+EchelleFPAparam!$G$3*EchelleFPAparam!$B$6*COS(EchelleFPAparam!$AC$3)-(AN27-1024)*SIN(EchelleFPAparam!$AC$3)*EchelleFPAparam!$C$3/EchelleFPAparam!$E$3))</f>
        <v>3660.4192098317239</v>
      </c>
      <c r="DG27" s="26">
        <f>(EchelleFPAparam!$S$3/($U27+J$53)*COS((AO27-EchelleFPAparam!$AE23)*EchelleFPAparam!$C$3/EchelleFPAparam!$E$3))*(SIN('Standard Settings'!$F22)+SIN('Standard Settings'!$F22+EchelleFPAparam!$M$3+EchelleFPAparam!$G$3*EchelleFPAparam!$B$6*COS(EchelleFPAparam!$AC$3)-(AO27-1024)*SIN(EchelleFPAparam!$AC$3)*EchelleFPAparam!$C$3/EchelleFPAparam!$E$3))</f>
        <v>3445.0620048262263</v>
      </c>
      <c r="DH27" s="26">
        <f>(EchelleFPAparam!$S$3/($U27+K$53)*COS((AP27-EchelleFPAparam!$AE23)*EchelleFPAparam!$C$3/EchelleFPAparam!$E$3))*(SIN('Standard Settings'!$F22)+SIN('Standard Settings'!$F22+EchelleFPAparam!$M$3+EchelleFPAparam!$G$3*EchelleFPAparam!$B$6*COS(EchelleFPAparam!$AC$3)-(AP27-1024)*SIN(EchelleFPAparam!$AC$3)*EchelleFPAparam!$C$3/EchelleFPAparam!$E$3))</f>
        <v>3253.1706564079554</v>
      </c>
      <c r="DI27" s="26">
        <f>(EchelleFPAparam!$S$3/($U27+B$53)*COS((AQ27-EchelleFPAparam!$AE23)*EchelleFPAparam!$C$3/EchelleFPAparam!$E$3))*(SIN('Standard Settings'!$F22)+SIN('Standard Settings'!$F22+EchelleFPAparam!$M$3+EchelleFPAparam!$H$3*EchelleFPAparam!$B$6*COS(EchelleFPAparam!$AC$3)-(AQ27-1024)*SIN(EchelleFPAparam!$AC$3)*EchelleFPAparam!$C$3/EchelleFPAparam!$E$3))</f>
        <v>6508.7699394287774</v>
      </c>
      <c r="DJ27" s="26">
        <f>(EchelleFPAparam!$S$3/($U27+C$53)*COS((AR27-EchelleFPAparam!$AE23)*EchelleFPAparam!$C$3/EchelleFPAparam!$E$3))*(SIN('Standard Settings'!$F22)+SIN('Standard Settings'!$F22+EchelleFPAparam!$M$3+EchelleFPAparam!$H$3*EchelleFPAparam!$B$6*COS(EchelleFPAparam!$AC$3)-(AR27-1024)*SIN(EchelleFPAparam!$AC$3)*EchelleFPAparam!$C$3/EchelleFPAparam!$E$3))</f>
        <v>5857.8929454858999</v>
      </c>
      <c r="DK27" s="26">
        <f>(EchelleFPAparam!$S$3/($U27+D$53)*COS((AS27-EchelleFPAparam!$AE23)*EchelleFPAparam!$C$3/EchelleFPAparam!$E$3))*(SIN('Standard Settings'!$F22)+SIN('Standard Settings'!$F22+EchelleFPAparam!$M$3+EchelleFPAparam!$H$3*EchelleFPAparam!$B$6*COS(EchelleFPAparam!$AC$3)-(AS27-1024)*SIN(EchelleFPAparam!$AC$3)*EchelleFPAparam!$C$3/EchelleFPAparam!$E$3))</f>
        <v>5325.7594926223665</v>
      </c>
      <c r="DL27" s="26">
        <f>(EchelleFPAparam!$S$3/($U27+E$53)*COS((AT27-EchelleFPAparam!$AE23)*EchelleFPAparam!$C$3/EchelleFPAparam!$E$3))*(SIN('Standard Settings'!$F22)+SIN('Standard Settings'!$F22+EchelleFPAparam!$M$3+EchelleFPAparam!$H$3*EchelleFPAparam!$B$6*COS(EchelleFPAparam!$AC$3)-(AT27-1024)*SIN(EchelleFPAparam!$AC$3)*EchelleFPAparam!$C$3/EchelleFPAparam!$E$3))</f>
        <v>4882.2147774843052</v>
      </c>
      <c r="DM27" s="26">
        <f>(EchelleFPAparam!$S$3/($U27+F$53)*COS((AU27-EchelleFPAparam!$AE23)*EchelleFPAparam!$C$3/EchelleFPAparam!$E$3))*(SIN('Standard Settings'!$F22)+SIN('Standard Settings'!$F22+EchelleFPAparam!$M$3+EchelleFPAparam!$H$3*EchelleFPAparam!$B$6*COS(EchelleFPAparam!$AC$3)-(AU27-1024)*SIN(EchelleFPAparam!$AC$3)*EchelleFPAparam!$C$3/EchelleFPAparam!$E$3))</f>
        <v>4506.788439062987</v>
      </c>
      <c r="DN27" s="26">
        <f>(EchelleFPAparam!$S$3/($U27+G$53)*COS((AV27-EchelleFPAparam!$AE23)*EchelleFPAparam!$C$3/EchelleFPAparam!$E$3))*(SIN('Standard Settings'!$F22)+SIN('Standard Settings'!$F22+EchelleFPAparam!$M$3+EchelleFPAparam!$H$3*EchelleFPAparam!$B$6*COS(EchelleFPAparam!$AC$3)-(AV27-1024)*SIN(EchelleFPAparam!$AC$3)*EchelleFPAparam!$C$3/EchelleFPAparam!$E$3))</f>
        <v>4184.9221343926347</v>
      </c>
      <c r="DO27" s="26">
        <f>(EchelleFPAparam!$S$3/($U27+H$53)*COS((AW27-EchelleFPAparam!$AE23)*EchelleFPAparam!$C$3/EchelleFPAparam!$E$3))*(SIN('Standard Settings'!$F22)+SIN('Standard Settings'!$F22+EchelleFPAparam!$M$3+EchelleFPAparam!$H$3*EchelleFPAparam!$B$6*COS(EchelleFPAparam!$AC$3)-(AW27-1024)*SIN(EchelleFPAparam!$AC$3)*EchelleFPAparam!$C$3/EchelleFPAparam!$E$3))</f>
        <v>3905.926737898897</v>
      </c>
      <c r="DP27" s="26">
        <f>(EchelleFPAparam!$S$3/($U27+I$53)*COS((AX27-EchelleFPAparam!$AE23)*EchelleFPAparam!$C$3/EchelleFPAparam!$E$3))*(SIN('Standard Settings'!$F22)+SIN('Standard Settings'!$F22+EchelleFPAparam!$M$3+EchelleFPAparam!$H$3*EchelleFPAparam!$B$6*COS(EchelleFPAparam!$AC$3)-(AX27-1024)*SIN(EchelleFPAparam!$AC$3)*EchelleFPAparam!$C$3/EchelleFPAparam!$E$3))</f>
        <v>3661.7779199368533</v>
      </c>
      <c r="DQ27" s="26">
        <f>(EchelleFPAparam!$S$3/($U27+J$53)*COS((AY27-EchelleFPAparam!$AE23)*EchelleFPAparam!$C$3/EchelleFPAparam!$E$3))*(SIN('Standard Settings'!$F22)+SIN('Standard Settings'!$F22+EchelleFPAparam!$M$3+EchelleFPAparam!$H$3*EchelleFPAparam!$B$6*COS(EchelleFPAparam!$AC$3)-(AY27-1024)*SIN(EchelleFPAparam!$AC$3)*EchelleFPAparam!$C$3/EchelleFPAparam!$E$3))</f>
        <v>3446.3418126603756</v>
      </c>
      <c r="DR27" s="26">
        <f>(EchelleFPAparam!$S$3/($U27+K$53)*COS((AZ27-EchelleFPAparam!$AE23)*EchelleFPAparam!$C$3/EchelleFPAparam!$E$3))*(SIN('Standard Settings'!$F22)+SIN('Standard Settings'!$F22+EchelleFPAparam!$M$3+EchelleFPAparam!$H$3*EchelleFPAparam!$B$6*COS(EchelleFPAparam!$AC$3)-(AZ27-1024)*SIN(EchelleFPAparam!$AC$3)*EchelleFPAparam!$C$3/EchelleFPAparam!$E$3))</f>
        <v>3254.3849697143887</v>
      </c>
      <c r="DS27" s="26">
        <f>(EchelleFPAparam!$S$3/($U27+B$53)*COS((AQ27-EchelleFPAparam!$AE23)*EchelleFPAparam!$C$3/EchelleFPAparam!$E$3))*(SIN('Standard Settings'!$F22)+SIN('Standard Settings'!$F22+EchelleFPAparam!$M$3+EchelleFPAparam!$I$3*EchelleFPAparam!$B$6*COS(EchelleFPAparam!$AC$3)-(AQ27-1024)*SIN(EchelleFPAparam!$AC$3)*EchelleFPAparam!$C$3/EchelleFPAparam!$E$3))</f>
        <v>6542.2258394378205</v>
      </c>
      <c r="DT27" s="26">
        <f>(EchelleFPAparam!$S$3/($U27+C$53)*COS((AR27-EchelleFPAparam!$AE23)*EchelleFPAparam!$C$3/EchelleFPAparam!$E$3))*(SIN('Standard Settings'!$F22)+SIN('Standard Settings'!$F22+EchelleFPAparam!$M$3+EchelleFPAparam!$I$3*EchelleFPAparam!$B$6*COS(EchelleFPAparam!$AC$3)-(AR27-1024)*SIN(EchelleFPAparam!$AC$3)*EchelleFPAparam!$C$3/EchelleFPAparam!$E$3))</f>
        <v>5888.003255494039</v>
      </c>
      <c r="DU27" s="26">
        <f>(EchelleFPAparam!$S$3/($U27+D$53)*COS((AS27-EchelleFPAparam!$AE23)*EchelleFPAparam!$C$3/EchelleFPAparam!$E$3))*(SIN('Standard Settings'!$F22)+SIN('Standard Settings'!$F22+EchelleFPAparam!$M$3+EchelleFPAparam!$I$3*EchelleFPAparam!$B$6*COS(EchelleFPAparam!$AC$3)-(AS27-1024)*SIN(EchelleFPAparam!$AC$3)*EchelleFPAparam!$C$3/EchelleFPAparam!$E$3))</f>
        <v>5353.1266604084949</v>
      </c>
      <c r="DV27" s="26">
        <f>(EchelleFPAparam!$S$3/($U27+E$53)*COS((AT27-EchelleFPAparam!$AE23)*EchelleFPAparam!$C$3/EchelleFPAparam!$E$3))*(SIN('Standard Settings'!$F22)+SIN('Standard Settings'!$F22+EchelleFPAparam!$M$3+EchelleFPAparam!$I$3*EchelleFPAparam!$B$6*COS(EchelleFPAparam!$AC$3)-(AT27-1024)*SIN(EchelleFPAparam!$AC$3)*EchelleFPAparam!$C$3/EchelleFPAparam!$E$3))</f>
        <v>4907.2952626590668</v>
      </c>
      <c r="DW27" s="26">
        <f>(EchelleFPAparam!$S$3/($U27+F$53)*COS((AU27-EchelleFPAparam!$AE23)*EchelleFPAparam!$C$3/EchelleFPAparam!$E$3))*(SIN('Standard Settings'!$F22)+SIN('Standard Settings'!$F22+EchelleFPAparam!$M$3+EchelleFPAparam!$I$3*EchelleFPAparam!$B$6*COS(EchelleFPAparam!$AC$3)-(AU27-1024)*SIN(EchelleFPAparam!$AC$3)*EchelleFPAparam!$C$3/EchelleFPAparam!$E$3))</f>
        <v>4529.9344754975382</v>
      </c>
      <c r="DX27" s="26">
        <f>(EchelleFPAparam!$S$3/($U27+G$53)*COS((AV27-EchelleFPAparam!$AE23)*EchelleFPAparam!$C$3/EchelleFPAparam!$E$3))*(SIN('Standard Settings'!$F22)+SIN('Standard Settings'!$F22+EchelleFPAparam!$M$3+EchelleFPAparam!$I$3*EchelleFPAparam!$B$6*COS(EchelleFPAparam!$AC$3)-(AV27-1024)*SIN(EchelleFPAparam!$AC$3)*EchelleFPAparam!$C$3/EchelleFPAparam!$E$3))</f>
        <v>4206.4104660122139</v>
      </c>
      <c r="DY27" s="26">
        <f>(EchelleFPAparam!$S$3/($U27+H$53)*COS((AW27-EchelleFPAparam!$AE23)*EchelleFPAparam!$C$3/EchelleFPAparam!$E$3))*(SIN('Standard Settings'!$F22)+SIN('Standard Settings'!$F22+EchelleFPAparam!$M$3+EchelleFPAparam!$I$3*EchelleFPAparam!$B$6*COS(EchelleFPAparam!$AC$3)-(AW27-1024)*SIN(EchelleFPAparam!$AC$3)*EchelleFPAparam!$C$3/EchelleFPAparam!$E$3))</f>
        <v>3925.9787324685826</v>
      </c>
      <c r="DZ27" s="26">
        <f>(EchelleFPAparam!$S$3/($U27+I$53)*COS((AX27-EchelleFPAparam!$AE23)*EchelleFPAparam!$C$3/EchelleFPAparam!$E$3))*(SIN('Standard Settings'!$F22)+SIN('Standard Settings'!$F22+EchelleFPAparam!$M$3+EchelleFPAparam!$I$3*EchelleFPAparam!$B$6*COS(EchelleFPAparam!$AC$3)-(AX27-1024)*SIN(EchelleFPAparam!$AC$3)*EchelleFPAparam!$C$3/EchelleFPAparam!$E$3))</f>
        <v>3680.57340894039</v>
      </c>
      <c r="EA27" s="26">
        <f>(EchelleFPAparam!$S$3/($U27+J$53)*COS((AY27-EchelleFPAparam!$AE23)*EchelleFPAparam!$C$3/EchelleFPAparam!$E$3))*(SIN('Standard Settings'!$F22)+SIN('Standard Settings'!$F22+EchelleFPAparam!$M$3+EchelleFPAparam!$I$3*EchelleFPAparam!$B$6*COS(EchelleFPAparam!$AC$3)-(AY27-1024)*SIN(EchelleFPAparam!$AC$3)*EchelleFPAparam!$C$3/EchelleFPAparam!$E$3))</f>
        <v>3464.0292343962738</v>
      </c>
      <c r="EB27" s="26">
        <f>(EchelleFPAparam!$S$3/($U27+K$53)*COS((AZ27-EchelleFPAparam!$AE23)*EchelleFPAparam!$C$3/EchelleFPAparam!$E$3))*(SIN('Standard Settings'!$F22)+SIN('Standard Settings'!$F22+EchelleFPAparam!$M$3+EchelleFPAparam!$I$3*EchelleFPAparam!$B$6*COS(EchelleFPAparam!$AC$3)-(AZ27-1024)*SIN(EchelleFPAparam!$AC$3)*EchelleFPAparam!$C$3/EchelleFPAparam!$E$3))</f>
        <v>3271.1129197189102</v>
      </c>
      <c r="EC27" s="26">
        <f>(EchelleFPAparam!$S$3/($U27+B$53)*COS((BA27-EchelleFPAparam!$AE23)*EchelleFPAparam!$C$3/EchelleFPAparam!$E$3))*(SIN('Standard Settings'!$F22)+SIN('Standard Settings'!$F22+EchelleFPAparam!$M$3+EchelleFPAparam!$J$3*EchelleFPAparam!$B$6*COS(EchelleFPAparam!$AC$3)-(BA27-1024)*SIN(EchelleFPAparam!$AC$3)*EchelleFPAparam!$C$3/EchelleFPAparam!$E$3))</f>
        <v>6544.5728911748947</v>
      </c>
      <c r="ED27" s="26">
        <f>(EchelleFPAparam!$S$3/($U27+C$53)*COS((BB27-EchelleFPAparam!$AE23)*EchelleFPAparam!$C$3/EchelleFPAparam!$E$3))*(SIN('Standard Settings'!$F22)+SIN('Standard Settings'!$F22+EchelleFPAparam!$M$3+EchelleFPAparam!$J$3*EchelleFPAparam!$B$6*COS(EchelleFPAparam!$AC$3)-(BB27-1024)*SIN(EchelleFPAparam!$AC$3)*EchelleFPAparam!$C$3/EchelleFPAparam!$E$3))</f>
        <v>5890.1156020574053</v>
      </c>
      <c r="EE27" s="26">
        <f>(EchelleFPAparam!$S$3/($U27+D$53)*COS((BC27-EchelleFPAparam!$AE23)*EchelleFPAparam!$C$3/EchelleFPAparam!$E$3))*(SIN('Standard Settings'!$F22)+SIN('Standard Settings'!$F22+EchelleFPAparam!$M$3+EchelleFPAparam!$J$3*EchelleFPAparam!$B$6*COS(EchelleFPAparam!$AC$3)-(BC27-1024)*SIN(EchelleFPAparam!$AC$3)*EchelleFPAparam!$C$3/EchelleFPAparam!$E$3))</f>
        <v>5355.0674138259619</v>
      </c>
      <c r="EF27" s="26">
        <f>(EchelleFPAparam!$S$3/($U27+E$53)*COS((BD27-EchelleFPAparam!$AE23)*EchelleFPAparam!$C$3/EchelleFPAparam!$E$3))*(SIN('Standard Settings'!$F22)+SIN('Standard Settings'!$F22+EchelleFPAparam!$M$3+EchelleFPAparam!$J$3*EchelleFPAparam!$B$6*COS(EchelleFPAparam!$AC$3)-(BD27-1024)*SIN(EchelleFPAparam!$AC$3)*EchelleFPAparam!$C$3/EchelleFPAparam!$E$3))</f>
        <v>4909.0680896049034</v>
      </c>
      <c r="EG27" s="26">
        <f>(EchelleFPAparam!$S$3/($U27+F$53)*COS((BE27-EchelleFPAparam!$AE23)*EchelleFPAparam!$C$3/EchelleFPAparam!$E$3))*(SIN('Standard Settings'!$F22)+SIN('Standard Settings'!$F22+EchelleFPAparam!$M$3+EchelleFPAparam!$J$3*EchelleFPAparam!$B$6*COS(EchelleFPAparam!$AC$3)-(BE27-1024)*SIN(EchelleFPAparam!$AC$3)*EchelleFPAparam!$C$3/EchelleFPAparam!$E$3))</f>
        <v>4531.5652209899245</v>
      </c>
      <c r="EH27" s="26">
        <f>(EchelleFPAparam!$S$3/($U27+G$53)*COS((BF27-EchelleFPAparam!$AE23)*EchelleFPAparam!$C$3/EchelleFPAparam!$E$3))*(SIN('Standard Settings'!$F22)+SIN('Standard Settings'!$F22+EchelleFPAparam!$M$3+EchelleFPAparam!$J$3*EchelleFPAparam!$B$6*COS(EchelleFPAparam!$AC$3)-(BF27-1024)*SIN(EchelleFPAparam!$AC$3)*EchelleFPAparam!$C$3/EchelleFPAparam!$E$3))</f>
        <v>4207.9192327012643</v>
      </c>
      <c r="EI27" s="26">
        <f>(EchelleFPAparam!$S$3/($U27+H$53)*COS((BG27-EchelleFPAparam!$AE23)*EchelleFPAparam!$C$3/EchelleFPAparam!$E$3))*(SIN('Standard Settings'!$F22)+SIN('Standard Settings'!$F22+EchelleFPAparam!$M$3+EchelleFPAparam!$J$3*EchelleFPAparam!$B$6*COS(EchelleFPAparam!$AC$3)-(BG27-1024)*SIN(EchelleFPAparam!$AC$3)*EchelleFPAparam!$C$3/EchelleFPAparam!$E$3))</f>
        <v>3927.382240208673</v>
      </c>
      <c r="EJ27" s="26">
        <f>(EchelleFPAparam!$S$3/($U27+I$53)*COS((BH27-EchelleFPAparam!$AE23)*EchelleFPAparam!$C$3/EchelleFPAparam!$E$3))*(SIN('Standard Settings'!$F22)+SIN('Standard Settings'!$F22+EchelleFPAparam!$M$3+EchelleFPAparam!$J$3*EchelleFPAparam!$B$6*COS(EchelleFPAparam!$AC$3)-(BH27-1024)*SIN(EchelleFPAparam!$AC$3)*EchelleFPAparam!$C$3/EchelleFPAparam!$E$3))</f>
        <v>3681.8848377726285</v>
      </c>
      <c r="EK27" s="26">
        <f>(EchelleFPAparam!$S$3/($U27+J$53)*COS((BI27-EchelleFPAparam!$AE23)*EchelleFPAparam!$C$3/EchelleFPAparam!$E$3))*(SIN('Standard Settings'!$F22)+SIN('Standard Settings'!$F22+EchelleFPAparam!$M$3+EchelleFPAparam!$J$3*EchelleFPAparam!$B$6*COS(EchelleFPAparam!$AC$3)-(BI27-1024)*SIN(EchelleFPAparam!$AC$3)*EchelleFPAparam!$C$3/EchelleFPAparam!$E$3))</f>
        <v>3465.2663251013746</v>
      </c>
      <c r="EL27" s="26">
        <f>(EchelleFPAparam!$S$3/($U27+K$53)*COS((BJ27-EchelleFPAparam!$AE23)*EchelleFPAparam!$C$3/EchelleFPAparam!$E$3))*(SIN('Standard Settings'!$F22)+SIN('Standard Settings'!$F22+EchelleFPAparam!$M$3+EchelleFPAparam!$J$3*EchelleFPAparam!$B$6*COS(EchelleFPAparam!$AC$3)-(BJ27-1024)*SIN(EchelleFPAparam!$AC$3)*EchelleFPAparam!$C$3/EchelleFPAparam!$E$3))</f>
        <v>3272.2864455874474</v>
      </c>
      <c r="EM27" s="26">
        <f>(EchelleFPAparam!$S$3/($U27+B$53)*COS((BA27-EchelleFPAparam!$AE23)*EchelleFPAparam!$C$3/EchelleFPAparam!$E$3))*(SIN('Standard Settings'!$F22)+SIN('Standard Settings'!$F22+EchelleFPAparam!$M$3+EchelleFPAparam!$K$3*EchelleFPAparam!$B$6*COS(EchelleFPAparam!$AC$3)-(BA27-1024)*SIN(EchelleFPAparam!$AC$3)*EchelleFPAparam!$C$3/EchelleFPAparam!$E$3))</f>
        <v>6575.9199904354391</v>
      </c>
      <c r="EN27" s="26">
        <f>(EchelleFPAparam!$S$3/($U27+C$53)*COS((BB27-EchelleFPAparam!$AE23)*EchelleFPAparam!$C$3/EchelleFPAparam!$E$3))*(SIN('Standard Settings'!$F22)+SIN('Standard Settings'!$F22+EchelleFPAparam!$M$3+EchelleFPAparam!$K$3*EchelleFPAparam!$B$6*COS(EchelleFPAparam!$AC$3)-(BB27-1024)*SIN(EchelleFPAparam!$AC$3)*EchelleFPAparam!$C$3/EchelleFPAparam!$E$3))</f>
        <v>5918.3279913918959</v>
      </c>
      <c r="EO27" s="26">
        <f>(EchelleFPAparam!$S$3/($U27+D$53)*COS((BC27-EchelleFPAparam!$AE23)*EchelleFPAparam!$C$3/EchelleFPAparam!$E$3))*(SIN('Standard Settings'!$F22)+SIN('Standard Settings'!$F22+EchelleFPAparam!$M$3+EchelleFPAparam!$K$3*EchelleFPAparam!$B$6*COS(EchelleFPAparam!$AC$3)-(BC27-1024)*SIN(EchelleFPAparam!$AC$3)*EchelleFPAparam!$C$3/EchelleFPAparam!$E$3))</f>
        <v>5380.7086382116931</v>
      </c>
      <c r="EP27" s="26">
        <f>(EchelleFPAparam!$S$3/($U27+E$53)*COS((BD27-EchelleFPAparam!$AE23)*EchelleFPAparam!$C$3/EchelleFPAparam!$E$3))*(SIN('Standard Settings'!$F22)+SIN('Standard Settings'!$F22+EchelleFPAparam!$M$3+EchelleFPAparam!$K$3*EchelleFPAparam!$B$6*COS(EchelleFPAparam!$AC$3)-(BD27-1024)*SIN(EchelleFPAparam!$AC$3)*EchelleFPAparam!$C$3/EchelleFPAparam!$E$3))</f>
        <v>4932.5662683366054</v>
      </c>
      <c r="EQ27" s="26">
        <f>(EchelleFPAparam!$S$3/($U27+F$53)*COS((BE27-EchelleFPAparam!$AE23)*EchelleFPAparam!$C$3/EchelleFPAparam!$E$3))*(SIN('Standard Settings'!$F22)+SIN('Standard Settings'!$F22+EchelleFPAparam!$M$3+EchelleFPAparam!$K$3*EchelleFPAparam!$B$6*COS(EchelleFPAparam!$AC$3)-(BE27-1024)*SIN(EchelleFPAparam!$AC$3)*EchelleFPAparam!$C$3/EchelleFPAparam!$E$3))</f>
        <v>4553.2505317373934</v>
      </c>
      <c r="ER27" s="26">
        <f>(EchelleFPAparam!$S$3/($U27+G$53)*COS((BF27-EchelleFPAparam!$AE23)*EchelleFPAparam!$C$3/EchelleFPAparam!$E$3))*(SIN('Standard Settings'!$F22)+SIN('Standard Settings'!$F22+EchelleFPAparam!$M$3+EchelleFPAparam!$K$3*EchelleFPAparam!$B$6*COS(EchelleFPAparam!$AC$3)-(BF27-1024)*SIN(EchelleFPAparam!$AC$3)*EchelleFPAparam!$C$3/EchelleFPAparam!$E$3))</f>
        <v>4228.0511390410438</v>
      </c>
      <c r="ES27" s="26">
        <f>(EchelleFPAparam!$S$3/($U27+H$53)*COS((BG27-EchelleFPAparam!$AE23)*EchelleFPAparam!$C$3/EchelleFPAparam!$E$3))*(SIN('Standard Settings'!$F22)+SIN('Standard Settings'!$F22+EchelleFPAparam!$M$3+EchelleFPAparam!$K$3*EchelleFPAparam!$B$6*COS(EchelleFPAparam!$AC$3)-(BG27-1024)*SIN(EchelleFPAparam!$AC$3)*EchelleFPAparam!$C$3/EchelleFPAparam!$E$3))</f>
        <v>3946.1681336152742</v>
      </c>
      <c r="ET27" s="26">
        <f>(EchelleFPAparam!$S$3/($U27+I$53)*COS((BH27-EchelleFPAparam!$AE23)*EchelleFPAparam!$C$3/EchelleFPAparam!$E$3))*(SIN('Standard Settings'!$F22)+SIN('Standard Settings'!$F22+EchelleFPAparam!$M$3+EchelleFPAparam!$K$3*EchelleFPAparam!$B$6*COS(EchelleFPAparam!$AC$3)-(BH27-1024)*SIN(EchelleFPAparam!$AC$3)*EchelleFPAparam!$C$3/EchelleFPAparam!$E$3))</f>
        <v>3699.4933085395769</v>
      </c>
      <c r="EU27" s="26">
        <f>(EchelleFPAparam!$S$3/($U27+J$53)*COS((BI27-EchelleFPAparam!$AE23)*EchelleFPAparam!$C$3/EchelleFPAparam!$E$3))*(SIN('Standard Settings'!$F22)+SIN('Standard Settings'!$F22+EchelleFPAparam!$M$3+EchelleFPAparam!$K$3*EchelleFPAparam!$B$6*COS(EchelleFPAparam!$AC$3)-(BI27-1024)*SIN(EchelleFPAparam!$AC$3)*EchelleFPAparam!$C$3/EchelleFPAparam!$E$3))</f>
        <v>3481.8368366200948</v>
      </c>
      <c r="EV27" s="26">
        <f>(EchelleFPAparam!$S$3/($U27+K$53)*COS((BJ27-EchelleFPAparam!$AE23)*EchelleFPAparam!$C$3/EchelleFPAparam!$E$3))*(SIN('Standard Settings'!$F22)+SIN('Standard Settings'!$F22+EchelleFPAparam!$M$3+EchelleFPAparam!$K$3*EchelleFPAparam!$B$6*COS(EchelleFPAparam!$AC$3)-(BJ27-1024)*SIN(EchelleFPAparam!$AC$3)*EchelleFPAparam!$C$3/EchelleFPAparam!$E$3))</f>
        <v>3287.9599952177196</v>
      </c>
      <c r="EW27" s="60">
        <f t="shared" si="40"/>
        <v>3640.4520331656986</v>
      </c>
      <c r="EX27" s="60">
        <f t="shared" si="41"/>
        <v>5918.3279913918959</v>
      </c>
      <c r="EY27" s="90">
        <v>0.39</v>
      </c>
      <c r="EZ27" s="90">
        <v>0.36</v>
      </c>
      <c r="FA27" s="50">
        <v>30000</v>
      </c>
      <c r="FB27" s="95">
        <v>1000</v>
      </c>
      <c r="FC27" s="95">
        <v>1000</v>
      </c>
      <c r="FD27" s="50">
        <v>1900</v>
      </c>
      <c r="FE27" s="50">
        <v>2000</v>
      </c>
      <c r="FF27" s="50">
        <v>5000</v>
      </c>
      <c r="FG27" s="95">
        <v>1000</v>
      </c>
      <c r="FH27" s="95">
        <f t="shared" si="27"/>
        <v>250</v>
      </c>
      <c r="FI27" s="95">
        <f t="shared" si="28"/>
        <v>250</v>
      </c>
      <c r="FJ27" s="50">
        <f t="shared" si="29"/>
        <v>475</v>
      </c>
      <c r="FK27" s="50">
        <f t="shared" si="30"/>
        <v>500</v>
      </c>
      <c r="FL27" s="50">
        <f t="shared" si="31"/>
        <v>1250</v>
      </c>
      <c r="FM27" s="95">
        <f t="shared" si="32"/>
        <v>250</v>
      </c>
      <c r="FN27" s="50">
        <v>500</v>
      </c>
      <c r="FO27" s="91">
        <f>1/(F27*EchelleFPAparam!$Q$3)</f>
        <v>-3429.4556507867783</v>
      </c>
      <c r="FP27" s="91">
        <f t="shared" si="22"/>
        <v>-38.758938204974747</v>
      </c>
      <c r="FQ27" s="50">
        <v>-999999</v>
      </c>
      <c r="FR27" s="50">
        <v>-999999</v>
      </c>
      <c r="FS27" s="90">
        <v>1</v>
      </c>
      <c r="FT27" s="90">
        <v>909.79100000000005</v>
      </c>
      <c r="FU27" s="90">
        <v>1785.672</v>
      </c>
      <c r="FV27" s="50">
        <v>-999999</v>
      </c>
      <c r="FW27" s="50">
        <v>-999999</v>
      </c>
      <c r="FX27" s="50">
        <v>-999999</v>
      </c>
      <c r="FY27" s="90">
        <v>2</v>
      </c>
      <c r="FZ27" s="90">
        <v>953.57</v>
      </c>
      <c r="GA27" s="90">
        <v>1050.337</v>
      </c>
      <c r="GB27" s="50">
        <v>-999999</v>
      </c>
      <c r="GC27" s="50">
        <v>-999999</v>
      </c>
      <c r="GD27" s="50">
        <v>-999999</v>
      </c>
      <c r="GE27" s="50">
        <v>-999999</v>
      </c>
      <c r="GF27" s="50">
        <v>-999999</v>
      </c>
      <c r="GG27" s="50">
        <v>-999999</v>
      </c>
      <c r="GH27" s="50">
        <v>-999999</v>
      </c>
      <c r="GI27" s="50">
        <v>-999999</v>
      </c>
      <c r="GJ27" s="50">
        <v>-999999</v>
      </c>
      <c r="GK27" s="50">
        <v>-999999</v>
      </c>
      <c r="GL27" s="50">
        <v>-999999</v>
      </c>
      <c r="GM27" s="50">
        <v>-999999</v>
      </c>
      <c r="GN27" s="50">
        <v>-999999</v>
      </c>
      <c r="GO27" s="50">
        <v>-999999</v>
      </c>
      <c r="GP27" s="50">
        <v>-999999</v>
      </c>
      <c r="GQ27" s="50">
        <v>-999999</v>
      </c>
      <c r="GR27" s="50">
        <v>-999999</v>
      </c>
      <c r="GS27" s="50">
        <v>-999999</v>
      </c>
      <c r="GT27" s="50">
        <v>-999999</v>
      </c>
      <c r="GU27" s="50">
        <v>-999999</v>
      </c>
      <c r="GV27" s="50">
        <v>-999999</v>
      </c>
      <c r="GW27" s="50">
        <v>-999999</v>
      </c>
      <c r="GX27" s="50">
        <v>-999999</v>
      </c>
      <c r="GY27" s="50">
        <v>-999999</v>
      </c>
      <c r="GZ27" s="50">
        <v>-999999</v>
      </c>
      <c r="HA27" s="50">
        <v>-999999</v>
      </c>
      <c r="HB27" s="50">
        <v>-999999</v>
      </c>
      <c r="HC27" s="50">
        <v>-999999</v>
      </c>
      <c r="HD27" s="50">
        <v>-999999</v>
      </c>
      <c r="HE27" s="50">
        <v>-999999</v>
      </c>
      <c r="HF27" s="50">
        <v>-999999</v>
      </c>
      <c r="HG27" s="50">
        <v>-999999</v>
      </c>
      <c r="HH27" s="50">
        <v>-999999</v>
      </c>
      <c r="HI27" s="50">
        <v>-999999</v>
      </c>
      <c r="HJ27" s="50">
        <v>-999999</v>
      </c>
      <c r="HK27" s="50">
        <v>-999999</v>
      </c>
      <c r="HL27" s="50">
        <v>-999999</v>
      </c>
      <c r="HM27" s="50">
        <v>-999999</v>
      </c>
      <c r="HN27" s="50">
        <v>-999999</v>
      </c>
      <c r="HO27" s="50">
        <v>-999999</v>
      </c>
      <c r="HP27" s="50">
        <v>-999999</v>
      </c>
      <c r="HQ27" s="50">
        <v>-999999</v>
      </c>
      <c r="HR27" s="50">
        <v>-999999</v>
      </c>
      <c r="HS27" s="50">
        <v>-999999</v>
      </c>
      <c r="HT27" s="50">
        <v>-999999</v>
      </c>
      <c r="HU27" s="50">
        <v>-999999</v>
      </c>
      <c r="HV27" s="50">
        <v>-999999</v>
      </c>
      <c r="HW27" s="50">
        <v>-999999</v>
      </c>
      <c r="HX27" s="50">
        <v>-999999</v>
      </c>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2">
        <f t="shared" si="23"/>
        <v>2708.7139509653744</v>
      </c>
      <c r="JX27" s="27">
        <f t="shared" si="24"/>
        <v>399806.8356535809</v>
      </c>
      <c r="JY27" s="107">
        <f>JW27*EchelleFPAparam!$Q$3</f>
        <v>-2.580050038294519E-2</v>
      </c>
      <c r="KA27" s="19"/>
      <c r="KB27" s="19"/>
      <c r="KC27" s="19"/>
      <c r="KD27" s="19"/>
      <c r="KE27" s="19"/>
      <c r="KF27" s="19"/>
      <c r="KG27" s="19"/>
      <c r="KH27" s="19"/>
      <c r="KI27" s="19"/>
      <c r="KJ27" s="19"/>
      <c r="KK27" s="19"/>
      <c r="KL27" s="19"/>
      <c r="KM27" s="19"/>
      <c r="KW27" s="19"/>
      <c r="KX27" s="19"/>
      <c r="KY27" s="19"/>
      <c r="KZ27" s="19"/>
      <c r="LA27" s="19"/>
      <c r="LB27" s="19"/>
      <c r="LC27" s="19"/>
      <c r="LD27" s="19"/>
      <c r="LE27" s="19"/>
      <c r="LF27" s="19"/>
    </row>
    <row r="28" spans="1:318" x14ac:dyDescent="0.2">
      <c r="A28" s="53">
        <f t="shared" si="35"/>
        <v>22</v>
      </c>
      <c r="B28" s="96">
        <f t="shared" si="0"/>
        <v>4504.0894029035544</v>
      </c>
      <c r="C28" s="27" t="str">
        <f>'Standard Settings'!B23</f>
        <v>M/2/9</v>
      </c>
      <c r="D28" s="27">
        <f>'Standard Settings'!H23</f>
        <v>13</v>
      </c>
      <c r="E28" s="19">
        <f t="shared" si="1"/>
        <v>1.1520091922909259E-2</v>
      </c>
      <c r="F28" s="18">
        <f>((EchelleFPAparam!$S$3/('crmcfgWLEN.txt'!$U28+F$53))*(SIN('Standard Settings'!$F23+0.0005)+SIN('Standard Settings'!$F23+0.0005+EchelleFPAparam!$M$3))-(EchelleFPAparam!$S$3/('crmcfgWLEN.txt'!$U28+F$53))*(SIN('Standard Settings'!$F23-0.0005)+SIN('Standard Settings'!$F23-0.0005+EchelleFPAparam!$M$3)))*1000*EchelleFPAparam!$O$3/180</f>
        <v>31.254665054524772</v>
      </c>
      <c r="G28" s="20" t="str">
        <f>'Standard Settings'!C23</f>
        <v>M</v>
      </c>
      <c r="H28" s="46"/>
      <c r="I28" s="59" t="s">
        <v>361</v>
      </c>
      <c r="J28" s="57"/>
      <c r="K28" s="27" t="str">
        <f>'Standard Settings'!$D23</f>
        <v>LM</v>
      </c>
      <c r="L28" s="46"/>
      <c r="M28" s="12">
        <v>2.5</v>
      </c>
      <c r="N28" s="12">
        <v>2.5</v>
      </c>
      <c r="O28" s="47" t="s">
        <v>384</v>
      </c>
      <c r="P28" s="47" t="s">
        <v>384</v>
      </c>
      <c r="Q28" s="27">
        <f>'Standard Settings'!$E23</f>
        <v>69.921450000000007</v>
      </c>
      <c r="R28" s="106">
        <f>'Standard Settings'!$J23</f>
        <v>50000</v>
      </c>
      <c r="S28" s="21">
        <f>'Standard Settings'!$G23</f>
        <v>10</v>
      </c>
      <c r="T28" s="21">
        <f>'Standard Settings'!$I23</f>
        <v>16</v>
      </c>
      <c r="U28" s="22">
        <f t="shared" si="25"/>
        <v>9</v>
      </c>
      <c r="V28" s="22">
        <f t="shared" si="26"/>
        <v>18</v>
      </c>
      <c r="W28" s="23">
        <f>IF(AND($U28-$S28+B$53&gt;=0,$U28-$T28+B$53&lt;=0),(EchelleFPAparam!$S$3/('crmcfgWLEN.txt'!$U28+B$53))*(SIN('Standard Settings'!$F23)+SIN('Standard Settings'!$F23+EchelleFPAparam!$M$3)),-1)</f>
        <v>-1</v>
      </c>
      <c r="X28" s="23">
        <f>IF(AND($U28-$S28+C$53&gt;=0,$U28-$T28+C$53&lt;=0),(EchelleFPAparam!$S$3/('crmcfgWLEN.txt'!$U28+C$53))*(SIN('Standard Settings'!$F23)+SIN('Standard Settings'!$F23+EchelleFPAparam!$M$3)),-1)</f>
        <v>5855.316223774621</v>
      </c>
      <c r="Y28" s="23">
        <f>IF(AND($U28-$S28+D$53&gt;=0,$U28-$T28+D$53&lt;=0),(EchelleFPAparam!$S$3/('crmcfgWLEN.txt'!$U28+D$53))*(SIN('Standard Settings'!$F23)+SIN('Standard Settings'!$F23+EchelleFPAparam!$M$3)),-1)</f>
        <v>5323.0147488860193</v>
      </c>
      <c r="Z28" s="23">
        <f>IF(AND($U28-$S28+E$53&gt;=0,$U28-$T28+E$53&lt;=0),(EchelleFPAparam!$S$3/('crmcfgWLEN.txt'!$U28+E$53))*(SIN('Standard Settings'!$F23)+SIN('Standard Settings'!$F23+EchelleFPAparam!$M$3)),-1)</f>
        <v>4879.4301864788513</v>
      </c>
      <c r="AA28" s="23">
        <f>IF(AND($U28-$S28+F$53&gt;=0,$U28-$T28+F$53&lt;=0),(EchelleFPAparam!$S$3/('crmcfgWLEN.txt'!$U28+F$53))*(SIN('Standard Settings'!$F23)+SIN('Standard Settings'!$F23+EchelleFPAparam!$M$3)),-1)</f>
        <v>4504.0894029035544</v>
      </c>
      <c r="AB28" s="23">
        <f>IF(AND($U28-$S28+G$53&gt;=0,$U28-$T28+G$53&lt;=0),(EchelleFPAparam!$S$3/('crmcfgWLEN.txt'!$U28+G$53))*(SIN('Standard Settings'!$F23)+SIN('Standard Settings'!$F23+EchelleFPAparam!$M$3)),-1)</f>
        <v>4182.3687312675866</v>
      </c>
      <c r="AC28" s="23">
        <f>IF(AND($U28-$S28+H$53&gt;=0,$U28-$T28+H$53&lt;=0),(EchelleFPAparam!$S$3/('crmcfgWLEN.txt'!$U28+H$53))*(SIN('Standard Settings'!$F23)+SIN('Standard Settings'!$F23+EchelleFPAparam!$M$3)),-1)</f>
        <v>3903.5441491830802</v>
      </c>
      <c r="AD28" s="23">
        <f>IF(AND($U28-$S28+I$53&gt;=0,$U28-$T28+I$53&lt;=0),(EchelleFPAparam!$S$3/('crmcfgWLEN.txt'!$U28+I$53))*(SIN('Standard Settings'!$F23)+SIN('Standard Settings'!$F23+EchelleFPAparam!$M$3)),-1)</f>
        <v>3659.5726398591382</v>
      </c>
      <c r="AE28" s="23">
        <f>IF(AND($U28-$S28+J$53&gt;=0,$U28-$T28+J$53&lt;=0),(EchelleFPAparam!$S$3/('crmcfgWLEN.txt'!$U28+J$53))*(SIN('Standard Settings'!$F23)+SIN('Standard Settings'!$F23+EchelleFPAparam!$M$3)),-1)</f>
        <v>-1</v>
      </c>
      <c r="AF28" s="23">
        <f>IF(AND($U28-$S28+K$53&gt;=0,$U28-$T28+K$53&lt;=0),(EchelleFPAparam!$S$3/('crmcfgWLEN.txt'!$U28+K$53))*(SIN('Standard Settings'!$F23)+SIN('Standard Settings'!$F23+EchelleFPAparam!$M$3)),-1)</f>
        <v>-1</v>
      </c>
      <c r="AG28" s="159">
        <v>-100.1</v>
      </c>
      <c r="AH28" s="159">
        <v>-100.1</v>
      </c>
      <c r="AI28" s="157">
        <v>284.44803617010001</v>
      </c>
      <c r="AJ28" s="157">
        <v>684.71953608771696</v>
      </c>
      <c r="AK28" s="157">
        <v>1024.1864502195399</v>
      </c>
      <c r="AL28" s="157">
        <v>1315.7805552500899</v>
      </c>
      <c r="AM28" s="157">
        <v>1569.05798878216</v>
      </c>
      <c r="AN28" s="157">
        <v>1791.4383923272801</v>
      </c>
      <c r="AO28" s="159">
        <v>-100.1</v>
      </c>
      <c r="AP28" s="159">
        <v>-100.1</v>
      </c>
      <c r="AQ28" s="160">
        <v>-100.1</v>
      </c>
      <c r="AR28" s="160">
        <v>-100.1</v>
      </c>
      <c r="AS28" s="157">
        <v>309.354517381025</v>
      </c>
      <c r="AT28" s="157">
        <v>711.70284240323497</v>
      </c>
      <c r="AU28" s="157">
        <v>1052.92629190497</v>
      </c>
      <c r="AV28" s="157">
        <v>1345.9386133493999</v>
      </c>
      <c r="AW28" s="157">
        <v>1600.51480207388</v>
      </c>
      <c r="AX28" s="157">
        <v>1823.9296275992899</v>
      </c>
      <c r="AY28" s="160">
        <v>-100.1</v>
      </c>
      <c r="AZ28" s="160">
        <v>-100.1</v>
      </c>
      <c r="BA28" s="161">
        <v>-100.1</v>
      </c>
      <c r="BB28" s="161">
        <v>-100.1</v>
      </c>
      <c r="BC28" s="157">
        <v>333.59061794221401</v>
      </c>
      <c r="BD28" s="157">
        <v>738.186879356188</v>
      </c>
      <c r="BE28" s="157">
        <v>1081.5650709722199</v>
      </c>
      <c r="BF28" s="157">
        <v>1375.6037391919399</v>
      </c>
      <c r="BG28" s="157">
        <v>1632.1477962414699</v>
      </c>
      <c r="BH28" s="157">
        <v>1857.0514490058699</v>
      </c>
      <c r="BI28" s="161">
        <v>-100.1</v>
      </c>
      <c r="BJ28" s="161">
        <v>-100.1</v>
      </c>
      <c r="BK28" s="24">
        <f>EchelleFPAparam!$S$3/('crmcfgWLEN.txt'!$U28+B$53)*(SIN(EchelleFPAparam!$T$3-EchelleFPAparam!$M$3/2)+SIN('Standard Settings'!$F23+EchelleFPAparam!$M$3))</f>
        <v>6399.9640348338453</v>
      </c>
      <c r="BL28" s="24">
        <f>EchelleFPAparam!$S$3/('crmcfgWLEN.txt'!$U28+C$53)*(SIN(EchelleFPAparam!$T$3-EchelleFPAparam!$M$3/2)+SIN('Standard Settings'!$F23+EchelleFPAparam!$M$3))</f>
        <v>5759.9676313504615</v>
      </c>
      <c r="BM28" s="24">
        <f>EchelleFPAparam!$S$3/('crmcfgWLEN.txt'!$U28+D$53)*(SIN(EchelleFPAparam!$T$3-EchelleFPAparam!$M$3/2)+SIN('Standard Settings'!$F23+EchelleFPAparam!$M$3))</f>
        <v>5236.3342103186014</v>
      </c>
      <c r="BN28" s="24">
        <f>EchelleFPAparam!$S$3/('crmcfgWLEN.txt'!$U28+E$53)*(SIN(EchelleFPAparam!$T$3-EchelleFPAparam!$M$3/2)+SIN('Standard Settings'!$F23+EchelleFPAparam!$M$3))</f>
        <v>4799.9730261253844</v>
      </c>
      <c r="BO28" s="24">
        <f>EchelleFPAparam!$S$3/('crmcfgWLEN.txt'!$U28+F$53)*(SIN(EchelleFPAparam!$T$3-EchelleFPAparam!$M$3/2)+SIN('Standard Settings'!$F23+EchelleFPAparam!$M$3))</f>
        <v>4430.7443318080468</v>
      </c>
      <c r="BP28" s="24">
        <f>EchelleFPAparam!$S$3/('crmcfgWLEN.txt'!$U28+G$53)*(SIN(EchelleFPAparam!$T$3-EchelleFPAparam!$M$3/2)+SIN('Standard Settings'!$F23+EchelleFPAparam!$M$3))</f>
        <v>4114.2625938217579</v>
      </c>
      <c r="BQ28" s="24">
        <f>EchelleFPAparam!$S$3/('crmcfgWLEN.txt'!$U28+H$53)*(SIN(EchelleFPAparam!$T$3-EchelleFPAparam!$M$3/2)+SIN('Standard Settings'!$F23+EchelleFPAparam!$M$3))</f>
        <v>3839.9784209003069</v>
      </c>
      <c r="BR28" s="24">
        <f>EchelleFPAparam!$S$3/('crmcfgWLEN.txt'!$U28+I$53)*(SIN(EchelleFPAparam!$T$3-EchelleFPAparam!$M$3/2)+SIN('Standard Settings'!$F23+EchelleFPAparam!$M$3))</f>
        <v>3599.9797695940379</v>
      </c>
      <c r="BS28" s="24">
        <f>EchelleFPAparam!$S$3/('crmcfgWLEN.txt'!$U28+J$53)*(SIN(EchelleFPAparam!$T$3-EchelleFPAparam!$M$3/2)+SIN('Standard Settings'!$F23+EchelleFPAparam!$M$3))</f>
        <v>3388.2162537355653</v>
      </c>
      <c r="BT28" s="24">
        <f>EchelleFPAparam!$S$3/('crmcfgWLEN.txt'!$U28+K$53)*(SIN(EchelleFPAparam!$T$3-EchelleFPAparam!$M$3/2)+SIN('Standard Settings'!$F23+EchelleFPAparam!$M$3))</f>
        <v>3199.9820174169226</v>
      </c>
      <c r="BU28" s="25">
        <f t="shared" si="33"/>
        <v>6162.9283298399987</v>
      </c>
      <c r="BV28" s="25">
        <f t="shared" si="2"/>
        <v>5561.3480578556182</v>
      </c>
      <c r="BW28" s="25">
        <f t="shared" si="3"/>
        <v>5067.4202035341305</v>
      </c>
      <c r="BX28" s="25">
        <f t="shared" si="4"/>
        <v>4654.5192980609791</v>
      </c>
      <c r="BY28" s="25">
        <f t="shared" si="5"/>
        <v>4304.1516366135311</v>
      </c>
      <c r="BZ28" s="25">
        <f t="shared" si="6"/>
        <v>4003.0663075022512</v>
      </c>
      <c r="CA28" s="25">
        <f t="shared" si="7"/>
        <v>3741.5174357490168</v>
      </c>
      <c r="CB28" s="25">
        <f t="shared" si="8"/>
        <v>3512.175384969793</v>
      </c>
      <c r="CC28" s="25">
        <f t="shared" si="9"/>
        <v>3309.4205269045056</v>
      </c>
      <c r="CD28" s="25">
        <f t="shared" si="10"/>
        <v>3128.8713059187685</v>
      </c>
      <c r="CE28" s="25">
        <f t="shared" si="34"/>
        <v>6655.9625962271994</v>
      </c>
      <c r="CF28" s="25">
        <f t="shared" si="11"/>
        <v>5973.2997658449231</v>
      </c>
      <c r="CG28" s="25">
        <f t="shared" si="12"/>
        <v>5416.8974589502777</v>
      </c>
      <c r="CH28" s="25">
        <f t="shared" si="13"/>
        <v>4954.8108656778159</v>
      </c>
      <c r="CI28" s="25">
        <f t="shared" si="14"/>
        <v>4565.0093115598056</v>
      </c>
      <c r="CJ28" s="25">
        <f t="shared" si="15"/>
        <v>4231.8129536452361</v>
      </c>
      <c r="CK28" s="25">
        <f t="shared" si="16"/>
        <v>3943.7616214651798</v>
      </c>
      <c r="CL28" s="25">
        <f t="shared" si="17"/>
        <v>3692.286943173372</v>
      </c>
      <c r="CM28" s="25">
        <f t="shared" si="18"/>
        <v>3470.8556745583842</v>
      </c>
      <c r="CN28" s="25">
        <f t="shared" si="19"/>
        <v>3274.4002038684789</v>
      </c>
      <c r="CO28" s="26">
        <f>(EchelleFPAparam!$S$3/($U28+B$53)*COS((AG28-EchelleFPAparam!$AE24)*EchelleFPAparam!$C$3/EchelleFPAparam!$E$3))*(SIN('Standard Settings'!$F23)+SIN('Standard Settings'!$F23+EchelleFPAparam!$M$3+(EchelleFPAparam!$F$3*EchelleFPAparam!$B$6)*COS(EchelleFPAparam!$AC$3)-(AG28-1024)*SIN(EchelleFPAparam!$AC$3)*EchelleFPAparam!$C$3/EchelleFPAparam!$E$3))</f>
        <v>6448.9368855674084</v>
      </c>
      <c r="CP28" s="26">
        <f>(EchelleFPAparam!$S$3/($U28+C$53)*COS((AH28-EchelleFPAparam!$AE24)*EchelleFPAparam!$C$3/EchelleFPAparam!$E$3))*(SIN('Standard Settings'!$F23)+SIN('Standard Settings'!$F23+EchelleFPAparam!$M$3+(EchelleFPAparam!$F$3*EchelleFPAparam!$B$6)*COS(EchelleFPAparam!$AC$3)-(AH28-1024)*SIN(EchelleFPAparam!$AC$3)*EchelleFPAparam!$C$3/EchelleFPAparam!$E$3))</f>
        <v>5804.0431970106674</v>
      </c>
      <c r="CQ28" s="26">
        <f>(EchelleFPAparam!$S$3/($U28+D$53)*COS((AI28-EchelleFPAparam!$AE24)*EchelleFPAparam!$C$3/EchelleFPAparam!$E$3))*(SIN('Standard Settings'!$F23)+SIN('Standard Settings'!$F23+EchelleFPAparam!$M$3+(EchelleFPAparam!$F$3*EchelleFPAparam!$B$6)*COS(EchelleFPAparam!$AC$3)-(AI28-1024)*SIN(EchelleFPAparam!$AC$3)*EchelleFPAparam!$C$3/EchelleFPAparam!$E$3))</f>
        <v>5276.8059679329826</v>
      </c>
      <c r="CR28" s="26">
        <f>(EchelleFPAparam!$S$3/($U28+E$53)*COS((AJ28-EchelleFPAparam!$AE24)*EchelleFPAparam!$C$3/EchelleFPAparam!$E$3))*(SIN('Standard Settings'!$F23)+SIN('Standard Settings'!$F23+EchelleFPAparam!$M$3+(EchelleFPAparam!$F$3*EchelleFPAparam!$B$6)*COS(EchelleFPAparam!$AC$3)-(AJ28-1024)*SIN(EchelleFPAparam!$AC$3)*EchelleFPAparam!$C$3/EchelleFPAparam!$E$3))</f>
        <v>4837.3490220198473</v>
      </c>
      <c r="CS28" s="26">
        <f>(EchelleFPAparam!$S$3/($U28+F$53)*COS((AK28-EchelleFPAparam!$AE24)*EchelleFPAparam!$C$3/EchelleFPAparam!$E$3))*(SIN('Standard Settings'!$F23)+SIN('Standard Settings'!$F23+EchelleFPAparam!$M$3+(EchelleFPAparam!$F$3*EchelleFPAparam!$B$6)*COS(EchelleFPAparam!$AC$3)-(AK28-1024)*SIN(EchelleFPAparam!$AC$3)*EchelleFPAparam!$C$3/EchelleFPAparam!$E$3))</f>
        <v>4465.3825362013349</v>
      </c>
      <c r="CT28" s="26">
        <f>(EchelleFPAparam!$S$3/($U28+G$53)*COS((AL28-EchelleFPAparam!$AE24)*EchelleFPAparam!$C$3/EchelleFPAparam!$E$3))*(SIN('Standard Settings'!$F23)+SIN('Standard Settings'!$F23+EchelleFPAparam!$M$3+(EchelleFPAparam!$F$3*EchelleFPAparam!$B$6)*COS(EchelleFPAparam!$AC$3)-(AL28-1024)*SIN(EchelleFPAparam!$AC$3)*EchelleFPAparam!$C$3/EchelleFPAparam!$E$3))</f>
        <v>4146.482059934624</v>
      </c>
      <c r="CU28" s="26">
        <f>(EchelleFPAparam!$S$3/($U28+H$53)*COS((AM28-EchelleFPAparam!$AE24)*EchelleFPAparam!$C$3/EchelleFPAparam!$E$3))*(SIN('Standard Settings'!$F23)+SIN('Standard Settings'!$F23+EchelleFPAparam!$M$3+(EchelleFPAparam!$F$3*EchelleFPAparam!$B$6)*COS(EchelleFPAparam!$AC$3)-(AM28-1024)*SIN(EchelleFPAparam!$AC$3)*EchelleFPAparam!$C$3/EchelleFPAparam!$E$3))</f>
        <v>3870.0569925066397</v>
      </c>
      <c r="CV28" s="26">
        <f>(EchelleFPAparam!$S$3/($U28+I$53)*COS((AN28-EchelleFPAparam!$AE24)*EchelleFPAparam!$C$3/EchelleFPAparam!$E$3))*(SIN('Standard Settings'!$F23)+SIN('Standard Settings'!$F23+EchelleFPAparam!$M$3+(EchelleFPAparam!$F$3*EchelleFPAparam!$B$6)*COS(EchelleFPAparam!$AC$3)-(AN28-1024)*SIN(EchelleFPAparam!$AC$3)*EchelleFPAparam!$C$3/EchelleFPAparam!$E$3))</f>
        <v>3628.1570452872052</v>
      </c>
      <c r="CW28" s="26">
        <f>(EchelleFPAparam!$S$3/($U28+J$53)*COS((AO28-EchelleFPAparam!$AE24)*EchelleFPAparam!$C$3/EchelleFPAparam!$E$3))*(SIN('Standard Settings'!$F23)+SIN('Standard Settings'!$F23+EchelleFPAparam!$M$3+(EchelleFPAparam!$F$3*EchelleFPAparam!$B$6)*COS(EchelleFPAparam!$AC$3)-(AO28-1024)*SIN(EchelleFPAparam!$AC$3)*EchelleFPAparam!$C$3/EchelleFPAparam!$E$3))</f>
        <v>3414.1430570650987</v>
      </c>
      <c r="CX28" s="26">
        <f>(EchelleFPAparam!$S$3/($U28+K$53)*COS((AP28-EchelleFPAparam!$AE24)*EchelleFPAparam!$C$3/EchelleFPAparam!$E$3))*(SIN('Standard Settings'!$F23)+SIN('Standard Settings'!$F23+EchelleFPAparam!$M$3+(EchelleFPAparam!$F$3*EchelleFPAparam!$B$6)*COS(EchelleFPAparam!$AC$3)-(AP28-1024)*SIN(EchelleFPAparam!$AC$3)*EchelleFPAparam!$C$3/EchelleFPAparam!$E$3))</f>
        <v>3224.4684427837042</v>
      </c>
      <c r="CY28" s="26">
        <f>(EchelleFPAparam!$S$3/($U28+B$53)*COS((AG28-EchelleFPAparam!$AE24)*EchelleFPAparam!$C$3/EchelleFPAparam!$E$3))*(SIN('Standard Settings'!$F23)+SIN('Standard Settings'!$F23+EchelleFPAparam!$M$3+EchelleFPAparam!$G$3*EchelleFPAparam!$B$6*COS(EchelleFPAparam!$AC$3)-(AG28-1024)*SIN(EchelleFPAparam!$AC$3)*EchelleFPAparam!$C$3/EchelleFPAparam!$E$3))</f>
        <v>6485.1128877703695</v>
      </c>
      <c r="CZ28" s="26">
        <f>(EchelleFPAparam!$S$3/($U28+C$53)*COS((AH28-EchelleFPAparam!$AE24)*EchelleFPAparam!$C$3/EchelleFPAparam!$E$3))*(SIN('Standard Settings'!$F23)+SIN('Standard Settings'!$F23+EchelleFPAparam!$M$3+EchelleFPAparam!$G$3*EchelleFPAparam!$B$6*COS(EchelleFPAparam!$AC$3)-(AH28-1024)*SIN(EchelleFPAparam!$AC$3)*EchelleFPAparam!$C$3/EchelleFPAparam!$E$3))</f>
        <v>5836.601598993333</v>
      </c>
      <c r="DA28" s="26">
        <f>(EchelleFPAparam!$S$3/($U28+D$53)*COS((AI28-EchelleFPAparam!$AE24)*EchelleFPAparam!$C$3/EchelleFPAparam!$E$3))*(SIN('Standard Settings'!$F23)+SIN('Standard Settings'!$F23+EchelleFPAparam!$M$3+EchelleFPAparam!$G$3*EchelleFPAparam!$B$6*COS(EchelleFPAparam!$AC$3)-(AI28-1024)*SIN(EchelleFPAparam!$AC$3)*EchelleFPAparam!$C$3/EchelleFPAparam!$E$3))</f>
        <v>5306.3990110323957</v>
      </c>
      <c r="DB28" s="26">
        <f>(EchelleFPAparam!$S$3/($U28+E$53)*COS((AJ28-EchelleFPAparam!$AE24)*EchelleFPAparam!$C$3/EchelleFPAparam!$E$3))*(SIN('Standard Settings'!$F23)+SIN('Standard Settings'!$F23+EchelleFPAparam!$M$3+EchelleFPAparam!$G$3*EchelleFPAparam!$B$6*COS(EchelleFPAparam!$AC$3)-(AJ28-1024)*SIN(EchelleFPAparam!$AC$3)*EchelleFPAparam!$C$3/EchelleFPAparam!$E$3))</f>
        <v>4864.4701216666572</v>
      </c>
      <c r="DC28" s="26">
        <f>(EchelleFPAparam!$S$3/($U28+F$53)*COS((AK28-EchelleFPAparam!$AE24)*EchelleFPAparam!$C$3/EchelleFPAparam!$E$3))*(SIN('Standard Settings'!$F23)+SIN('Standard Settings'!$F23+EchelleFPAparam!$M$3+EchelleFPAparam!$G$3*EchelleFPAparam!$B$6*COS(EchelleFPAparam!$AC$3)-(AK28-1024)*SIN(EchelleFPAparam!$AC$3)*EchelleFPAparam!$C$3/EchelleFPAparam!$E$3))</f>
        <v>4490.412366668198</v>
      </c>
      <c r="DD28" s="26">
        <f>(EchelleFPAparam!$S$3/($U28+G$53)*COS((AL28-EchelleFPAparam!$AE24)*EchelleFPAparam!$C$3/EchelleFPAparam!$E$3))*(SIN('Standard Settings'!$F23)+SIN('Standard Settings'!$F23+EchelleFPAparam!$M$3+EchelleFPAparam!$G$3*EchelleFPAparam!$B$6*COS(EchelleFPAparam!$AC$3)-(AL28-1024)*SIN(EchelleFPAparam!$AC$3)*EchelleFPAparam!$C$3/EchelleFPAparam!$E$3))</f>
        <v>4169.7197294935713</v>
      </c>
      <c r="DE28" s="26">
        <f>(EchelleFPAparam!$S$3/($U28+H$53)*COS((AM28-EchelleFPAparam!$AE24)*EchelleFPAparam!$C$3/EchelleFPAparam!$E$3))*(SIN('Standard Settings'!$F23)+SIN('Standard Settings'!$F23+EchelleFPAparam!$M$3+EchelleFPAparam!$G$3*EchelleFPAparam!$B$6*COS(EchelleFPAparam!$AC$3)-(AM28-1024)*SIN(EchelleFPAparam!$AC$3)*EchelleFPAparam!$C$3/EchelleFPAparam!$E$3))</f>
        <v>3891.741773115541</v>
      </c>
      <c r="DF28" s="26">
        <f>(EchelleFPAparam!$S$3/($U28+I$53)*COS((AN28-EchelleFPAparam!$AE24)*EchelleFPAparam!$C$3/EchelleFPAparam!$E$3))*(SIN('Standard Settings'!$F23)+SIN('Standard Settings'!$F23+EchelleFPAparam!$M$3+EchelleFPAparam!$G$3*EchelleFPAparam!$B$6*COS(EchelleFPAparam!$AC$3)-(AN28-1024)*SIN(EchelleFPAparam!$AC$3)*EchelleFPAparam!$C$3/EchelleFPAparam!$E$3))</f>
        <v>3648.4833201014299</v>
      </c>
      <c r="DG28" s="26">
        <f>(EchelleFPAparam!$S$3/($U28+J$53)*COS((AO28-EchelleFPAparam!$AE24)*EchelleFPAparam!$C$3/EchelleFPAparam!$E$3))*(SIN('Standard Settings'!$F23)+SIN('Standard Settings'!$F23+EchelleFPAparam!$M$3+EchelleFPAparam!$G$3*EchelleFPAparam!$B$6*COS(EchelleFPAparam!$AC$3)-(AO28-1024)*SIN(EchelleFPAparam!$AC$3)*EchelleFPAparam!$C$3/EchelleFPAparam!$E$3))</f>
        <v>3433.295058231372</v>
      </c>
      <c r="DH28" s="26">
        <f>(EchelleFPAparam!$S$3/($U28+K$53)*COS((AP28-EchelleFPAparam!$AE24)*EchelleFPAparam!$C$3/EchelleFPAparam!$E$3))*(SIN('Standard Settings'!$F23)+SIN('Standard Settings'!$F23+EchelleFPAparam!$M$3+EchelleFPAparam!$G$3*EchelleFPAparam!$B$6*COS(EchelleFPAparam!$AC$3)-(AP28-1024)*SIN(EchelleFPAparam!$AC$3)*EchelleFPAparam!$C$3/EchelleFPAparam!$E$3))</f>
        <v>3242.5564438851848</v>
      </c>
      <c r="DI28" s="26">
        <f>(EchelleFPAparam!$S$3/($U28+B$53)*COS((AQ28-EchelleFPAparam!$AE24)*EchelleFPAparam!$C$3/EchelleFPAparam!$E$3))*(SIN('Standard Settings'!$F23)+SIN('Standard Settings'!$F23+EchelleFPAparam!$M$3+EchelleFPAparam!$H$3*EchelleFPAparam!$B$6*COS(EchelleFPAparam!$AC$3)-(AQ28-1024)*SIN(EchelleFPAparam!$AC$3)*EchelleFPAparam!$C$3/EchelleFPAparam!$E$3))</f>
        <v>6487.5867326771622</v>
      </c>
      <c r="DJ28" s="26">
        <f>(EchelleFPAparam!$S$3/($U28+C$53)*COS((AR28-EchelleFPAparam!$AE24)*EchelleFPAparam!$C$3/EchelleFPAparam!$E$3))*(SIN('Standard Settings'!$F23)+SIN('Standard Settings'!$F23+EchelleFPAparam!$M$3+EchelleFPAparam!$H$3*EchelleFPAparam!$B$6*COS(EchelleFPAparam!$AC$3)-(AR28-1024)*SIN(EchelleFPAparam!$AC$3)*EchelleFPAparam!$C$3/EchelleFPAparam!$E$3))</f>
        <v>5838.8280594094467</v>
      </c>
      <c r="DK28" s="26">
        <f>(EchelleFPAparam!$S$3/($U28+D$53)*COS((AS28-EchelleFPAparam!$AE24)*EchelleFPAparam!$C$3/EchelleFPAparam!$E$3))*(SIN('Standard Settings'!$F23)+SIN('Standard Settings'!$F23+EchelleFPAparam!$M$3+EchelleFPAparam!$H$3*EchelleFPAparam!$B$6*COS(EchelleFPAparam!$AC$3)-(AS28-1024)*SIN(EchelleFPAparam!$AC$3)*EchelleFPAparam!$C$3/EchelleFPAparam!$E$3))</f>
        <v>5308.4445593616811</v>
      </c>
      <c r="DL28" s="26">
        <f>(EchelleFPAparam!$S$3/($U28+E$53)*COS((AT28-EchelleFPAparam!$AE24)*EchelleFPAparam!$C$3/EchelleFPAparam!$E$3))*(SIN('Standard Settings'!$F23)+SIN('Standard Settings'!$F23+EchelleFPAparam!$M$3+EchelleFPAparam!$H$3*EchelleFPAparam!$B$6*COS(EchelleFPAparam!$AC$3)-(AT28-1024)*SIN(EchelleFPAparam!$AC$3)*EchelleFPAparam!$C$3/EchelleFPAparam!$E$3))</f>
        <v>4866.3389941519235</v>
      </c>
      <c r="DM28" s="26">
        <f>(EchelleFPAparam!$S$3/($U28+F$53)*COS((AU28-EchelleFPAparam!$AE24)*EchelleFPAparam!$C$3/EchelleFPAparam!$E$3))*(SIN('Standard Settings'!$F23)+SIN('Standard Settings'!$F23+EchelleFPAparam!$M$3+EchelleFPAparam!$H$3*EchelleFPAparam!$B$6*COS(EchelleFPAparam!$AC$3)-(AU28-1024)*SIN(EchelleFPAparam!$AC$3)*EchelleFPAparam!$C$3/EchelleFPAparam!$E$3))</f>
        <v>4492.1317513994154</v>
      </c>
      <c r="DN28" s="26">
        <f>(EchelleFPAparam!$S$3/($U28+G$53)*COS((AV28-EchelleFPAparam!$AE24)*EchelleFPAparam!$C$3/EchelleFPAparam!$E$3))*(SIN('Standard Settings'!$F23)+SIN('Standard Settings'!$F23+EchelleFPAparam!$M$3+EchelleFPAparam!$H$3*EchelleFPAparam!$B$6*COS(EchelleFPAparam!$AC$3)-(AV28-1024)*SIN(EchelleFPAparam!$AC$3)*EchelleFPAparam!$C$3/EchelleFPAparam!$E$3))</f>
        <v>4171.3111401100705</v>
      </c>
      <c r="DO28" s="26">
        <f>(EchelleFPAparam!$S$3/($U28+H$53)*COS((AW28-EchelleFPAparam!$AE24)*EchelleFPAparam!$C$3/EchelleFPAparam!$E$3))*(SIN('Standard Settings'!$F23)+SIN('Standard Settings'!$F23+EchelleFPAparam!$M$3+EchelleFPAparam!$H$3*EchelleFPAparam!$B$6*COS(EchelleFPAparam!$AC$3)-(AW28-1024)*SIN(EchelleFPAparam!$AC$3)*EchelleFPAparam!$C$3/EchelleFPAparam!$E$3))</f>
        <v>3893.2225147330764</v>
      </c>
      <c r="DP28" s="26">
        <f>(EchelleFPAparam!$S$3/($U28+I$53)*COS((AX28-EchelleFPAparam!$AE24)*EchelleFPAparam!$C$3/EchelleFPAparam!$E$3))*(SIN('Standard Settings'!$F23)+SIN('Standard Settings'!$F23+EchelleFPAparam!$M$3+EchelleFPAparam!$H$3*EchelleFPAparam!$B$6*COS(EchelleFPAparam!$AC$3)-(AX28-1024)*SIN(EchelleFPAparam!$AC$3)*EchelleFPAparam!$C$3/EchelleFPAparam!$E$3))</f>
        <v>3649.8674773505622</v>
      </c>
      <c r="DQ28" s="26">
        <f>(EchelleFPAparam!$S$3/($U28+J$53)*COS((AY28-EchelleFPAparam!$AE24)*EchelleFPAparam!$C$3/EchelleFPAparam!$E$3))*(SIN('Standard Settings'!$F23)+SIN('Standard Settings'!$F23+EchelleFPAparam!$M$3+EchelleFPAparam!$H$3*EchelleFPAparam!$B$6*COS(EchelleFPAparam!$AC$3)-(AY28-1024)*SIN(EchelleFPAparam!$AC$3)*EchelleFPAparam!$C$3/EchelleFPAparam!$E$3))</f>
        <v>3434.604740829086</v>
      </c>
      <c r="DR28" s="26">
        <f>(EchelleFPAparam!$S$3/($U28+K$53)*COS((AZ28-EchelleFPAparam!$AE24)*EchelleFPAparam!$C$3/EchelleFPAparam!$E$3))*(SIN('Standard Settings'!$F23)+SIN('Standard Settings'!$F23+EchelleFPAparam!$M$3+EchelleFPAparam!$H$3*EchelleFPAparam!$B$6*COS(EchelleFPAparam!$AC$3)-(AZ28-1024)*SIN(EchelleFPAparam!$AC$3)*EchelleFPAparam!$C$3/EchelleFPAparam!$E$3))</f>
        <v>3243.7933663385811</v>
      </c>
      <c r="DS28" s="26">
        <f>(EchelleFPAparam!$S$3/($U28+B$53)*COS((AQ28-EchelleFPAparam!$AE24)*EchelleFPAparam!$C$3/EchelleFPAparam!$E$3))*(SIN('Standard Settings'!$F23)+SIN('Standard Settings'!$F23+EchelleFPAparam!$M$3+EchelleFPAparam!$I$3*EchelleFPAparam!$B$6*COS(EchelleFPAparam!$AC$3)-(AQ28-1024)*SIN(EchelleFPAparam!$AC$3)*EchelleFPAparam!$C$3/EchelleFPAparam!$E$3))</f>
        <v>6521.6886589972128</v>
      </c>
      <c r="DT28" s="26">
        <f>(EchelleFPAparam!$S$3/($U28+C$53)*COS((AR28-EchelleFPAparam!$AE24)*EchelleFPAparam!$C$3/EchelleFPAparam!$E$3))*(SIN('Standard Settings'!$F23)+SIN('Standard Settings'!$F23+EchelleFPAparam!$M$3+EchelleFPAparam!$I$3*EchelleFPAparam!$B$6*COS(EchelleFPAparam!$AC$3)-(AR28-1024)*SIN(EchelleFPAparam!$AC$3)*EchelleFPAparam!$C$3/EchelleFPAparam!$E$3))</f>
        <v>5869.5197930974928</v>
      </c>
      <c r="DU28" s="26">
        <f>(EchelleFPAparam!$S$3/($U28+D$53)*COS((AS28-EchelleFPAparam!$AE24)*EchelleFPAparam!$C$3/EchelleFPAparam!$E$3))*(SIN('Standard Settings'!$F23)+SIN('Standard Settings'!$F23+EchelleFPAparam!$M$3+EchelleFPAparam!$I$3*EchelleFPAparam!$B$6*COS(EchelleFPAparam!$AC$3)-(AS28-1024)*SIN(EchelleFPAparam!$AC$3)*EchelleFPAparam!$C$3/EchelleFPAparam!$E$3))</f>
        <v>5336.3400745390536</v>
      </c>
      <c r="DV28" s="26">
        <f>(EchelleFPAparam!$S$3/($U28+E$53)*COS((AT28-EchelleFPAparam!$AE24)*EchelleFPAparam!$C$3/EchelleFPAparam!$E$3))*(SIN('Standard Settings'!$F23)+SIN('Standard Settings'!$F23+EchelleFPAparam!$M$3+EchelleFPAparam!$I$3*EchelleFPAparam!$B$6*COS(EchelleFPAparam!$AC$3)-(AT28-1024)*SIN(EchelleFPAparam!$AC$3)*EchelleFPAparam!$C$3/EchelleFPAparam!$E$3))</f>
        <v>4891.9038309132002</v>
      </c>
      <c r="DW28" s="26">
        <f>(EchelleFPAparam!$S$3/($U28+F$53)*COS((AU28-EchelleFPAparam!$AE24)*EchelleFPAparam!$C$3/EchelleFPAparam!$E$3))*(SIN('Standard Settings'!$F23)+SIN('Standard Settings'!$F23+EchelleFPAparam!$M$3+EchelleFPAparam!$I$3*EchelleFPAparam!$B$6*COS(EchelleFPAparam!$AC$3)-(AU28-1024)*SIN(EchelleFPAparam!$AC$3)*EchelleFPAparam!$C$3/EchelleFPAparam!$E$3))</f>
        <v>4515.7248996575336</v>
      </c>
      <c r="DX28" s="26">
        <f>(EchelleFPAparam!$S$3/($U28+G$53)*COS((AV28-EchelleFPAparam!$AE24)*EchelleFPAparam!$C$3/EchelleFPAparam!$E$3))*(SIN('Standard Settings'!$F23)+SIN('Standard Settings'!$F23+EchelleFPAparam!$M$3+EchelleFPAparam!$I$3*EchelleFPAparam!$B$6*COS(EchelleFPAparam!$AC$3)-(AV28-1024)*SIN(EchelleFPAparam!$AC$3)*EchelleFPAparam!$C$3/EchelleFPAparam!$E$3))</f>
        <v>4193.2146583033327</v>
      </c>
      <c r="DY28" s="26">
        <f>(EchelleFPAparam!$S$3/($U28+H$53)*COS((AW28-EchelleFPAparam!$AE24)*EchelleFPAparam!$C$3/EchelleFPAparam!$E$3))*(SIN('Standard Settings'!$F23)+SIN('Standard Settings'!$F23+EchelleFPAparam!$M$3+EchelleFPAparam!$I$3*EchelleFPAparam!$B$6*COS(EchelleFPAparam!$AC$3)-(AW28-1024)*SIN(EchelleFPAparam!$AC$3)*EchelleFPAparam!$C$3/EchelleFPAparam!$E$3))</f>
        <v>3913.6620242208423</v>
      </c>
      <c r="DZ28" s="26">
        <f>(EchelleFPAparam!$S$3/($U28+I$53)*COS((AX28-EchelleFPAparam!$AE24)*EchelleFPAparam!$C$3/EchelleFPAparam!$E$3))*(SIN('Standard Settings'!$F23)+SIN('Standard Settings'!$F23+EchelleFPAparam!$M$3+EchelleFPAparam!$I$3*EchelleFPAparam!$B$6*COS(EchelleFPAparam!$AC$3)-(AX28-1024)*SIN(EchelleFPAparam!$AC$3)*EchelleFPAparam!$C$3/EchelleFPAparam!$E$3))</f>
        <v>3669.0262673420812</v>
      </c>
      <c r="EA28" s="26">
        <f>(EchelleFPAparam!$S$3/($U28+J$53)*COS((AY28-EchelleFPAparam!$AE24)*EchelleFPAparam!$C$3/EchelleFPAparam!$E$3))*(SIN('Standard Settings'!$F23)+SIN('Standard Settings'!$F23+EchelleFPAparam!$M$3+EchelleFPAparam!$I$3*EchelleFPAparam!$B$6*COS(EchelleFPAparam!$AC$3)-(AY28-1024)*SIN(EchelleFPAparam!$AC$3)*EchelleFPAparam!$C$3/EchelleFPAparam!$E$3))</f>
        <v>3452.6587018220539</v>
      </c>
      <c r="EB28" s="26">
        <f>(EchelleFPAparam!$S$3/($U28+K$53)*COS((AZ28-EchelleFPAparam!$AE24)*EchelleFPAparam!$C$3/EchelleFPAparam!$E$3))*(SIN('Standard Settings'!$F23)+SIN('Standard Settings'!$F23+EchelleFPAparam!$M$3+EchelleFPAparam!$I$3*EchelleFPAparam!$B$6*COS(EchelleFPAparam!$AC$3)-(AZ28-1024)*SIN(EchelleFPAparam!$AC$3)*EchelleFPAparam!$C$3/EchelleFPAparam!$E$3))</f>
        <v>3260.8443294986064</v>
      </c>
      <c r="EC28" s="26">
        <f>(EchelleFPAparam!$S$3/($U28+B$53)*COS((BA28-EchelleFPAparam!$AE24)*EchelleFPAparam!$C$3/EchelleFPAparam!$E$3))*(SIN('Standard Settings'!$F23)+SIN('Standard Settings'!$F23+EchelleFPAparam!$M$3+EchelleFPAparam!$J$3*EchelleFPAparam!$B$6*COS(EchelleFPAparam!$AC$3)-(BA28-1024)*SIN(EchelleFPAparam!$AC$3)*EchelleFPAparam!$C$3/EchelleFPAparam!$E$3))</f>
        <v>6524.082761550736</v>
      </c>
      <c r="ED28" s="26">
        <f>(EchelleFPAparam!$S$3/($U28+C$53)*COS((BB28-EchelleFPAparam!$AE24)*EchelleFPAparam!$C$3/EchelleFPAparam!$E$3))*(SIN('Standard Settings'!$F23)+SIN('Standard Settings'!$F23+EchelleFPAparam!$M$3+EchelleFPAparam!$J$3*EchelleFPAparam!$B$6*COS(EchelleFPAparam!$AC$3)-(BB28-1024)*SIN(EchelleFPAparam!$AC$3)*EchelleFPAparam!$C$3/EchelleFPAparam!$E$3))</f>
        <v>5871.6744853956625</v>
      </c>
      <c r="EE28" s="26">
        <f>(EchelleFPAparam!$S$3/($U28+D$53)*COS((BC28-EchelleFPAparam!$AE24)*EchelleFPAparam!$C$3/EchelleFPAparam!$E$3))*(SIN('Standard Settings'!$F23)+SIN('Standard Settings'!$F23+EchelleFPAparam!$M$3+EchelleFPAparam!$J$3*EchelleFPAparam!$B$6*COS(EchelleFPAparam!$AC$3)-(BC28-1024)*SIN(EchelleFPAparam!$AC$3)*EchelleFPAparam!$C$3/EchelleFPAparam!$E$3))</f>
        <v>5338.3188826106998</v>
      </c>
      <c r="EF28" s="26">
        <f>(EchelleFPAparam!$S$3/($U28+E$53)*COS((BD28-EchelleFPAparam!$AE24)*EchelleFPAparam!$C$3/EchelleFPAparam!$E$3))*(SIN('Standard Settings'!$F23)+SIN('Standard Settings'!$F23+EchelleFPAparam!$M$3+EchelleFPAparam!$J$3*EchelleFPAparam!$B$6*COS(EchelleFPAparam!$AC$3)-(BD28-1024)*SIN(EchelleFPAparam!$AC$3)*EchelleFPAparam!$C$3/EchelleFPAparam!$E$3))</f>
        <v>4893.7116210840386</v>
      </c>
      <c r="EG28" s="26">
        <f>(EchelleFPAparam!$S$3/($U28+F$53)*COS((BE28-EchelleFPAparam!$AE24)*EchelleFPAparam!$C$3/EchelleFPAparam!$E$3))*(SIN('Standard Settings'!$F23)+SIN('Standard Settings'!$F23+EchelleFPAparam!$M$3+EchelleFPAparam!$J$3*EchelleFPAparam!$B$6*COS(EchelleFPAparam!$AC$3)-(BE28-1024)*SIN(EchelleFPAparam!$AC$3)*EchelleFPAparam!$C$3/EchelleFPAparam!$E$3))</f>
        <v>4517.387956021661</v>
      </c>
      <c r="EH28" s="26">
        <f>(EchelleFPAparam!$S$3/($U28+G$53)*COS((BF28-EchelleFPAparam!$AE24)*EchelleFPAparam!$C$3/EchelleFPAparam!$E$3))*(SIN('Standard Settings'!$F23)+SIN('Standard Settings'!$F23+EchelleFPAparam!$M$3+EchelleFPAparam!$J$3*EchelleFPAparam!$B$6*COS(EchelleFPAparam!$AC$3)-(BF28-1024)*SIN(EchelleFPAparam!$AC$3)*EchelleFPAparam!$C$3/EchelleFPAparam!$E$3))</f>
        <v>4194.7536514372878</v>
      </c>
      <c r="EI28" s="26">
        <f>(EchelleFPAparam!$S$3/($U28+H$53)*COS((BG28-EchelleFPAparam!$AE24)*EchelleFPAparam!$C$3/EchelleFPAparam!$E$3))*(SIN('Standard Settings'!$F23)+SIN('Standard Settings'!$F23+EchelleFPAparam!$M$3+EchelleFPAparam!$J$3*EchelleFPAparam!$B$6*COS(EchelleFPAparam!$AC$3)-(BG28-1024)*SIN(EchelleFPAparam!$AC$3)*EchelleFPAparam!$C$3/EchelleFPAparam!$E$3))</f>
        <v>3915.0937388437237</v>
      </c>
      <c r="EJ28" s="26">
        <f>(EchelleFPAparam!$S$3/($U28+I$53)*COS((BH28-EchelleFPAparam!$AE24)*EchelleFPAparam!$C$3/EchelleFPAparam!$E$3))*(SIN('Standard Settings'!$F23)+SIN('Standard Settings'!$F23+EchelleFPAparam!$M$3+EchelleFPAparam!$J$3*EchelleFPAparam!$B$6*COS(EchelleFPAparam!$AC$3)-(BH28-1024)*SIN(EchelleFPAparam!$AC$3)*EchelleFPAparam!$C$3/EchelleFPAparam!$E$3))</f>
        <v>3670.3642609280614</v>
      </c>
      <c r="EK28" s="26">
        <f>(EchelleFPAparam!$S$3/($U28+J$53)*COS((BI28-EchelleFPAparam!$AE24)*EchelleFPAparam!$C$3/EchelleFPAparam!$E$3))*(SIN('Standard Settings'!$F23)+SIN('Standard Settings'!$F23+EchelleFPAparam!$M$3+EchelleFPAparam!$J$3*EchelleFPAparam!$B$6*COS(EchelleFPAparam!$AC$3)-(BI28-1024)*SIN(EchelleFPAparam!$AC$3)*EchelleFPAparam!$C$3/EchelleFPAparam!$E$3))</f>
        <v>3453.9261678798011</v>
      </c>
      <c r="EL28" s="26">
        <f>(EchelleFPAparam!$S$3/($U28+K$53)*COS((BJ28-EchelleFPAparam!$AE24)*EchelleFPAparam!$C$3/EchelleFPAparam!$E$3))*(SIN('Standard Settings'!$F23)+SIN('Standard Settings'!$F23+EchelleFPAparam!$M$3+EchelleFPAparam!$J$3*EchelleFPAparam!$B$6*COS(EchelleFPAparam!$AC$3)-(BJ28-1024)*SIN(EchelleFPAparam!$AC$3)*EchelleFPAparam!$C$3/EchelleFPAparam!$E$3))</f>
        <v>3262.041380775368</v>
      </c>
      <c r="EM28" s="26">
        <f>(EchelleFPAparam!$S$3/($U28+B$53)*COS((BA28-EchelleFPAparam!$AE24)*EchelleFPAparam!$C$3/EchelleFPAparam!$E$3))*(SIN('Standard Settings'!$F23)+SIN('Standard Settings'!$F23+EchelleFPAparam!$M$3+EchelleFPAparam!$K$3*EchelleFPAparam!$B$6*COS(EchelleFPAparam!$AC$3)-(BA28-1024)*SIN(EchelleFPAparam!$AC$3)*EchelleFPAparam!$C$3/EchelleFPAparam!$E$3))</f>
        <v>6556.0829256007328</v>
      </c>
      <c r="EN28" s="26">
        <f>(EchelleFPAparam!$S$3/($U28+C$53)*COS((BB28-EchelleFPAparam!$AE24)*EchelleFPAparam!$C$3/EchelleFPAparam!$E$3))*(SIN('Standard Settings'!$F23)+SIN('Standard Settings'!$F23+EchelleFPAparam!$M$3+EchelleFPAparam!$K$3*EchelleFPAparam!$B$6*COS(EchelleFPAparam!$AC$3)-(BB28-1024)*SIN(EchelleFPAparam!$AC$3)*EchelleFPAparam!$C$3/EchelleFPAparam!$E$3))</f>
        <v>5900.4746330406597</v>
      </c>
      <c r="EO28" s="26">
        <f>(EchelleFPAparam!$S$3/($U28+D$53)*COS((BC28-EchelleFPAparam!$AE24)*EchelleFPAparam!$C$3/EchelleFPAparam!$E$3))*(SIN('Standard Settings'!$F23)+SIN('Standard Settings'!$F23+EchelleFPAparam!$M$3+EchelleFPAparam!$K$3*EchelleFPAparam!$B$6*COS(EchelleFPAparam!$AC$3)-(BC28-1024)*SIN(EchelleFPAparam!$AC$3)*EchelleFPAparam!$C$3/EchelleFPAparam!$E$3))</f>
        <v>5364.4942105239352</v>
      </c>
      <c r="EP28" s="26">
        <f>(EchelleFPAparam!$S$3/($U28+E$53)*COS((BD28-EchelleFPAparam!$AE24)*EchelleFPAparam!$C$3/EchelleFPAparam!$E$3))*(SIN('Standard Settings'!$F23)+SIN('Standard Settings'!$F23+EchelleFPAparam!$M$3+EchelleFPAparam!$K$3*EchelleFPAparam!$B$6*COS(EchelleFPAparam!$AC$3)-(BD28-1024)*SIN(EchelleFPAparam!$AC$3)*EchelleFPAparam!$C$3/EchelleFPAparam!$E$3))</f>
        <v>4917.6994290143921</v>
      </c>
      <c r="EQ28" s="26">
        <f>(EchelleFPAparam!$S$3/($U28+F$53)*COS((BE28-EchelleFPAparam!$AE24)*EchelleFPAparam!$C$3/EchelleFPAparam!$E$3))*(SIN('Standard Settings'!$F23)+SIN('Standard Settings'!$F23+EchelleFPAparam!$M$3+EchelleFPAparam!$K$3*EchelleFPAparam!$B$6*COS(EchelleFPAparam!$AC$3)-(BE28-1024)*SIN(EchelleFPAparam!$AC$3)*EchelleFPAparam!$C$3/EchelleFPAparam!$E$3))</f>
        <v>4539.5252539960611</v>
      </c>
      <c r="ER28" s="26">
        <f>(EchelleFPAparam!$S$3/($U28+G$53)*COS((BF28-EchelleFPAparam!$AE24)*EchelleFPAparam!$C$3/EchelleFPAparam!$E$3))*(SIN('Standard Settings'!$F23)+SIN('Standard Settings'!$F23+EchelleFPAparam!$M$3+EchelleFPAparam!$K$3*EchelleFPAparam!$B$6*COS(EchelleFPAparam!$AC$3)-(BF28-1024)*SIN(EchelleFPAparam!$AC$3)*EchelleFPAparam!$C$3/EchelleFPAparam!$E$3))</f>
        <v>4215.3052312147538</v>
      </c>
      <c r="ES28" s="26">
        <f>(EchelleFPAparam!$S$3/($U28+H$53)*COS((BG28-EchelleFPAparam!$AE24)*EchelleFPAparam!$C$3/EchelleFPAparam!$E$3))*(SIN('Standard Settings'!$F23)+SIN('Standard Settings'!$F23+EchelleFPAparam!$M$3+EchelleFPAparam!$K$3*EchelleFPAparam!$B$6*COS(EchelleFPAparam!$AC$3)-(BG28-1024)*SIN(EchelleFPAparam!$AC$3)*EchelleFPAparam!$C$3/EchelleFPAparam!$E$3))</f>
        <v>3934.2713710081357</v>
      </c>
      <c r="ET28" s="26">
        <f>(EchelleFPAparam!$S$3/($U28+I$53)*COS((BH28-EchelleFPAparam!$AE24)*EchelleFPAparam!$C$3/EchelleFPAparam!$E$3))*(SIN('Standard Settings'!$F23)+SIN('Standard Settings'!$F23+EchelleFPAparam!$M$3+EchelleFPAparam!$K$3*EchelleFPAparam!$B$6*COS(EchelleFPAparam!$AC$3)-(BH28-1024)*SIN(EchelleFPAparam!$AC$3)*EchelleFPAparam!$C$3/EchelleFPAparam!$E$3))</f>
        <v>3688.3399952830609</v>
      </c>
      <c r="EU28" s="26">
        <f>(EchelleFPAparam!$S$3/($U28+J$53)*COS((BI28-EchelleFPAparam!$AE24)*EchelleFPAparam!$C$3/EchelleFPAparam!$E$3))*(SIN('Standard Settings'!$F23)+SIN('Standard Settings'!$F23+EchelleFPAparam!$M$3+EchelleFPAparam!$K$3*EchelleFPAparam!$B$6*COS(EchelleFPAparam!$AC$3)-(BI28-1024)*SIN(EchelleFPAparam!$AC$3)*EchelleFPAparam!$C$3/EchelleFPAparam!$E$3))</f>
        <v>3470.8674312003877</v>
      </c>
      <c r="EV28" s="26">
        <f>(EchelleFPAparam!$S$3/($U28+K$53)*COS((BJ28-EchelleFPAparam!$AE24)*EchelleFPAparam!$C$3/EchelleFPAparam!$E$3))*(SIN('Standard Settings'!$F23)+SIN('Standard Settings'!$F23+EchelleFPAparam!$M$3+EchelleFPAparam!$K$3*EchelleFPAparam!$B$6*COS(EchelleFPAparam!$AC$3)-(BJ28-1024)*SIN(EchelleFPAparam!$AC$3)*EchelleFPAparam!$C$3/EchelleFPAparam!$E$3))</f>
        <v>3278.0414628003664</v>
      </c>
      <c r="EW28" s="60">
        <f t="shared" si="40"/>
        <v>3628.1570452872052</v>
      </c>
      <c r="EX28" s="60">
        <f t="shared" si="41"/>
        <v>5900.4746330406597</v>
      </c>
      <c r="EY28" s="90">
        <v>0.39</v>
      </c>
      <c r="EZ28" s="90">
        <v>0.36</v>
      </c>
      <c r="FA28" s="50">
        <v>30000</v>
      </c>
      <c r="FB28" s="95">
        <v>1000</v>
      </c>
      <c r="FC28" s="95">
        <v>1000</v>
      </c>
      <c r="FD28" s="50">
        <v>2100</v>
      </c>
      <c r="FE28" s="50">
        <v>2100</v>
      </c>
      <c r="FF28" s="50">
        <v>5000</v>
      </c>
      <c r="FG28" s="95">
        <v>1000</v>
      </c>
      <c r="FH28" s="95">
        <f t="shared" si="27"/>
        <v>250</v>
      </c>
      <c r="FI28" s="95">
        <f t="shared" si="28"/>
        <v>250</v>
      </c>
      <c r="FJ28" s="50">
        <f t="shared" si="29"/>
        <v>525</v>
      </c>
      <c r="FK28" s="50">
        <f t="shared" si="30"/>
        <v>525</v>
      </c>
      <c r="FL28" s="50">
        <f t="shared" si="31"/>
        <v>1250</v>
      </c>
      <c r="FM28" s="95">
        <f t="shared" si="32"/>
        <v>250</v>
      </c>
      <c r="FN28" s="50">
        <v>500</v>
      </c>
      <c r="FO28" s="91">
        <f>1/(F28*EchelleFPAparam!$Q$3)</f>
        <v>-3359.0786033786303</v>
      </c>
      <c r="FP28" s="91">
        <f t="shared" si="22"/>
        <v>-38.696894287199477</v>
      </c>
      <c r="FQ28" s="50">
        <v>-999999</v>
      </c>
      <c r="FR28" s="50">
        <v>-999999</v>
      </c>
      <c r="FS28" s="90">
        <v>1</v>
      </c>
      <c r="FT28" s="90">
        <v>320.07600000000002</v>
      </c>
      <c r="FU28" s="90">
        <v>1784.9459999999999</v>
      </c>
      <c r="FV28" s="50">
        <v>-999999</v>
      </c>
      <c r="FW28" s="50">
        <v>-999999</v>
      </c>
      <c r="FX28" s="50">
        <v>-999999</v>
      </c>
      <c r="FY28" s="90">
        <v>2</v>
      </c>
      <c r="FZ28" s="90">
        <v>277.39100000000002</v>
      </c>
      <c r="GA28" s="90">
        <v>1596.924</v>
      </c>
      <c r="GB28" s="50">
        <v>-999999</v>
      </c>
      <c r="GC28" s="50">
        <v>-999999</v>
      </c>
      <c r="GD28" s="50">
        <v>-999999</v>
      </c>
      <c r="GE28" s="90">
        <v>3</v>
      </c>
      <c r="GF28" s="90">
        <v>251.00899999999999</v>
      </c>
      <c r="GG28" s="90">
        <v>1376.518</v>
      </c>
      <c r="GH28" s="50">
        <v>-999999</v>
      </c>
      <c r="GI28" s="50">
        <v>-999999</v>
      </c>
      <c r="GJ28" s="50">
        <v>-999999</v>
      </c>
      <c r="GK28" s="90">
        <v>3</v>
      </c>
      <c r="GL28" s="90">
        <v>383.255</v>
      </c>
      <c r="GM28" s="90">
        <v>1084.124</v>
      </c>
      <c r="GN28" s="50">
        <v>-999999</v>
      </c>
      <c r="GO28" s="50">
        <v>-999999</v>
      </c>
      <c r="GP28" s="50">
        <v>-999999</v>
      </c>
      <c r="GQ28" s="50">
        <v>-999999</v>
      </c>
      <c r="GR28" s="50">
        <v>-999999</v>
      </c>
      <c r="GS28" s="50">
        <v>-999999</v>
      </c>
      <c r="GT28" s="50">
        <v>-999999</v>
      </c>
      <c r="GU28" s="50">
        <v>-999999</v>
      </c>
      <c r="GV28" s="50">
        <v>-999999</v>
      </c>
      <c r="GW28" s="50">
        <v>-999999</v>
      </c>
      <c r="GX28" s="50">
        <v>-999999</v>
      </c>
      <c r="GY28" s="50">
        <v>-999999</v>
      </c>
      <c r="GZ28" s="50">
        <v>-999999</v>
      </c>
      <c r="HA28" s="50">
        <v>-999999</v>
      </c>
      <c r="HB28" s="50">
        <v>-999999</v>
      </c>
      <c r="HC28" s="50">
        <v>-999999</v>
      </c>
      <c r="HD28" s="50">
        <v>-999999</v>
      </c>
      <c r="HE28" s="50">
        <v>-999999</v>
      </c>
      <c r="HF28" s="50">
        <v>-999999</v>
      </c>
      <c r="HG28" s="50">
        <v>-999999</v>
      </c>
      <c r="HH28" s="50">
        <v>-999999</v>
      </c>
      <c r="HI28" s="50">
        <v>-999999</v>
      </c>
      <c r="HJ28" s="50">
        <v>-999999</v>
      </c>
      <c r="HK28" s="50">
        <v>-999999</v>
      </c>
      <c r="HL28" s="50">
        <v>-999999</v>
      </c>
      <c r="HM28" s="50">
        <v>-999999</v>
      </c>
      <c r="HN28" s="50">
        <v>-999999</v>
      </c>
      <c r="HO28" s="50">
        <v>-999999</v>
      </c>
      <c r="HP28" s="50">
        <v>-999999</v>
      </c>
      <c r="HQ28" s="50">
        <v>-999999</v>
      </c>
      <c r="HR28" s="50">
        <v>-999999</v>
      </c>
      <c r="HS28" s="50">
        <v>-999999</v>
      </c>
      <c r="HT28" s="50">
        <v>-999999</v>
      </c>
      <c r="HU28" s="50">
        <v>-999999</v>
      </c>
      <c r="HV28" s="50">
        <v>-999999</v>
      </c>
      <c r="HW28" s="50">
        <v>-999999</v>
      </c>
      <c r="HX28" s="50">
        <v>-999999</v>
      </c>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2">
        <f t="shared" si="23"/>
        <v>2713.0569151423738</v>
      </c>
      <c r="JX28" s="27">
        <f t="shared" si="24"/>
        <v>390976.86312264262</v>
      </c>
      <c r="JY28" s="107">
        <f>JW28*EchelleFPAparam!$Q$3</f>
        <v>-2.5841867116731108E-2</v>
      </c>
      <c r="KA28" s="19"/>
      <c r="KB28" s="19"/>
      <c r="KC28" s="19"/>
      <c r="KD28" s="19"/>
      <c r="KE28" s="19"/>
      <c r="KF28" s="19"/>
      <c r="KG28" s="19"/>
      <c r="KH28" s="19"/>
      <c r="KI28" s="19"/>
      <c r="KJ28" s="19"/>
      <c r="KK28" s="19"/>
      <c r="KL28" s="19"/>
      <c r="KM28" s="19"/>
      <c r="KW28" s="19"/>
      <c r="KX28" s="19"/>
      <c r="KY28" s="19"/>
      <c r="KZ28" s="19"/>
      <c r="LA28" s="19"/>
      <c r="LB28" s="19"/>
      <c r="LC28" s="19"/>
      <c r="LD28" s="19"/>
      <c r="LE28" s="19"/>
      <c r="LF28" s="19"/>
    </row>
    <row r="29" spans="1:318" x14ac:dyDescent="0.2">
      <c r="A29" s="53">
        <f t="shared" si="35"/>
        <v>23</v>
      </c>
      <c r="B29" s="96">
        <f t="shared" si="0"/>
        <v>4461.1952410399117</v>
      </c>
      <c r="C29" s="27" t="str">
        <f>'Standard Settings'!B24</f>
        <v>M/3/9</v>
      </c>
      <c r="D29" s="27">
        <f>'Standard Settings'!H24</f>
        <v>13</v>
      </c>
      <c r="E29" s="19">
        <f t="shared" si="1"/>
        <v>1.2139581154007928E-2</v>
      </c>
      <c r="F29" s="18">
        <f>((EchelleFPAparam!$S$3/('crmcfgWLEN.txt'!$U29+F$53))*(SIN('Standard Settings'!$F24+0.0005)+SIN('Standard Settings'!$F24+0.0005+EchelleFPAparam!$M$3))-(EchelleFPAparam!$S$3/('crmcfgWLEN.txt'!$U29+F$53))*(SIN('Standard Settings'!$F24-0.0005)+SIN('Standard Settings'!$F24-0.0005+EchelleFPAparam!$M$3)))*1000*EchelleFPAparam!$O$3/180</f>
        <v>33.075629396898485</v>
      </c>
      <c r="G29" s="20" t="str">
        <f>'Standard Settings'!C24</f>
        <v>M</v>
      </c>
      <c r="H29" s="46"/>
      <c r="I29" s="59" t="s">
        <v>361</v>
      </c>
      <c r="J29" s="57"/>
      <c r="K29" s="27" t="str">
        <f>'Standard Settings'!$D24</f>
        <v>LM</v>
      </c>
      <c r="L29" s="46"/>
      <c r="M29" s="12">
        <v>2.5</v>
      </c>
      <c r="N29" s="12">
        <v>2.5</v>
      </c>
      <c r="O29" s="47" t="s">
        <v>384</v>
      </c>
      <c r="P29" s="47" t="s">
        <v>384</v>
      </c>
      <c r="Q29" s="27">
        <f>'Standard Settings'!$E24</f>
        <v>68.587950000000006</v>
      </c>
      <c r="R29" s="106">
        <f>'Standard Settings'!$J24</f>
        <v>190000</v>
      </c>
      <c r="S29" s="21">
        <f>'Standard Settings'!$G24</f>
        <v>10</v>
      </c>
      <c r="T29" s="21">
        <f>'Standard Settings'!$I24</f>
        <v>16</v>
      </c>
      <c r="U29" s="22">
        <f t="shared" si="25"/>
        <v>9</v>
      </c>
      <c r="V29" s="22">
        <f t="shared" si="26"/>
        <v>18</v>
      </c>
      <c r="W29" s="23">
        <f>IF(AND($U29-$S29+B$53&gt;=0,$U29-$T29+B$53&lt;=0),(EchelleFPAparam!$S$3/('crmcfgWLEN.txt'!$U29+B$53))*(SIN('Standard Settings'!$F24)+SIN('Standard Settings'!$F24+EchelleFPAparam!$M$3)),-1)</f>
        <v>-1</v>
      </c>
      <c r="X29" s="23">
        <f>IF(AND($U29-$S29+C$53&gt;=0,$U29-$T29+C$53&lt;=0),(EchelleFPAparam!$S$3/('crmcfgWLEN.txt'!$U29+C$53))*(SIN('Standard Settings'!$F24)+SIN('Standard Settings'!$F24+EchelleFPAparam!$M$3)),-1)</f>
        <v>5799.5538133518849</v>
      </c>
      <c r="Y29" s="23">
        <f>IF(AND($U29-$S29+D$53&gt;=0,$U29-$T29+D$53&lt;=0),(EchelleFPAparam!$S$3/('crmcfgWLEN.txt'!$U29+D$53))*(SIN('Standard Settings'!$F24)+SIN('Standard Settings'!$F24+EchelleFPAparam!$M$3)),-1)</f>
        <v>5272.3216485017138</v>
      </c>
      <c r="Z29" s="23">
        <f>IF(AND($U29-$S29+E$53&gt;=0,$U29-$T29+E$53&lt;=0),(EchelleFPAparam!$S$3/('crmcfgWLEN.txt'!$U29+E$53))*(SIN('Standard Settings'!$F24)+SIN('Standard Settings'!$F24+EchelleFPAparam!$M$3)),-1)</f>
        <v>4832.9615111265703</v>
      </c>
      <c r="AA29" s="23">
        <f>IF(AND($U29-$S29+F$53&gt;=0,$U29-$T29+F$53&lt;=0),(EchelleFPAparam!$S$3/('crmcfgWLEN.txt'!$U29+F$53))*(SIN('Standard Settings'!$F24)+SIN('Standard Settings'!$F24+EchelleFPAparam!$M$3)),-1)</f>
        <v>4461.1952410399117</v>
      </c>
      <c r="AB29" s="23">
        <f>IF(AND($U29-$S29+G$53&gt;=0,$U29-$T29+G$53&lt;=0),(EchelleFPAparam!$S$3/('crmcfgWLEN.txt'!$U29+G$53))*(SIN('Standard Settings'!$F24)+SIN('Standard Settings'!$F24+EchelleFPAparam!$M$3)),-1)</f>
        <v>4142.5384381084887</v>
      </c>
      <c r="AC29" s="23">
        <f>IF(AND($U29-$S29+H$53&gt;=0,$U29-$T29+H$53&lt;=0),(EchelleFPAparam!$S$3/('crmcfgWLEN.txt'!$U29+H$53))*(SIN('Standard Settings'!$F24)+SIN('Standard Settings'!$F24+EchelleFPAparam!$M$3)),-1)</f>
        <v>3866.3692089012561</v>
      </c>
      <c r="AD29" s="23">
        <f>IF(AND($U29-$S29+I$53&gt;=0,$U29-$T29+I$53&lt;=0),(EchelleFPAparam!$S$3/('crmcfgWLEN.txt'!$U29+I$53))*(SIN('Standard Settings'!$F24)+SIN('Standard Settings'!$F24+EchelleFPAparam!$M$3)),-1)</f>
        <v>3624.7211333449277</v>
      </c>
      <c r="AE29" s="23">
        <f>IF(AND($U29-$S29+J$53&gt;=0,$U29-$T29+J$53&lt;=0),(EchelleFPAparam!$S$3/('crmcfgWLEN.txt'!$U29+J$53))*(SIN('Standard Settings'!$F24)+SIN('Standard Settings'!$F24+EchelleFPAparam!$M$3)),-1)</f>
        <v>-1</v>
      </c>
      <c r="AF29" s="23">
        <f>IF(AND($U29-$S29+K$53&gt;=0,$U29-$T29+K$53&lt;=0),(EchelleFPAparam!$S$3/('crmcfgWLEN.txt'!$U29+K$53))*(SIN('Standard Settings'!$F24)+SIN('Standard Settings'!$F24+EchelleFPAparam!$M$3)),-1)</f>
        <v>-1</v>
      </c>
      <c r="AG29" s="159">
        <v>-100.1</v>
      </c>
      <c r="AH29" s="159">
        <v>-100.1</v>
      </c>
      <c r="AI29" s="157">
        <v>337.86192126191202</v>
      </c>
      <c r="AJ29" s="157">
        <v>734.28500967121795</v>
      </c>
      <c r="AK29" s="157">
        <v>1070.3978289035299</v>
      </c>
      <c r="AL29" s="157">
        <v>1359.20493892589</v>
      </c>
      <c r="AM29" s="157">
        <v>1610.1634486231301</v>
      </c>
      <c r="AN29" s="157">
        <v>1830.34244181079</v>
      </c>
      <c r="AO29" s="159">
        <v>-100.1</v>
      </c>
      <c r="AP29" s="159">
        <v>-100.1</v>
      </c>
      <c r="AQ29" s="160">
        <v>-100.1</v>
      </c>
      <c r="AR29" s="160">
        <v>-100.1</v>
      </c>
      <c r="AS29" s="157">
        <v>361.64887265759103</v>
      </c>
      <c r="AT29" s="157">
        <v>760.18323607562604</v>
      </c>
      <c r="AU29" s="157">
        <v>1098.1121334345901</v>
      </c>
      <c r="AV29" s="157">
        <v>1388.4441904948601</v>
      </c>
      <c r="AW29" s="157">
        <v>1640.57459403951</v>
      </c>
      <c r="AX29" s="157">
        <v>1862.0518408156599</v>
      </c>
      <c r="AY29" s="160">
        <v>-100.1</v>
      </c>
      <c r="AZ29" s="160">
        <v>-100.1</v>
      </c>
      <c r="BA29" s="161">
        <v>-100.1</v>
      </c>
      <c r="BB29" s="161">
        <v>-100.1</v>
      </c>
      <c r="BC29" s="157">
        <v>384.58657213001601</v>
      </c>
      <c r="BD29" s="157">
        <v>785.65184678429705</v>
      </c>
      <c r="BE29" s="157">
        <v>1125.72336428172</v>
      </c>
      <c r="BF29" s="157">
        <v>1417.8186931088601</v>
      </c>
      <c r="BG29" s="157">
        <v>1671.6300714547101</v>
      </c>
      <c r="BH29" s="157">
        <v>1894.38503937411</v>
      </c>
      <c r="BI29" s="161">
        <v>-100.1</v>
      </c>
      <c r="BJ29" s="161">
        <v>-100.1</v>
      </c>
      <c r="BK29" s="24">
        <f>EchelleFPAparam!$S$3/('crmcfgWLEN.txt'!$U29+B$53)*(SIN(EchelleFPAparam!$T$3-EchelleFPAparam!$M$3/2)+SIN('Standard Settings'!$F24+EchelleFPAparam!$M$3))</f>
        <v>6366.8755386462281</v>
      </c>
      <c r="BL29" s="24">
        <f>EchelleFPAparam!$S$3/('crmcfgWLEN.txt'!$U29+C$53)*(SIN(EchelleFPAparam!$T$3-EchelleFPAparam!$M$3/2)+SIN('Standard Settings'!$F24+EchelleFPAparam!$M$3))</f>
        <v>5730.1879847816053</v>
      </c>
      <c r="BM29" s="24">
        <f>EchelleFPAparam!$S$3/('crmcfgWLEN.txt'!$U29+D$53)*(SIN(EchelleFPAparam!$T$3-EchelleFPAparam!$M$3/2)+SIN('Standard Settings'!$F24+EchelleFPAparam!$M$3))</f>
        <v>5209.2618043469147</v>
      </c>
      <c r="BN29" s="24">
        <f>EchelleFPAparam!$S$3/('crmcfgWLEN.txt'!$U29+E$53)*(SIN(EchelleFPAparam!$T$3-EchelleFPAparam!$M$3/2)+SIN('Standard Settings'!$F24+EchelleFPAparam!$M$3))</f>
        <v>4775.1566539846708</v>
      </c>
      <c r="BO29" s="24">
        <f>EchelleFPAparam!$S$3/('crmcfgWLEN.txt'!$U29+F$53)*(SIN(EchelleFPAparam!$T$3-EchelleFPAparam!$M$3/2)+SIN('Standard Settings'!$F24+EchelleFPAparam!$M$3))</f>
        <v>4407.8369113704657</v>
      </c>
      <c r="BP29" s="24">
        <f>EchelleFPAparam!$S$3/('crmcfgWLEN.txt'!$U29+G$53)*(SIN(EchelleFPAparam!$T$3-EchelleFPAparam!$M$3/2)+SIN('Standard Settings'!$F24+EchelleFPAparam!$M$3))</f>
        <v>4092.9914177011465</v>
      </c>
      <c r="BQ29" s="24">
        <f>EchelleFPAparam!$S$3/('crmcfgWLEN.txt'!$U29+H$53)*(SIN(EchelleFPAparam!$T$3-EchelleFPAparam!$M$3/2)+SIN('Standard Settings'!$F24+EchelleFPAparam!$M$3))</f>
        <v>3820.1253231877367</v>
      </c>
      <c r="BR29" s="24">
        <f>EchelleFPAparam!$S$3/('crmcfgWLEN.txt'!$U29+I$53)*(SIN(EchelleFPAparam!$T$3-EchelleFPAparam!$M$3/2)+SIN('Standard Settings'!$F24+EchelleFPAparam!$M$3))</f>
        <v>3581.3674904885033</v>
      </c>
      <c r="BS29" s="24">
        <f>EchelleFPAparam!$S$3/('crmcfgWLEN.txt'!$U29+J$53)*(SIN(EchelleFPAparam!$T$3-EchelleFPAparam!$M$3/2)+SIN('Standard Settings'!$F24+EchelleFPAparam!$M$3))</f>
        <v>3370.6988145774149</v>
      </c>
      <c r="BT29" s="24">
        <f>EchelleFPAparam!$S$3/('crmcfgWLEN.txt'!$U29+K$53)*(SIN(EchelleFPAparam!$T$3-EchelleFPAparam!$M$3/2)+SIN('Standard Settings'!$F24+EchelleFPAparam!$M$3))</f>
        <v>3183.437769323114</v>
      </c>
      <c r="BU29" s="25">
        <f t="shared" si="33"/>
        <v>6131.065333511182</v>
      </c>
      <c r="BV29" s="25">
        <f t="shared" si="2"/>
        <v>5532.5952956512056</v>
      </c>
      <c r="BW29" s="25">
        <f t="shared" si="3"/>
        <v>5041.2211009808852</v>
      </c>
      <c r="BX29" s="25">
        <f t="shared" si="4"/>
        <v>4630.4549371972571</v>
      </c>
      <c r="BY29" s="25">
        <f t="shared" si="5"/>
        <v>4281.8987139027377</v>
      </c>
      <c r="BZ29" s="25">
        <f t="shared" si="6"/>
        <v>3982.3700280335484</v>
      </c>
      <c r="CA29" s="25">
        <f t="shared" si="7"/>
        <v>3722.1733918239484</v>
      </c>
      <c r="CB29" s="25">
        <f t="shared" si="8"/>
        <v>3494.0170638912227</v>
      </c>
      <c r="CC29" s="25">
        <f t="shared" si="9"/>
        <v>3292.3104700523586</v>
      </c>
      <c r="CD29" s="25">
        <f t="shared" si="10"/>
        <v>3112.6947077826003</v>
      </c>
      <c r="CE29" s="25">
        <f t="shared" si="34"/>
        <v>6621.5505601920777</v>
      </c>
      <c r="CF29" s="25">
        <f t="shared" si="11"/>
        <v>5942.4171694031456</v>
      </c>
      <c r="CG29" s="25">
        <f t="shared" si="12"/>
        <v>5388.8915217381882</v>
      </c>
      <c r="CH29" s="25">
        <f t="shared" si="13"/>
        <v>4929.1939654035314</v>
      </c>
      <c r="CI29" s="25">
        <f t="shared" si="14"/>
        <v>4541.4077268665405</v>
      </c>
      <c r="CJ29" s="25">
        <f t="shared" si="15"/>
        <v>4209.9340296354649</v>
      </c>
      <c r="CK29" s="25">
        <f t="shared" si="16"/>
        <v>3923.3719535441619</v>
      </c>
      <c r="CL29" s="25">
        <f t="shared" si="17"/>
        <v>3673.1974261420542</v>
      </c>
      <c r="CM29" s="25">
        <f t="shared" si="18"/>
        <v>3452.9109807866203</v>
      </c>
      <c r="CN29" s="25">
        <f t="shared" si="19"/>
        <v>3257.4712058190007</v>
      </c>
      <c r="CO29" s="26">
        <f>(EchelleFPAparam!$S$3/($U29+B$53)*COS((AG29-EchelleFPAparam!$AE25)*EchelleFPAparam!$C$3/EchelleFPAparam!$E$3))*(SIN('Standard Settings'!$F24)+SIN('Standard Settings'!$F24+EchelleFPAparam!$M$3+(EchelleFPAparam!$F$3*EchelleFPAparam!$B$6)*COS(EchelleFPAparam!$AC$3)-(AG29-1024)*SIN(EchelleFPAparam!$AC$3)*EchelleFPAparam!$C$3/EchelleFPAparam!$E$3))</f>
        <v>6384.1069480444912</v>
      </c>
      <c r="CP29" s="26">
        <f>(EchelleFPAparam!$S$3/($U29+C$53)*COS((AH29-EchelleFPAparam!$AE25)*EchelleFPAparam!$C$3/EchelleFPAparam!$E$3))*(SIN('Standard Settings'!$F24)+SIN('Standard Settings'!$F24+EchelleFPAparam!$M$3+(EchelleFPAparam!$F$3*EchelleFPAparam!$B$6)*COS(EchelleFPAparam!$AC$3)-(AH29-1024)*SIN(EchelleFPAparam!$AC$3)*EchelleFPAparam!$C$3/EchelleFPAparam!$E$3))</f>
        <v>5745.696253240043</v>
      </c>
      <c r="CQ29" s="26">
        <f>(EchelleFPAparam!$S$3/($U29+D$53)*COS((AI29-EchelleFPAparam!$AE25)*EchelleFPAparam!$C$3/EchelleFPAparam!$E$3))*(SIN('Standard Settings'!$F24)+SIN('Standard Settings'!$F24+EchelleFPAparam!$M$3+(EchelleFPAparam!$F$3*EchelleFPAparam!$B$6)*COS(EchelleFPAparam!$AC$3)-(AI29-1024)*SIN(EchelleFPAparam!$AC$3)*EchelleFPAparam!$C$3/EchelleFPAparam!$E$3))</f>
        <v>5223.8150079862535</v>
      </c>
      <c r="CR29" s="26">
        <f>(EchelleFPAparam!$S$3/($U29+E$53)*COS((AJ29-EchelleFPAparam!$AE25)*EchelleFPAparam!$C$3/EchelleFPAparam!$E$3))*(SIN('Standard Settings'!$F24)+SIN('Standard Settings'!$F24+EchelleFPAparam!$M$3+(EchelleFPAparam!$F$3*EchelleFPAparam!$B$6)*COS(EchelleFPAparam!$AC$3)-(AJ29-1024)*SIN(EchelleFPAparam!$AC$3)*EchelleFPAparam!$C$3/EchelleFPAparam!$E$3))</f>
        <v>4788.7621741714984</v>
      </c>
      <c r="CS29" s="26">
        <f>(EchelleFPAparam!$S$3/($U29+F$53)*COS((AK29-EchelleFPAparam!$AE25)*EchelleFPAparam!$C$3/EchelleFPAparam!$E$3))*(SIN('Standard Settings'!$F24)+SIN('Standard Settings'!$F24+EchelleFPAparam!$M$3+(EchelleFPAparam!$F$3*EchelleFPAparam!$B$6)*COS(EchelleFPAparam!$AC$3)-(AK29-1024)*SIN(EchelleFPAparam!$AC$3)*EchelleFPAparam!$C$3/EchelleFPAparam!$E$3))</f>
        <v>4420.5261776117413</v>
      </c>
      <c r="CT29" s="26">
        <f>(EchelleFPAparam!$S$3/($U29+G$53)*COS((AL29-EchelleFPAparam!$AE25)*EchelleFPAparam!$C$3/EchelleFPAparam!$E$3))*(SIN('Standard Settings'!$F24)+SIN('Standard Settings'!$F24+EchelleFPAparam!$M$3+(EchelleFPAparam!$F$3*EchelleFPAparam!$B$6)*COS(EchelleFPAparam!$AC$3)-(AL29-1024)*SIN(EchelleFPAparam!$AC$3)*EchelleFPAparam!$C$3/EchelleFPAparam!$E$3))</f>
        <v>4104.8257796331864</v>
      </c>
      <c r="CU29" s="26">
        <f>(EchelleFPAparam!$S$3/($U29+H$53)*COS((AM29-EchelleFPAparam!$AE25)*EchelleFPAparam!$C$3/EchelleFPAparam!$E$3))*(SIN('Standard Settings'!$F24)+SIN('Standard Settings'!$F24+EchelleFPAparam!$M$3+(EchelleFPAparam!$F$3*EchelleFPAparam!$B$6)*COS(EchelleFPAparam!$AC$3)-(AM29-1024)*SIN(EchelleFPAparam!$AC$3)*EchelleFPAparam!$C$3/EchelleFPAparam!$E$3))</f>
        <v>3831.175685589918</v>
      </c>
      <c r="CV29" s="26">
        <f>(EchelleFPAparam!$S$3/($U29+I$53)*COS((AN29-EchelleFPAparam!$AE25)*EchelleFPAparam!$C$3/EchelleFPAparam!$E$3))*(SIN('Standard Settings'!$F24)+SIN('Standard Settings'!$F24+EchelleFPAparam!$M$3+(EchelleFPAparam!$F$3*EchelleFPAparam!$B$6)*COS(EchelleFPAparam!$AC$3)-(AN29-1024)*SIN(EchelleFPAparam!$AC$3)*EchelleFPAparam!$C$3/EchelleFPAparam!$E$3))</f>
        <v>3591.7048716213599</v>
      </c>
      <c r="CW29" s="26">
        <f>(EchelleFPAparam!$S$3/($U29+J$53)*COS((AO29-EchelleFPAparam!$AE25)*EchelleFPAparam!$C$3/EchelleFPAparam!$E$3))*(SIN('Standard Settings'!$F24)+SIN('Standard Settings'!$F24+EchelleFPAparam!$M$3+(EchelleFPAparam!$F$3*EchelleFPAparam!$B$6)*COS(EchelleFPAparam!$AC$3)-(AO29-1024)*SIN(EchelleFPAparam!$AC$3)*EchelleFPAparam!$C$3/EchelleFPAparam!$E$3))</f>
        <v>3379.8213254353191</v>
      </c>
      <c r="CX29" s="26">
        <f>(EchelleFPAparam!$S$3/($U29+K$53)*COS((AP29-EchelleFPAparam!$AE25)*EchelleFPAparam!$C$3/EchelleFPAparam!$E$3))*(SIN('Standard Settings'!$F24)+SIN('Standard Settings'!$F24+EchelleFPAparam!$M$3+(EchelleFPAparam!$F$3*EchelleFPAparam!$B$6)*COS(EchelleFPAparam!$AC$3)-(AP29-1024)*SIN(EchelleFPAparam!$AC$3)*EchelleFPAparam!$C$3/EchelleFPAparam!$E$3))</f>
        <v>3192.0534740222456</v>
      </c>
      <c r="CY29" s="26">
        <f>(EchelleFPAparam!$S$3/($U29+B$53)*COS((AG29-EchelleFPAparam!$AE25)*EchelleFPAparam!$C$3/EchelleFPAparam!$E$3))*(SIN('Standard Settings'!$F24)+SIN('Standard Settings'!$F24+EchelleFPAparam!$M$3+EchelleFPAparam!$G$3*EchelleFPAparam!$B$6*COS(EchelleFPAparam!$AC$3)-(AG29-1024)*SIN(EchelleFPAparam!$AC$3)*EchelleFPAparam!$C$3/EchelleFPAparam!$E$3))</f>
        <v>6422.0940142178069</v>
      </c>
      <c r="CZ29" s="26">
        <f>(EchelleFPAparam!$S$3/($U29+C$53)*COS((AH29-EchelleFPAparam!$AE25)*EchelleFPAparam!$C$3/EchelleFPAparam!$E$3))*(SIN('Standard Settings'!$F24)+SIN('Standard Settings'!$F24+EchelleFPAparam!$M$3+EchelleFPAparam!$G$3*EchelleFPAparam!$B$6*COS(EchelleFPAparam!$AC$3)-(AH29-1024)*SIN(EchelleFPAparam!$AC$3)*EchelleFPAparam!$C$3/EchelleFPAparam!$E$3))</f>
        <v>5779.8846127960269</v>
      </c>
      <c r="DA29" s="26">
        <f>(EchelleFPAparam!$S$3/($U29+D$53)*COS((AI29-EchelleFPAparam!$AE25)*EchelleFPAparam!$C$3/EchelleFPAparam!$E$3))*(SIN('Standard Settings'!$F24)+SIN('Standard Settings'!$F24+EchelleFPAparam!$M$3+EchelleFPAparam!$G$3*EchelleFPAparam!$B$6*COS(EchelleFPAparam!$AC$3)-(AI29-1024)*SIN(EchelleFPAparam!$AC$3)*EchelleFPAparam!$C$3/EchelleFPAparam!$E$3))</f>
        <v>5254.8891883018659</v>
      </c>
      <c r="DB29" s="26">
        <f>(EchelleFPAparam!$S$3/($U29+E$53)*COS((AJ29-EchelleFPAparam!$AE25)*EchelleFPAparam!$C$3/EchelleFPAparam!$E$3))*(SIN('Standard Settings'!$F24)+SIN('Standard Settings'!$F24+EchelleFPAparam!$M$3+EchelleFPAparam!$G$3*EchelleFPAparam!$B$6*COS(EchelleFPAparam!$AC$3)-(AJ29-1024)*SIN(EchelleFPAparam!$AC$3)*EchelleFPAparam!$C$3/EchelleFPAparam!$E$3))</f>
        <v>4817.2410709379856</v>
      </c>
      <c r="DC29" s="26">
        <f>(EchelleFPAparam!$S$3/($U29+F$53)*COS((AK29-EchelleFPAparam!$AE25)*EchelleFPAparam!$C$3/EchelleFPAparam!$E$3))*(SIN('Standard Settings'!$F24)+SIN('Standard Settings'!$F24+EchelleFPAparam!$M$3+EchelleFPAparam!$G$3*EchelleFPAparam!$B$6*COS(EchelleFPAparam!$AC$3)-(AK29-1024)*SIN(EchelleFPAparam!$AC$3)*EchelleFPAparam!$C$3/EchelleFPAparam!$E$3))</f>
        <v>4446.8094162275429</v>
      </c>
      <c r="DD29" s="26">
        <f>(EchelleFPAparam!$S$3/($U29+G$53)*COS((AL29-EchelleFPAparam!$AE25)*EchelleFPAparam!$C$3/EchelleFPAparam!$E$3))*(SIN('Standard Settings'!$F24)+SIN('Standard Settings'!$F24+EchelleFPAparam!$M$3+EchelleFPAparam!$G$3*EchelleFPAparam!$B$6*COS(EchelleFPAparam!$AC$3)-(AL29-1024)*SIN(EchelleFPAparam!$AC$3)*EchelleFPAparam!$C$3/EchelleFPAparam!$E$3))</f>
        <v>4129.2273632728347</v>
      </c>
      <c r="DE29" s="26">
        <f>(EchelleFPAparam!$S$3/($U29+H$53)*COS((AM29-EchelleFPAparam!$AE25)*EchelleFPAparam!$C$3/EchelleFPAparam!$E$3))*(SIN('Standard Settings'!$F24)+SIN('Standard Settings'!$F24+EchelleFPAparam!$M$3+EchelleFPAparam!$G$3*EchelleFPAparam!$B$6*COS(EchelleFPAparam!$AC$3)-(AM29-1024)*SIN(EchelleFPAparam!$AC$3)*EchelleFPAparam!$C$3/EchelleFPAparam!$E$3))</f>
        <v>3853.9468065307801</v>
      </c>
      <c r="DF29" s="26">
        <f>(EchelleFPAparam!$S$3/($U29+I$53)*COS((AN29-EchelleFPAparam!$AE25)*EchelleFPAparam!$C$3/EchelleFPAparam!$E$3))*(SIN('Standard Settings'!$F24)+SIN('Standard Settings'!$F24+EchelleFPAparam!$M$3+EchelleFPAparam!$G$3*EchelleFPAparam!$B$6*COS(EchelleFPAparam!$AC$3)-(AN29-1024)*SIN(EchelleFPAparam!$AC$3)*EchelleFPAparam!$C$3/EchelleFPAparam!$E$3))</f>
        <v>3613.0496051278528</v>
      </c>
      <c r="DG29" s="26">
        <f>(EchelleFPAparam!$S$3/($U29+J$53)*COS((AO29-EchelleFPAparam!$AE25)*EchelleFPAparam!$C$3/EchelleFPAparam!$E$3))*(SIN('Standard Settings'!$F24)+SIN('Standard Settings'!$F24+EchelleFPAparam!$M$3+EchelleFPAparam!$G$3*EchelleFPAparam!$B$6*COS(EchelleFPAparam!$AC$3)-(AO29-1024)*SIN(EchelleFPAparam!$AC$3)*EchelleFPAparam!$C$3/EchelleFPAparam!$E$3))</f>
        <v>3399.932125174133</v>
      </c>
      <c r="DH29" s="26">
        <f>(EchelleFPAparam!$S$3/($U29+K$53)*COS((AP29-EchelleFPAparam!$AE25)*EchelleFPAparam!$C$3/EchelleFPAparam!$E$3))*(SIN('Standard Settings'!$F24)+SIN('Standard Settings'!$F24+EchelleFPAparam!$M$3+EchelleFPAparam!$G$3*EchelleFPAparam!$B$6*COS(EchelleFPAparam!$AC$3)-(AP29-1024)*SIN(EchelleFPAparam!$AC$3)*EchelleFPAparam!$C$3/EchelleFPAparam!$E$3))</f>
        <v>3211.0470071089035</v>
      </c>
      <c r="DI29" s="26">
        <f>(EchelleFPAparam!$S$3/($U29+B$53)*COS((AQ29-EchelleFPAparam!$AE25)*EchelleFPAparam!$C$3/EchelleFPAparam!$E$3))*(SIN('Standard Settings'!$F24)+SIN('Standard Settings'!$F24+EchelleFPAparam!$M$3+EchelleFPAparam!$H$3*EchelleFPAparam!$B$6*COS(EchelleFPAparam!$AC$3)-(AQ29-1024)*SIN(EchelleFPAparam!$AC$3)*EchelleFPAparam!$C$3/EchelleFPAparam!$E$3))</f>
        <v>6424.6961395479184</v>
      </c>
      <c r="DJ29" s="26">
        <f>(EchelleFPAparam!$S$3/($U29+C$53)*COS((AR29-EchelleFPAparam!$AE25)*EchelleFPAparam!$C$3/EchelleFPAparam!$E$3))*(SIN('Standard Settings'!$F24)+SIN('Standard Settings'!$F24+EchelleFPAparam!$M$3+EchelleFPAparam!$H$3*EchelleFPAparam!$B$6*COS(EchelleFPAparam!$AC$3)-(AR29-1024)*SIN(EchelleFPAparam!$AC$3)*EchelleFPAparam!$C$3/EchelleFPAparam!$E$3))</f>
        <v>5782.226525593127</v>
      </c>
      <c r="DK29" s="26">
        <f>(EchelleFPAparam!$S$3/($U29+D$53)*COS((AS29-EchelleFPAparam!$AE25)*EchelleFPAparam!$C$3/EchelleFPAparam!$E$3))*(SIN('Standard Settings'!$F24)+SIN('Standard Settings'!$F24+EchelleFPAparam!$M$3+EchelleFPAparam!$H$3*EchelleFPAparam!$B$6*COS(EchelleFPAparam!$AC$3)-(AS29-1024)*SIN(EchelleFPAparam!$AC$3)*EchelleFPAparam!$C$3/EchelleFPAparam!$E$3))</f>
        <v>5257.0380107233132</v>
      </c>
      <c r="DL29" s="26">
        <f>(EchelleFPAparam!$S$3/($U29+E$53)*COS((AT29-EchelleFPAparam!$AE25)*EchelleFPAparam!$C$3/EchelleFPAparam!$E$3))*(SIN('Standard Settings'!$F24)+SIN('Standard Settings'!$F24+EchelleFPAparam!$M$3+EchelleFPAparam!$H$3*EchelleFPAparam!$B$6*COS(EchelleFPAparam!$AC$3)-(AT29-1024)*SIN(EchelleFPAparam!$AC$3)*EchelleFPAparam!$C$3/EchelleFPAparam!$E$3))</f>
        <v>4819.2050298283084</v>
      </c>
      <c r="DM29" s="26">
        <f>(EchelleFPAparam!$S$3/($U29+F$53)*COS((AU29-EchelleFPAparam!$AE25)*EchelleFPAparam!$C$3/EchelleFPAparam!$E$3))*(SIN('Standard Settings'!$F24)+SIN('Standard Settings'!$F24+EchelleFPAparam!$M$3+EchelleFPAparam!$H$3*EchelleFPAparam!$B$6*COS(EchelleFPAparam!$AC$3)-(AU29-1024)*SIN(EchelleFPAparam!$AC$3)*EchelleFPAparam!$C$3/EchelleFPAparam!$E$3))</f>
        <v>4448.6169113589058</v>
      </c>
      <c r="DN29" s="26">
        <f>(EchelleFPAparam!$S$3/($U29+G$53)*COS((AV29-EchelleFPAparam!$AE25)*EchelleFPAparam!$C$3/EchelleFPAparam!$E$3))*(SIN('Standard Settings'!$F24)+SIN('Standard Settings'!$F24+EchelleFPAparam!$M$3+EchelleFPAparam!$H$3*EchelleFPAparam!$B$6*COS(EchelleFPAparam!$AC$3)-(AV29-1024)*SIN(EchelleFPAparam!$AC$3)*EchelleFPAparam!$C$3/EchelleFPAparam!$E$3))</f>
        <v>4130.9008545928427</v>
      </c>
      <c r="DO29" s="26">
        <f>(EchelleFPAparam!$S$3/($U29+H$53)*COS((AW29-EchelleFPAparam!$AE25)*EchelleFPAparam!$C$3/EchelleFPAparam!$E$3))*(SIN('Standard Settings'!$F24)+SIN('Standard Settings'!$F24+EchelleFPAparam!$M$3+EchelleFPAparam!$H$3*EchelleFPAparam!$B$6*COS(EchelleFPAparam!$AC$3)-(AW29-1024)*SIN(EchelleFPAparam!$AC$3)*EchelleFPAparam!$C$3/EchelleFPAparam!$E$3))</f>
        <v>3855.5043655174845</v>
      </c>
      <c r="DP29" s="26">
        <f>(EchelleFPAparam!$S$3/($U29+I$53)*COS((AX29-EchelleFPAparam!$AE25)*EchelleFPAparam!$C$3/EchelleFPAparam!$E$3))*(SIN('Standard Settings'!$F24)+SIN('Standard Settings'!$F24+EchelleFPAparam!$M$3+EchelleFPAparam!$H$3*EchelleFPAparam!$B$6*COS(EchelleFPAparam!$AC$3)-(AX29-1024)*SIN(EchelleFPAparam!$AC$3)*EchelleFPAparam!$C$3/EchelleFPAparam!$E$3))</f>
        <v>3614.5059145141131</v>
      </c>
      <c r="DQ29" s="26">
        <f>(EchelleFPAparam!$S$3/($U29+J$53)*COS((AY29-EchelleFPAparam!$AE25)*EchelleFPAparam!$C$3/EchelleFPAparam!$E$3))*(SIN('Standard Settings'!$F24)+SIN('Standard Settings'!$F24+EchelleFPAparam!$M$3+EchelleFPAparam!$H$3*EchelleFPAparam!$B$6*COS(EchelleFPAparam!$AC$3)-(AY29-1024)*SIN(EchelleFPAparam!$AC$3)*EchelleFPAparam!$C$3/EchelleFPAparam!$E$3))</f>
        <v>3401.3097209371335</v>
      </c>
      <c r="DR29" s="26">
        <f>(EchelleFPAparam!$S$3/($U29+K$53)*COS((AZ29-EchelleFPAparam!$AE25)*EchelleFPAparam!$C$3/EchelleFPAparam!$E$3))*(SIN('Standard Settings'!$F24)+SIN('Standard Settings'!$F24+EchelleFPAparam!$M$3+EchelleFPAparam!$H$3*EchelleFPAparam!$B$6*COS(EchelleFPAparam!$AC$3)-(AZ29-1024)*SIN(EchelleFPAparam!$AC$3)*EchelleFPAparam!$C$3/EchelleFPAparam!$E$3))</f>
        <v>3212.3480697739592</v>
      </c>
      <c r="DS29" s="26">
        <f>(EchelleFPAparam!$S$3/($U29+B$53)*COS((AQ29-EchelleFPAparam!$AE25)*EchelleFPAparam!$C$3/EchelleFPAparam!$E$3))*(SIN('Standard Settings'!$F24)+SIN('Standard Settings'!$F24+EchelleFPAparam!$M$3+EchelleFPAparam!$I$3*EchelleFPAparam!$B$6*COS(EchelleFPAparam!$AC$3)-(AQ29-1024)*SIN(EchelleFPAparam!$AC$3)*EchelleFPAparam!$C$3/EchelleFPAparam!$E$3))</f>
        <v>6460.6312410316914</v>
      </c>
      <c r="DT29" s="26">
        <f>(EchelleFPAparam!$S$3/($U29+C$53)*COS((AR29-EchelleFPAparam!$AE25)*EchelleFPAparam!$C$3/EchelleFPAparam!$E$3))*(SIN('Standard Settings'!$F24)+SIN('Standard Settings'!$F24+EchelleFPAparam!$M$3+EchelleFPAparam!$I$3*EchelleFPAparam!$B$6*COS(EchelleFPAparam!$AC$3)-(AR29-1024)*SIN(EchelleFPAparam!$AC$3)*EchelleFPAparam!$C$3/EchelleFPAparam!$E$3))</f>
        <v>5814.5681169285226</v>
      </c>
      <c r="DU29" s="26">
        <f>(EchelleFPAparam!$S$3/($U29+D$53)*COS((AS29-EchelleFPAparam!$AE25)*EchelleFPAparam!$C$3/EchelleFPAparam!$E$3))*(SIN('Standard Settings'!$F24)+SIN('Standard Settings'!$F24+EchelleFPAparam!$M$3+EchelleFPAparam!$I$3*EchelleFPAparam!$B$6*COS(EchelleFPAparam!$AC$3)-(AS29-1024)*SIN(EchelleFPAparam!$AC$3)*EchelleFPAparam!$C$3/EchelleFPAparam!$E$3))</f>
        <v>5286.4327499076635</v>
      </c>
      <c r="DV29" s="26">
        <f>(EchelleFPAparam!$S$3/($U29+E$53)*COS((AT29-EchelleFPAparam!$AE25)*EchelleFPAparam!$C$3/EchelleFPAparam!$E$3))*(SIN('Standard Settings'!$F24)+SIN('Standard Settings'!$F24+EchelleFPAparam!$M$3+EchelleFPAparam!$I$3*EchelleFPAparam!$B$6*COS(EchelleFPAparam!$AC$3)-(AT29-1024)*SIN(EchelleFPAparam!$AC$3)*EchelleFPAparam!$C$3/EchelleFPAparam!$E$3))</f>
        <v>4846.1442450633695</v>
      </c>
      <c r="DW29" s="26">
        <f>(EchelleFPAparam!$S$3/($U29+F$53)*COS((AU29-EchelleFPAparam!$AE25)*EchelleFPAparam!$C$3/EchelleFPAparam!$E$3))*(SIN('Standard Settings'!$F24)+SIN('Standard Settings'!$F24+EchelleFPAparam!$M$3+EchelleFPAparam!$I$3*EchelleFPAparam!$B$6*COS(EchelleFPAparam!$AC$3)-(AU29-1024)*SIN(EchelleFPAparam!$AC$3)*EchelleFPAparam!$C$3/EchelleFPAparam!$E$3))</f>
        <v>4473.478773562314</v>
      </c>
      <c r="DX29" s="26">
        <f>(EchelleFPAparam!$S$3/($U29+G$53)*COS((AV29-EchelleFPAparam!$AE25)*EchelleFPAparam!$C$3/EchelleFPAparam!$E$3))*(SIN('Standard Settings'!$F24)+SIN('Standard Settings'!$F24+EchelleFPAparam!$M$3+EchelleFPAparam!$I$3*EchelleFPAparam!$B$6*COS(EchelleFPAparam!$AC$3)-(AV29-1024)*SIN(EchelleFPAparam!$AC$3)*EchelleFPAparam!$C$3/EchelleFPAparam!$E$3))</f>
        <v>4153.982497699476</v>
      </c>
      <c r="DY29" s="26">
        <f>(EchelleFPAparam!$S$3/($U29+H$53)*COS((AW29-EchelleFPAparam!$AE25)*EchelleFPAparam!$C$3/EchelleFPAparam!$E$3))*(SIN('Standard Settings'!$F24)+SIN('Standard Settings'!$F24+EchelleFPAparam!$M$3+EchelleFPAparam!$I$3*EchelleFPAparam!$B$6*COS(EchelleFPAparam!$AC$3)-(AW29-1024)*SIN(EchelleFPAparam!$AC$3)*EchelleFPAparam!$C$3/EchelleFPAparam!$E$3))</f>
        <v>3877.0434801420406</v>
      </c>
      <c r="DZ29" s="26">
        <f>(EchelleFPAparam!$S$3/($U29+I$53)*COS((AX29-EchelleFPAparam!$AE25)*EchelleFPAparam!$C$3/EchelleFPAparam!$E$3))*(SIN('Standard Settings'!$F24)+SIN('Standard Settings'!$F24+EchelleFPAparam!$M$3+EchelleFPAparam!$I$3*EchelleFPAparam!$B$6*COS(EchelleFPAparam!$AC$3)-(AX29-1024)*SIN(EchelleFPAparam!$AC$3)*EchelleFPAparam!$C$3/EchelleFPAparam!$E$3))</f>
        <v>3634.6955943279158</v>
      </c>
      <c r="EA29" s="26">
        <f>(EchelleFPAparam!$S$3/($U29+J$53)*COS((AY29-EchelleFPAparam!$AE25)*EchelleFPAparam!$C$3/EchelleFPAparam!$E$3))*(SIN('Standard Settings'!$F24)+SIN('Standard Settings'!$F24+EchelleFPAparam!$M$3+EchelleFPAparam!$I$3*EchelleFPAparam!$B$6*COS(EchelleFPAparam!$AC$3)-(AY29-1024)*SIN(EchelleFPAparam!$AC$3)*EchelleFPAparam!$C$3/EchelleFPAparam!$E$3))</f>
        <v>3420.3341864285426</v>
      </c>
      <c r="EB29" s="26">
        <f>(EchelleFPAparam!$S$3/($U29+K$53)*COS((AZ29-EchelleFPAparam!$AE25)*EchelleFPAparam!$C$3/EchelleFPAparam!$E$3))*(SIN('Standard Settings'!$F24)+SIN('Standard Settings'!$F24+EchelleFPAparam!$M$3+EchelleFPAparam!$I$3*EchelleFPAparam!$B$6*COS(EchelleFPAparam!$AC$3)-(AZ29-1024)*SIN(EchelleFPAparam!$AC$3)*EchelleFPAparam!$C$3/EchelleFPAparam!$E$3))</f>
        <v>3230.3156205158457</v>
      </c>
      <c r="EC29" s="26">
        <f>(EchelleFPAparam!$S$3/($U29+B$53)*COS((BA29-EchelleFPAparam!$AE25)*EchelleFPAparam!$C$3/EchelleFPAparam!$E$3))*(SIN('Standard Settings'!$F24)+SIN('Standard Settings'!$F24+EchelleFPAparam!$M$3+EchelleFPAparam!$J$3*EchelleFPAparam!$B$6*COS(EchelleFPAparam!$AC$3)-(BA29-1024)*SIN(EchelleFPAparam!$AC$3)*EchelleFPAparam!$C$3/EchelleFPAparam!$E$3))</f>
        <v>6463.1588885271622</v>
      </c>
      <c r="ED29" s="26">
        <f>(EchelleFPAparam!$S$3/($U29+C$53)*COS((BB29-EchelleFPAparam!$AE25)*EchelleFPAparam!$C$3/EchelleFPAparam!$E$3))*(SIN('Standard Settings'!$F24)+SIN('Standard Settings'!$F24+EchelleFPAparam!$M$3+EchelleFPAparam!$J$3*EchelleFPAparam!$B$6*COS(EchelleFPAparam!$AC$3)-(BB29-1024)*SIN(EchelleFPAparam!$AC$3)*EchelleFPAparam!$C$3/EchelleFPAparam!$E$3))</f>
        <v>5816.8429996744462</v>
      </c>
      <c r="EE29" s="26">
        <f>(EchelleFPAparam!$S$3/($U29+D$53)*COS((BC29-EchelleFPAparam!$AE25)*EchelleFPAparam!$C$3/EchelleFPAparam!$E$3))*(SIN('Standard Settings'!$F24)+SIN('Standard Settings'!$F24+EchelleFPAparam!$M$3+EchelleFPAparam!$J$3*EchelleFPAparam!$B$6*COS(EchelleFPAparam!$AC$3)-(BC29-1024)*SIN(EchelleFPAparam!$AC$3)*EchelleFPAparam!$C$3/EchelleFPAparam!$E$3))</f>
        <v>5288.5190775689171</v>
      </c>
      <c r="EF29" s="26">
        <f>(EchelleFPAparam!$S$3/($U29+E$53)*COS((BD29-EchelleFPAparam!$AE25)*EchelleFPAparam!$C$3/EchelleFPAparam!$E$3))*(SIN('Standard Settings'!$F24)+SIN('Standard Settings'!$F24+EchelleFPAparam!$M$3+EchelleFPAparam!$J$3*EchelleFPAparam!$B$6*COS(EchelleFPAparam!$AC$3)-(BD29-1024)*SIN(EchelleFPAparam!$AC$3)*EchelleFPAparam!$C$3/EchelleFPAparam!$E$3))</f>
        <v>4848.0511743406105</v>
      </c>
      <c r="EG29" s="26">
        <f>(EchelleFPAparam!$S$3/($U29+F$53)*COS((BE29-EchelleFPAparam!$AE25)*EchelleFPAparam!$C$3/EchelleFPAparam!$E$3))*(SIN('Standard Settings'!$F24)+SIN('Standard Settings'!$F24+EchelleFPAparam!$M$3+EchelleFPAparam!$J$3*EchelleFPAparam!$B$6*COS(EchelleFPAparam!$AC$3)-(BE29-1024)*SIN(EchelleFPAparam!$AC$3)*EchelleFPAparam!$C$3/EchelleFPAparam!$E$3))</f>
        <v>4475.23364368692</v>
      </c>
      <c r="EH29" s="26">
        <f>(EchelleFPAparam!$S$3/($U29+G$53)*COS((BF29-EchelleFPAparam!$AE25)*EchelleFPAparam!$C$3/EchelleFPAparam!$E$3))*(SIN('Standard Settings'!$F24)+SIN('Standard Settings'!$F24+EchelleFPAparam!$M$3+EchelleFPAparam!$J$3*EchelleFPAparam!$B$6*COS(EchelleFPAparam!$AC$3)-(BF29-1024)*SIN(EchelleFPAparam!$AC$3)*EchelleFPAparam!$C$3/EchelleFPAparam!$E$3))</f>
        <v>4155.6070272256511</v>
      </c>
      <c r="EI29" s="26">
        <f>(EchelleFPAparam!$S$3/($U29+H$53)*COS((BG29-EchelleFPAparam!$AE25)*EchelleFPAparam!$C$3/EchelleFPAparam!$E$3))*(SIN('Standard Settings'!$F24)+SIN('Standard Settings'!$F24+EchelleFPAparam!$M$3+EchelleFPAparam!$J$3*EchelleFPAparam!$B$6*COS(EchelleFPAparam!$AC$3)-(BG29-1024)*SIN(EchelleFPAparam!$AC$3)*EchelleFPAparam!$C$3/EchelleFPAparam!$E$3))</f>
        <v>3878.5551708326207</v>
      </c>
      <c r="EJ29" s="26">
        <f>(EchelleFPAparam!$S$3/($U29+I$53)*COS((BH29-EchelleFPAparam!$AE25)*EchelleFPAparam!$C$3/EchelleFPAparam!$E$3))*(SIN('Standard Settings'!$F24)+SIN('Standard Settings'!$F24+EchelleFPAparam!$M$3+EchelleFPAparam!$J$3*EchelleFPAparam!$B$6*COS(EchelleFPAparam!$AC$3)-(BH29-1024)*SIN(EchelleFPAparam!$AC$3)*EchelleFPAparam!$C$3/EchelleFPAparam!$E$3))</f>
        <v>3636.1087400128354</v>
      </c>
      <c r="EK29" s="26">
        <f>(EchelleFPAparam!$S$3/($U29+J$53)*COS((BI29-EchelleFPAparam!$AE25)*EchelleFPAparam!$C$3/EchelleFPAparam!$E$3))*(SIN('Standard Settings'!$F24)+SIN('Standard Settings'!$F24+EchelleFPAparam!$M$3+EchelleFPAparam!$J$3*EchelleFPAparam!$B$6*COS(EchelleFPAparam!$AC$3)-(BI29-1024)*SIN(EchelleFPAparam!$AC$3)*EchelleFPAparam!$C$3/EchelleFPAparam!$E$3))</f>
        <v>3421.6723527496742</v>
      </c>
      <c r="EL29" s="26">
        <f>(EchelleFPAparam!$S$3/($U29+K$53)*COS((BJ29-EchelleFPAparam!$AE25)*EchelleFPAparam!$C$3/EchelleFPAparam!$E$3))*(SIN('Standard Settings'!$F24)+SIN('Standard Settings'!$F24+EchelleFPAparam!$M$3+EchelleFPAparam!$J$3*EchelleFPAparam!$B$6*COS(EchelleFPAparam!$AC$3)-(BJ29-1024)*SIN(EchelleFPAparam!$AC$3)*EchelleFPAparam!$C$3/EchelleFPAparam!$E$3))</f>
        <v>3231.5794442635811</v>
      </c>
      <c r="EM29" s="26">
        <f>(EchelleFPAparam!$S$3/($U29+B$53)*COS((BA29-EchelleFPAparam!$AE25)*EchelleFPAparam!$C$3/EchelleFPAparam!$E$3))*(SIN('Standard Settings'!$F24)+SIN('Standard Settings'!$F24+EchelleFPAparam!$M$3+EchelleFPAparam!$K$3*EchelleFPAparam!$B$6*COS(EchelleFPAparam!$AC$3)-(BA29-1024)*SIN(EchelleFPAparam!$AC$3)*EchelleFPAparam!$C$3/EchelleFPAparam!$E$3))</f>
        <v>6497.0131045158159</v>
      </c>
      <c r="EN29" s="26">
        <f>(EchelleFPAparam!$S$3/($U29+C$53)*COS((BB29-EchelleFPAparam!$AE25)*EchelleFPAparam!$C$3/EchelleFPAparam!$E$3))*(SIN('Standard Settings'!$F24)+SIN('Standard Settings'!$F24+EchelleFPAparam!$M$3+EchelleFPAparam!$K$3*EchelleFPAparam!$B$6*COS(EchelleFPAparam!$AC$3)-(BB29-1024)*SIN(EchelleFPAparam!$AC$3)*EchelleFPAparam!$C$3/EchelleFPAparam!$E$3))</f>
        <v>5847.3117940642351</v>
      </c>
      <c r="EO29" s="26">
        <f>(EchelleFPAparam!$S$3/($U29+D$53)*COS((BC29-EchelleFPAparam!$AE25)*EchelleFPAparam!$C$3/EchelleFPAparam!$E$3))*(SIN('Standard Settings'!$F24)+SIN('Standard Settings'!$F24+EchelleFPAparam!$M$3+EchelleFPAparam!$K$3*EchelleFPAparam!$B$6*COS(EchelleFPAparam!$AC$3)-(BC29-1024)*SIN(EchelleFPAparam!$AC$3)*EchelleFPAparam!$C$3/EchelleFPAparam!$E$3))</f>
        <v>5316.2107105726882</v>
      </c>
      <c r="EP29" s="26">
        <f>(EchelleFPAparam!$S$3/($U29+E$53)*COS((BD29-EchelleFPAparam!$AE25)*EchelleFPAparam!$C$3/EchelleFPAparam!$E$3))*(SIN('Standard Settings'!$F24)+SIN('Standard Settings'!$F24+EchelleFPAparam!$M$3+EchelleFPAparam!$K$3*EchelleFPAparam!$B$6*COS(EchelleFPAparam!$AC$3)-(BD29-1024)*SIN(EchelleFPAparam!$AC$3)*EchelleFPAparam!$C$3/EchelleFPAparam!$E$3))</f>
        <v>4873.4290161518229</v>
      </c>
      <c r="EQ29" s="26">
        <f>(EchelleFPAparam!$S$3/($U29+F$53)*COS((BE29-EchelleFPAparam!$AE25)*EchelleFPAparam!$C$3/EchelleFPAparam!$E$3))*(SIN('Standard Settings'!$F24)+SIN('Standard Settings'!$F24+EchelleFPAparam!$M$3+EchelleFPAparam!$K$3*EchelleFPAparam!$B$6*COS(EchelleFPAparam!$AC$3)-(BE29-1024)*SIN(EchelleFPAparam!$AC$3)*EchelleFPAparam!$C$3/EchelleFPAparam!$E$3))</f>
        <v>4498.654107471586</v>
      </c>
      <c r="ER29" s="26">
        <f>(EchelleFPAparam!$S$3/($U29+G$53)*COS((BF29-EchelleFPAparam!$AE25)*EchelleFPAparam!$C$3/EchelleFPAparam!$E$3))*(SIN('Standard Settings'!$F24)+SIN('Standard Settings'!$F24+EchelleFPAparam!$M$3+EchelleFPAparam!$K$3*EchelleFPAparam!$B$6*COS(EchelleFPAparam!$AC$3)-(BF29-1024)*SIN(EchelleFPAparam!$AC$3)*EchelleFPAparam!$C$3/EchelleFPAparam!$E$3))</f>
        <v>4177.3501396810789</v>
      </c>
      <c r="ES29" s="26">
        <f>(EchelleFPAparam!$S$3/($U29+H$53)*COS((BG29-EchelleFPAparam!$AE25)*EchelleFPAparam!$C$3/EchelleFPAparam!$E$3))*(SIN('Standard Settings'!$F24)+SIN('Standard Settings'!$F24+EchelleFPAparam!$M$3+EchelleFPAparam!$K$3*EchelleFPAparam!$B$6*COS(EchelleFPAparam!$AC$3)-(BG29-1024)*SIN(EchelleFPAparam!$AC$3)*EchelleFPAparam!$C$3/EchelleFPAparam!$E$3))</f>
        <v>3898.8449252542</v>
      </c>
      <c r="ET29" s="26">
        <f>(EchelleFPAparam!$S$3/($U29+I$53)*COS((BH29-EchelleFPAparam!$AE25)*EchelleFPAparam!$C$3/EchelleFPAparam!$E$3))*(SIN('Standard Settings'!$F24)+SIN('Standard Settings'!$F24+EchelleFPAparam!$M$3+EchelleFPAparam!$K$3*EchelleFPAparam!$B$6*COS(EchelleFPAparam!$AC$3)-(BH29-1024)*SIN(EchelleFPAparam!$AC$3)*EchelleFPAparam!$C$3/EchelleFPAparam!$E$3))</f>
        <v>3655.1271009850402</v>
      </c>
      <c r="EU29" s="26">
        <f>(EchelleFPAparam!$S$3/($U29+J$53)*COS((BI29-EchelleFPAparam!$AE25)*EchelleFPAparam!$C$3/EchelleFPAparam!$E$3))*(SIN('Standard Settings'!$F24)+SIN('Standard Settings'!$F24+EchelleFPAparam!$M$3+EchelleFPAparam!$K$3*EchelleFPAparam!$B$6*COS(EchelleFPAparam!$AC$3)-(BI29-1024)*SIN(EchelleFPAparam!$AC$3)*EchelleFPAparam!$C$3/EchelleFPAparam!$E$3))</f>
        <v>3439.5951729789613</v>
      </c>
      <c r="EV29" s="26">
        <f>(EchelleFPAparam!$S$3/($U29+K$53)*COS((BJ29-EchelleFPAparam!$AE25)*EchelleFPAparam!$C$3/EchelleFPAparam!$E$3))*(SIN('Standard Settings'!$F24)+SIN('Standard Settings'!$F24+EchelleFPAparam!$M$3+EchelleFPAparam!$K$3*EchelleFPAparam!$B$6*COS(EchelleFPAparam!$AC$3)-(BJ29-1024)*SIN(EchelleFPAparam!$AC$3)*EchelleFPAparam!$C$3/EchelleFPAparam!$E$3))</f>
        <v>3248.506552257908</v>
      </c>
      <c r="EW29" s="60">
        <f t="shared" si="40"/>
        <v>3591.7048716213599</v>
      </c>
      <c r="EX29" s="60">
        <f t="shared" si="41"/>
        <v>5847.3117940642351</v>
      </c>
      <c r="EY29" s="90">
        <v>0.39</v>
      </c>
      <c r="EZ29" s="90">
        <v>0.36</v>
      </c>
      <c r="FA29" s="50">
        <v>30000</v>
      </c>
      <c r="FB29" s="95">
        <v>1000</v>
      </c>
      <c r="FC29" s="95">
        <v>1000</v>
      </c>
      <c r="FD29" s="50">
        <v>2900</v>
      </c>
      <c r="FE29" s="50">
        <v>2900</v>
      </c>
      <c r="FF29" s="50">
        <v>5000</v>
      </c>
      <c r="FG29" s="95">
        <v>1000</v>
      </c>
      <c r="FH29" s="95">
        <f t="shared" si="27"/>
        <v>250</v>
      </c>
      <c r="FI29" s="95">
        <f t="shared" si="28"/>
        <v>250</v>
      </c>
      <c r="FJ29" s="50">
        <f t="shared" si="29"/>
        <v>725</v>
      </c>
      <c r="FK29" s="50">
        <f t="shared" si="30"/>
        <v>725</v>
      </c>
      <c r="FL29" s="50">
        <f t="shared" si="31"/>
        <v>1250</v>
      </c>
      <c r="FM29" s="95">
        <f t="shared" si="32"/>
        <v>250</v>
      </c>
      <c r="FN29" s="50">
        <v>500</v>
      </c>
      <c r="FO29" s="91">
        <f>1/(F29*EchelleFPAparam!$Q$3)</f>
        <v>-3174.1459967581031</v>
      </c>
      <c r="FP29" s="91">
        <f t="shared" si="22"/>
        <v>-38.532802922314382</v>
      </c>
      <c r="FQ29" s="50">
        <v>-999999</v>
      </c>
      <c r="FR29" s="50">
        <v>-999999</v>
      </c>
      <c r="FS29" s="90">
        <v>1</v>
      </c>
      <c r="FT29" s="90">
        <v>184.72300000000001</v>
      </c>
      <c r="FU29" s="90">
        <v>1606.154</v>
      </c>
      <c r="FV29" s="50">
        <v>-999999</v>
      </c>
      <c r="FW29" s="50">
        <v>-999999</v>
      </c>
      <c r="FX29" s="50">
        <v>-999999</v>
      </c>
      <c r="FY29" s="90">
        <v>2</v>
      </c>
      <c r="FZ29" s="90">
        <v>762.34500000000003</v>
      </c>
      <c r="GA29" s="90">
        <v>1865.4580000000001</v>
      </c>
      <c r="GB29" s="50">
        <v>-999999</v>
      </c>
      <c r="GC29" s="50">
        <v>-999999</v>
      </c>
      <c r="GD29" s="50">
        <v>-999999</v>
      </c>
      <c r="GE29" s="90">
        <v>2</v>
      </c>
      <c r="GF29" s="90">
        <v>205.202</v>
      </c>
      <c r="GG29" s="90">
        <v>1098.009</v>
      </c>
      <c r="GH29" s="50">
        <v>-999999</v>
      </c>
      <c r="GI29" s="50">
        <v>-999999</v>
      </c>
      <c r="GJ29" s="50">
        <v>-999999</v>
      </c>
      <c r="GK29" s="90">
        <v>3</v>
      </c>
      <c r="GL29" s="90">
        <v>255.38900000000001</v>
      </c>
      <c r="GM29" s="90">
        <v>1668.9169999999999</v>
      </c>
      <c r="GN29" s="50">
        <v>-999999</v>
      </c>
      <c r="GO29" s="50">
        <v>-999999</v>
      </c>
      <c r="GP29" s="50">
        <v>-999999</v>
      </c>
      <c r="GQ29" s="50">
        <v>-999999</v>
      </c>
      <c r="GR29" s="50">
        <v>-999999</v>
      </c>
      <c r="GS29" s="50">
        <v>-999999</v>
      </c>
      <c r="GT29" s="50">
        <v>-999999</v>
      </c>
      <c r="GU29" s="50">
        <v>-999999</v>
      </c>
      <c r="GV29" s="50">
        <v>-999999</v>
      </c>
      <c r="GW29" s="50">
        <v>-999999</v>
      </c>
      <c r="GX29" s="50">
        <v>-999999</v>
      </c>
      <c r="GY29" s="50">
        <v>-999999</v>
      </c>
      <c r="GZ29" s="50">
        <v>-999999</v>
      </c>
      <c r="HA29" s="50">
        <v>-999999</v>
      </c>
      <c r="HB29" s="50">
        <v>-999999</v>
      </c>
      <c r="HC29" s="50">
        <v>-999999</v>
      </c>
      <c r="HD29" s="50">
        <v>-999999</v>
      </c>
      <c r="HE29" s="50">
        <v>-999999</v>
      </c>
      <c r="HF29" s="50">
        <v>-999999</v>
      </c>
      <c r="HG29" s="50">
        <v>-999999</v>
      </c>
      <c r="HH29" s="50">
        <v>-999999</v>
      </c>
      <c r="HI29" s="50">
        <v>-999999</v>
      </c>
      <c r="HJ29" s="50">
        <v>-999999</v>
      </c>
      <c r="HK29" s="50">
        <v>-999999</v>
      </c>
      <c r="HL29" s="50">
        <v>-999999</v>
      </c>
      <c r="HM29" s="50">
        <v>-999999</v>
      </c>
      <c r="HN29" s="50">
        <v>-999999</v>
      </c>
      <c r="HO29" s="50">
        <v>-999999</v>
      </c>
      <c r="HP29" s="50">
        <v>-999999</v>
      </c>
      <c r="HQ29" s="50">
        <v>-999999</v>
      </c>
      <c r="HR29" s="50">
        <v>-999999</v>
      </c>
      <c r="HS29" s="50">
        <v>-999999</v>
      </c>
      <c r="HT29" s="50">
        <v>-999999</v>
      </c>
      <c r="HU29" s="50">
        <v>-999999</v>
      </c>
      <c r="HV29" s="50">
        <v>-999999</v>
      </c>
      <c r="HW29" s="50">
        <v>-999999</v>
      </c>
      <c r="HX29" s="50">
        <v>-999999</v>
      </c>
      <c r="HY29" s="50"/>
      <c r="HZ29" s="50"/>
      <c r="IA29" s="50"/>
      <c r="IB29" s="50"/>
      <c r="IC29" s="50"/>
      <c r="ID29" s="50"/>
      <c r="IE29" s="50"/>
      <c r="IF29" s="50"/>
      <c r="IG29" s="50"/>
      <c r="IH29" s="50"/>
      <c r="II29" s="50"/>
      <c r="IJ29" s="50"/>
      <c r="IK29" s="50"/>
      <c r="IL29" s="50"/>
      <c r="IM29" s="50"/>
      <c r="IN29" s="50"/>
      <c r="IO29" s="50"/>
      <c r="IP29" s="50"/>
      <c r="IQ29" s="50"/>
      <c r="IR29" s="50"/>
      <c r="IS29" s="50"/>
      <c r="IT29" s="50"/>
      <c r="IU29" s="50"/>
      <c r="IV29" s="50"/>
      <c r="IW29" s="50"/>
      <c r="IX29" s="50"/>
      <c r="IY29" s="50"/>
      <c r="IZ29" s="50"/>
      <c r="JA29" s="50"/>
      <c r="JB29" s="50"/>
      <c r="JC29" s="50"/>
      <c r="JD29" s="50"/>
      <c r="JE29" s="50"/>
      <c r="JF29" s="50"/>
      <c r="JG29" s="50"/>
      <c r="JH29" s="50"/>
      <c r="JI29" s="50"/>
      <c r="JJ29" s="50"/>
      <c r="JK29" s="50"/>
      <c r="JL29" s="50"/>
      <c r="JM29" s="50"/>
      <c r="JN29" s="50"/>
      <c r="JO29" s="50"/>
      <c r="JP29" s="50"/>
      <c r="JQ29" s="50"/>
      <c r="JR29" s="50"/>
      <c r="JS29" s="50"/>
      <c r="JT29" s="50"/>
      <c r="JU29" s="50"/>
      <c r="JV29" s="50"/>
      <c r="JW29" s="52">
        <f t="shared" si="23"/>
        <v>2724.6104274345944</v>
      </c>
      <c r="JX29" s="27">
        <f t="shared" si="24"/>
        <v>367491.69386021455</v>
      </c>
      <c r="JY29" s="107">
        <f>JW29*EchelleFPAparam!$Q$3</f>
        <v>-2.5951914321314509E-2</v>
      </c>
      <c r="KA29" s="19"/>
      <c r="KB29" s="19"/>
      <c r="KC29" s="19"/>
      <c r="KD29" s="19"/>
      <c r="KE29" s="19"/>
      <c r="KF29" s="19"/>
      <c r="KG29" s="19"/>
      <c r="KH29" s="19"/>
      <c r="KI29" s="19"/>
      <c r="KJ29" s="19"/>
      <c r="KK29" s="19"/>
      <c r="KL29" s="19"/>
      <c r="KM29" s="19"/>
      <c r="KW29" s="19"/>
      <c r="KX29" s="19"/>
      <c r="KY29" s="19"/>
      <c r="KZ29" s="19"/>
      <c r="LA29" s="19"/>
      <c r="LB29" s="19"/>
      <c r="LC29" s="19"/>
      <c r="LD29" s="19"/>
      <c r="LE29" s="19"/>
      <c r="LF29" s="19"/>
    </row>
    <row r="30" spans="1:318" x14ac:dyDescent="0.2">
      <c r="A30" s="53">
        <f t="shared" si="35"/>
        <v>24</v>
      </c>
      <c r="B30" s="96">
        <f t="shared" si="0"/>
        <v>4415.884659217103</v>
      </c>
      <c r="C30" s="27" t="str">
        <f>'Standard Settings'!B25</f>
        <v>M/4/9</v>
      </c>
      <c r="D30" s="27">
        <f>'Standard Settings'!H25</f>
        <v>13</v>
      </c>
      <c r="E30" s="19">
        <f t="shared" si="1"/>
        <v>1.2752484524677588E-2</v>
      </c>
      <c r="F30" s="18">
        <f>((EchelleFPAparam!$S$3/('crmcfgWLEN.txt'!$U30+F$53))*(SIN('Standard Settings'!$F25+0.0005)+SIN('Standard Settings'!$F25+0.0005+EchelleFPAparam!$M$3))-(EchelleFPAparam!$S$3/('crmcfgWLEN.txt'!$U30+F$53))*(SIN('Standard Settings'!$F25-0.0005)+SIN('Standard Settings'!$F25-0.0005+EchelleFPAparam!$M$3)))*1000*EchelleFPAparam!$O$3/180</f>
        <v>34.87867822408775</v>
      </c>
      <c r="G30" s="20" t="str">
        <f>'Standard Settings'!C25</f>
        <v>M</v>
      </c>
      <c r="H30" s="46"/>
      <c r="I30" s="59" t="s">
        <v>361</v>
      </c>
      <c r="J30" s="57"/>
      <c r="K30" s="27" t="str">
        <f>'Standard Settings'!$D25</f>
        <v>LM</v>
      </c>
      <c r="L30" s="46"/>
      <c r="M30" s="12">
        <v>2.5</v>
      </c>
      <c r="N30" s="12">
        <v>2.5</v>
      </c>
      <c r="O30" s="47" t="s">
        <v>384</v>
      </c>
      <c r="P30" s="47" t="s">
        <v>384</v>
      </c>
      <c r="Q30" s="27">
        <f>'Standard Settings'!$E25</f>
        <v>67.254450000000006</v>
      </c>
      <c r="R30" s="106">
        <f>'Standard Settings'!$J25</f>
        <v>330000</v>
      </c>
      <c r="S30" s="21">
        <f>'Standard Settings'!$G25</f>
        <v>10</v>
      </c>
      <c r="T30" s="21">
        <f>'Standard Settings'!$I25</f>
        <v>16</v>
      </c>
      <c r="U30" s="22">
        <f t="shared" si="25"/>
        <v>9</v>
      </c>
      <c r="V30" s="22">
        <f t="shared" si="26"/>
        <v>18</v>
      </c>
      <c r="W30" s="23">
        <f>IF(AND($U30-$S30+B$53&gt;=0,$U30-$T30+B$53&lt;=0),(EchelleFPAparam!$S$3/('crmcfgWLEN.txt'!$U30+B$53))*(SIN('Standard Settings'!$F25)+SIN('Standard Settings'!$F25+EchelleFPAparam!$M$3)),-1)</f>
        <v>-1</v>
      </c>
      <c r="X30" s="23">
        <f>IF(AND($U30-$S30+C$53&gt;=0,$U30-$T30+C$53&lt;=0),(EchelleFPAparam!$S$3/('crmcfgWLEN.txt'!$U30+C$53))*(SIN('Standard Settings'!$F25)+SIN('Standard Settings'!$F25+EchelleFPAparam!$M$3)),-1)</f>
        <v>5740.6500569822347</v>
      </c>
      <c r="Y30" s="23">
        <f>IF(AND($U30-$S30+D$53&gt;=0,$U30-$T30+D$53&lt;=0),(EchelleFPAparam!$S$3/('crmcfgWLEN.txt'!$U30+D$53))*(SIN('Standard Settings'!$F25)+SIN('Standard Settings'!$F25+EchelleFPAparam!$M$3)),-1)</f>
        <v>5218.7727790747585</v>
      </c>
      <c r="Z30" s="23">
        <f>IF(AND($U30-$S30+E$53&gt;=0,$U30-$T30+E$53&lt;=0),(EchelleFPAparam!$S$3/('crmcfgWLEN.txt'!$U30+E$53))*(SIN('Standard Settings'!$F25)+SIN('Standard Settings'!$F25+EchelleFPAparam!$M$3)),-1)</f>
        <v>4783.875047485195</v>
      </c>
      <c r="AA30" s="23">
        <f>IF(AND($U30-$S30+F$53&gt;=0,$U30-$T30+F$53&lt;=0),(EchelleFPAparam!$S$3/('crmcfgWLEN.txt'!$U30+F$53))*(SIN('Standard Settings'!$F25)+SIN('Standard Settings'!$F25+EchelleFPAparam!$M$3)),-1)</f>
        <v>4415.884659217103</v>
      </c>
      <c r="AB30" s="23">
        <f>IF(AND($U30-$S30+G$53&gt;=0,$U30-$T30+G$53&lt;=0),(EchelleFPAparam!$S$3/('crmcfgWLEN.txt'!$U30+G$53))*(SIN('Standard Settings'!$F25)+SIN('Standard Settings'!$F25+EchelleFPAparam!$M$3)),-1)</f>
        <v>4100.4643264158813</v>
      </c>
      <c r="AC30" s="23">
        <f>IF(AND($U30-$S30+H$53&gt;=0,$U30-$T30+H$53&lt;=0),(EchelleFPAparam!$S$3/('crmcfgWLEN.txt'!$U30+H$53))*(SIN('Standard Settings'!$F25)+SIN('Standard Settings'!$F25+EchelleFPAparam!$M$3)),-1)</f>
        <v>3827.1000379881557</v>
      </c>
      <c r="AD30" s="23">
        <f>IF(AND($U30-$S30+I$53&gt;=0,$U30-$T30+I$53&lt;=0),(EchelleFPAparam!$S$3/('crmcfgWLEN.txt'!$U30+I$53))*(SIN('Standard Settings'!$F25)+SIN('Standard Settings'!$F25+EchelleFPAparam!$M$3)),-1)</f>
        <v>3587.9062856138962</v>
      </c>
      <c r="AE30" s="23">
        <f>IF(AND($U30-$S30+J$53&gt;=0,$U30-$T30+J$53&lt;=0),(EchelleFPAparam!$S$3/('crmcfgWLEN.txt'!$U30+J$53))*(SIN('Standard Settings'!$F25)+SIN('Standard Settings'!$F25+EchelleFPAparam!$M$3)),-1)</f>
        <v>-1</v>
      </c>
      <c r="AF30" s="23">
        <f>IF(AND($U30-$S30+K$53&gt;=0,$U30-$T30+K$53&lt;=0),(EchelleFPAparam!$S$3/('crmcfgWLEN.txt'!$U30+K$53))*(SIN('Standard Settings'!$F25)+SIN('Standard Settings'!$F25+EchelleFPAparam!$M$3)),-1)</f>
        <v>-1</v>
      </c>
      <c r="AG30" s="159">
        <v>-100.1</v>
      </c>
      <c r="AH30" s="159">
        <v>-100.1</v>
      </c>
      <c r="AI30" s="157">
        <v>393.33247179640301</v>
      </c>
      <c r="AJ30" s="157">
        <v>785.64993447432698</v>
      </c>
      <c r="AK30" s="157">
        <v>1118.34549922018</v>
      </c>
      <c r="AL30" s="157">
        <v>1404.1581684375799</v>
      </c>
      <c r="AM30" s="157">
        <v>1652.5313052131501</v>
      </c>
      <c r="AN30" s="157">
        <v>1870.4947645413499</v>
      </c>
      <c r="AO30" s="159">
        <v>-100.1</v>
      </c>
      <c r="AP30" s="159">
        <v>-100.1</v>
      </c>
      <c r="AQ30" s="160">
        <v>-100.1</v>
      </c>
      <c r="AR30" s="157">
        <v>67.974276992176101</v>
      </c>
      <c r="AS30" s="157">
        <v>415.86755855978203</v>
      </c>
      <c r="AT30" s="157">
        <v>810.46403383723896</v>
      </c>
      <c r="AU30" s="157">
        <v>1145.06820649835</v>
      </c>
      <c r="AV30" s="157">
        <v>1432.48934388006</v>
      </c>
      <c r="AW30" s="157">
        <v>1682.24367019944</v>
      </c>
      <c r="AX30" s="157">
        <v>1901.4675508395401</v>
      </c>
      <c r="AY30" s="160">
        <v>-100.1</v>
      </c>
      <c r="AZ30" s="160">
        <v>-100.1</v>
      </c>
      <c r="BA30" s="161">
        <v>-100.1</v>
      </c>
      <c r="BB30" s="157">
        <v>79.319428639134799</v>
      </c>
      <c r="BC30" s="157">
        <v>437.72248909314999</v>
      </c>
      <c r="BD30" s="157">
        <v>834.93752744317101</v>
      </c>
      <c r="BE30" s="157">
        <v>1171.7877350081801</v>
      </c>
      <c r="BF30" s="157">
        <v>1461.06424391314</v>
      </c>
      <c r="BG30" s="157">
        <v>1712.46863923913</v>
      </c>
      <c r="BH30" s="157">
        <v>1932.3657209297501</v>
      </c>
      <c r="BI30" s="161">
        <v>-100.1</v>
      </c>
      <c r="BJ30" s="161">
        <v>-100.1</v>
      </c>
      <c r="BK30" s="24">
        <f>EchelleFPAparam!$S$3/('crmcfgWLEN.txt'!$U30+B$53)*(SIN(EchelleFPAparam!$T$3-EchelleFPAparam!$M$3/2)+SIN('Standard Settings'!$F25+EchelleFPAparam!$M$3))</f>
        <v>6332.062603344747</v>
      </c>
      <c r="BL30" s="24">
        <f>EchelleFPAparam!$S$3/('crmcfgWLEN.txt'!$U30+C$53)*(SIN(EchelleFPAparam!$T$3-EchelleFPAparam!$M$3/2)+SIN('Standard Settings'!$F25+EchelleFPAparam!$M$3))</f>
        <v>5698.8563430102722</v>
      </c>
      <c r="BM30" s="24">
        <f>EchelleFPAparam!$S$3/('crmcfgWLEN.txt'!$U30+D$53)*(SIN(EchelleFPAparam!$T$3-EchelleFPAparam!$M$3/2)+SIN('Standard Settings'!$F25+EchelleFPAparam!$M$3))</f>
        <v>5180.7784936457028</v>
      </c>
      <c r="BN30" s="24">
        <f>EchelleFPAparam!$S$3/('crmcfgWLEN.txt'!$U30+E$53)*(SIN(EchelleFPAparam!$T$3-EchelleFPAparam!$M$3/2)+SIN('Standard Settings'!$F25+EchelleFPAparam!$M$3))</f>
        <v>4749.04695250856</v>
      </c>
      <c r="BO30" s="24">
        <f>EchelleFPAparam!$S$3/('crmcfgWLEN.txt'!$U30+F$53)*(SIN(EchelleFPAparam!$T$3-EchelleFPAparam!$M$3/2)+SIN('Standard Settings'!$F25+EchelleFPAparam!$M$3))</f>
        <v>4383.7356484694401</v>
      </c>
      <c r="BP30" s="24">
        <f>EchelleFPAparam!$S$3/('crmcfgWLEN.txt'!$U30+G$53)*(SIN(EchelleFPAparam!$T$3-EchelleFPAparam!$M$3/2)+SIN('Standard Settings'!$F25+EchelleFPAparam!$M$3))</f>
        <v>4070.6116735787659</v>
      </c>
      <c r="BQ30" s="24">
        <f>EchelleFPAparam!$S$3/('crmcfgWLEN.txt'!$U30+H$53)*(SIN(EchelleFPAparam!$T$3-EchelleFPAparam!$M$3/2)+SIN('Standard Settings'!$F25+EchelleFPAparam!$M$3))</f>
        <v>3799.2375620068478</v>
      </c>
      <c r="BR30" s="24">
        <f>EchelleFPAparam!$S$3/('crmcfgWLEN.txt'!$U30+I$53)*(SIN(EchelleFPAparam!$T$3-EchelleFPAparam!$M$3/2)+SIN('Standard Settings'!$F25+EchelleFPAparam!$M$3))</f>
        <v>3561.7852143814202</v>
      </c>
      <c r="BS30" s="24">
        <f>EchelleFPAparam!$S$3/('crmcfgWLEN.txt'!$U30+J$53)*(SIN(EchelleFPAparam!$T$3-EchelleFPAparam!$M$3/2)+SIN('Standard Settings'!$F25+EchelleFPAparam!$M$3))</f>
        <v>3352.2684370648662</v>
      </c>
      <c r="BT30" s="24">
        <f>EchelleFPAparam!$S$3/('crmcfgWLEN.txt'!$U30+K$53)*(SIN(EchelleFPAparam!$T$3-EchelleFPAparam!$M$3/2)+SIN('Standard Settings'!$F25+EchelleFPAparam!$M$3))</f>
        <v>3166.0313016723735</v>
      </c>
      <c r="BU30" s="25">
        <f t="shared" si="33"/>
        <v>6097.5417661838301</v>
      </c>
      <c r="BV30" s="25">
        <f t="shared" si="2"/>
        <v>5502.3440553202627</v>
      </c>
      <c r="BW30" s="25">
        <f t="shared" si="3"/>
        <v>5013.6566067539061</v>
      </c>
      <c r="BX30" s="25">
        <f t="shared" si="4"/>
        <v>4605.1364387961794</v>
      </c>
      <c r="BY30" s="25">
        <f t="shared" si="5"/>
        <v>4258.4860585131701</v>
      </c>
      <c r="BZ30" s="25">
        <f t="shared" si="6"/>
        <v>3960.5951418604213</v>
      </c>
      <c r="CA30" s="25">
        <f t="shared" si="7"/>
        <v>3701.8212142630823</v>
      </c>
      <c r="CB30" s="25">
        <f t="shared" si="8"/>
        <v>3474.9124042745561</v>
      </c>
      <c r="CC30" s="25">
        <f t="shared" si="9"/>
        <v>3274.3087059703344</v>
      </c>
      <c r="CD30" s="25">
        <f t="shared" si="10"/>
        <v>3095.6750505240984</v>
      </c>
      <c r="CE30" s="25">
        <f t="shared" si="34"/>
        <v>6585.3451074785371</v>
      </c>
      <c r="CF30" s="25">
        <f t="shared" si="11"/>
        <v>5909.9250964550965</v>
      </c>
      <c r="CG30" s="25">
        <f t="shared" si="12"/>
        <v>5359.4260279093478</v>
      </c>
      <c r="CH30" s="25">
        <f t="shared" si="13"/>
        <v>4902.2420154927067</v>
      </c>
      <c r="CI30" s="25">
        <f t="shared" si="14"/>
        <v>4516.576122665484</v>
      </c>
      <c r="CJ30" s="25">
        <f t="shared" si="15"/>
        <v>4186.9148642524442</v>
      </c>
      <c r="CK30" s="25">
        <f t="shared" si="16"/>
        <v>3901.9196582773029</v>
      </c>
      <c r="CL30" s="25">
        <f t="shared" si="17"/>
        <v>3653.1130403911998</v>
      </c>
      <c r="CM30" s="25">
        <f t="shared" si="18"/>
        <v>3434.0310818713265</v>
      </c>
      <c r="CN30" s="25">
        <f t="shared" si="19"/>
        <v>3239.6599365949869</v>
      </c>
      <c r="CO30" s="26">
        <f>(EchelleFPAparam!$S$3/($U30+B$53)*COS((AG30-EchelleFPAparam!$AE26)*EchelleFPAparam!$C$3/EchelleFPAparam!$E$3))*(SIN('Standard Settings'!$F25)+SIN('Standard Settings'!$F25+EchelleFPAparam!$M$3+(EchelleFPAparam!$F$3*EchelleFPAparam!$B$6)*COS(EchelleFPAparam!$AC$3)-(AG30-1024)*SIN(EchelleFPAparam!$AC$3)*EchelleFPAparam!$C$3/EchelleFPAparam!$E$3))</f>
        <v>6315.8190395928923</v>
      </c>
      <c r="CP30" s="26">
        <f>(EchelleFPAparam!$S$3/($U30+C$53)*COS((AH30-EchelleFPAparam!$AE26)*EchelleFPAparam!$C$3/EchelleFPAparam!$E$3))*(SIN('Standard Settings'!$F25)+SIN('Standard Settings'!$F25+EchelleFPAparam!$M$3+(EchelleFPAparam!$F$3*EchelleFPAparam!$B$6)*COS(EchelleFPAparam!$AC$3)-(AH30-1024)*SIN(EchelleFPAparam!$AC$3)*EchelleFPAparam!$C$3/EchelleFPAparam!$E$3))</f>
        <v>5684.2371356336034</v>
      </c>
      <c r="CQ30" s="26">
        <f>(EchelleFPAparam!$S$3/($U30+D$53)*COS((AI30-EchelleFPAparam!$AE26)*EchelleFPAparam!$C$3/EchelleFPAparam!$E$3))*(SIN('Standard Settings'!$F25)+SIN('Standard Settings'!$F25+EchelleFPAparam!$M$3+(EchelleFPAparam!$F$3*EchelleFPAparam!$B$6)*COS(EchelleFPAparam!$AC$3)-(AI30-1024)*SIN(EchelleFPAparam!$AC$3)*EchelleFPAparam!$C$3/EchelleFPAparam!$E$3))</f>
        <v>5167.9954275727532</v>
      </c>
      <c r="CR30" s="26">
        <f>(EchelleFPAparam!$S$3/($U30+E$53)*COS((AJ30-EchelleFPAparam!$AE26)*EchelleFPAparam!$C$3/EchelleFPAparam!$E$3))*(SIN('Standard Settings'!$F25)+SIN('Standard Settings'!$F25+EchelleFPAparam!$M$3+(EchelleFPAparam!$F$3*EchelleFPAparam!$B$6)*COS(EchelleFPAparam!$AC$3)-(AJ30-1024)*SIN(EchelleFPAparam!$AC$3)*EchelleFPAparam!$C$3/EchelleFPAparam!$E$3))</f>
        <v>4737.5820713043349</v>
      </c>
      <c r="CS30" s="26">
        <f>(EchelleFPAparam!$S$3/($U30+F$53)*COS((AK30-EchelleFPAparam!$AE26)*EchelleFPAparam!$C$3/EchelleFPAparam!$E$3))*(SIN('Standard Settings'!$F25)+SIN('Standard Settings'!$F25+EchelleFPAparam!$M$3+(EchelleFPAparam!$F$3*EchelleFPAparam!$B$6)*COS(EchelleFPAparam!$AC$3)-(AK30-1024)*SIN(EchelleFPAparam!$AC$3)*EchelleFPAparam!$C$3/EchelleFPAparam!$E$3))</f>
        <v>4373.2759070807651</v>
      </c>
      <c r="CT30" s="26">
        <f>(EchelleFPAparam!$S$3/($U30+G$53)*COS((AL30-EchelleFPAparam!$AE26)*EchelleFPAparam!$C$3/EchelleFPAparam!$E$3))*(SIN('Standard Settings'!$F25)+SIN('Standard Settings'!$F25+EchelleFPAparam!$M$3+(EchelleFPAparam!$F$3*EchelleFPAparam!$B$6)*COS(EchelleFPAparam!$AC$3)-(AL30-1024)*SIN(EchelleFPAparam!$AC$3)*EchelleFPAparam!$C$3/EchelleFPAparam!$E$3))</f>
        <v>4060.9464715967702</v>
      </c>
      <c r="CU30" s="26">
        <f>(EchelleFPAparam!$S$3/($U30+H$53)*COS((AM30-EchelleFPAparam!$AE26)*EchelleFPAparam!$C$3/EchelleFPAparam!$E$3))*(SIN('Standard Settings'!$F25)+SIN('Standard Settings'!$F25+EchelleFPAparam!$M$3+(EchelleFPAparam!$F$3*EchelleFPAparam!$B$6)*COS(EchelleFPAparam!$AC$3)-(AM30-1024)*SIN(EchelleFPAparam!$AC$3)*EchelleFPAparam!$C$3/EchelleFPAparam!$E$3))</f>
        <v>3790.2195173530999</v>
      </c>
      <c r="CV30" s="26">
        <f>(EchelleFPAparam!$S$3/($U30+I$53)*COS((AN30-EchelleFPAparam!$AE26)*EchelleFPAparam!$C$3/EchelleFPAparam!$E$3))*(SIN('Standard Settings'!$F25)+SIN('Standard Settings'!$F25+EchelleFPAparam!$M$3+(EchelleFPAparam!$F$3*EchelleFPAparam!$B$6)*COS(EchelleFPAparam!$AC$3)-(AN30-1024)*SIN(EchelleFPAparam!$AC$3)*EchelleFPAparam!$C$3/EchelleFPAparam!$E$3))</f>
        <v>3553.3075067594541</v>
      </c>
      <c r="CW30" s="26">
        <f>(EchelleFPAparam!$S$3/($U30+J$53)*COS((AO30-EchelleFPAparam!$AE26)*EchelleFPAparam!$C$3/EchelleFPAparam!$E$3))*(SIN('Standard Settings'!$F25)+SIN('Standard Settings'!$F25+EchelleFPAparam!$M$3+(EchelleFPAparam!$F$3*EchelleFPAparam!$B$6)*COS(EchelleFPAparam!$AC$3)-(AO30-1024)*SIN(EchelleFPAparam!$AC$3)*EchelleFPAparam!$C$3/EchelleFPAparam!$E$3))</f>
        <v>3343.6689033138841</v>
      </c>
      <c r="CX30" s="26">
        <f>(EchelleFPAparam!$S$3/($U30+K$53)*COS((AP30-EchelleFPAparam!$AE26)*EchelleFPAparam!$C$3/EchelleFPAparam!$E$3))*(SIN('Standard Settings'!$F25)+SIN('Standard Settings'!$F25+EchelleFPAparam!$M$3+(EchelleFPAparam!$F$3*EchelleFPAparam!$B$6)*COS(EchelleFPAparam!$AC$3)-(AP30-1024)*SIN(EchelleFPAparam!$AC$3)*EchelleFPAparam!$C$3/EchelleFPAparam!$E$3))</f>
        <v>3157.9095197964461</v>
      </c>
      <c r="CY30" s="26">
        <f>(EchelleFPAparam!$S$3/($U30+B$53)*COS((AG30-EchelleFPAparam!$AE26)*EchelleFPAparam!$C$3/EchelleFPAparam!$E$3))*(SIN('Standard Settings'!$F25)+SIN('Standard Settings'!$F25+EchelleFPAparam!$M$3+EchelleFPAparam!$G$3*EchelleFPAparam!$B$6*COS(EchelleFPAparam!$AC$3)-(AG30-1024)*SIN(EchelleFPAparam!$AC$3)*EchelleFPAparam!$C$3/EchelleFPAparam!$E$3))</f>
        <v>6355.5965939267307</v>
      </c>
      <c r="CZ30" s="26">
        <f>(EchelleFPAparam!$S$3/($U30+C$53)*COS((AH30-EchelleFPAparam!$AE26)*EchelleFPAparam!$C$3/EchelleFPAparam!$E$3))*(SIN('Standard Settings'!$F25)+SIN('Standard Settings'!$F25+EchelleFPAparam!$M$3+EchelleFPAparam!$G$3*EchelleFPAparam!$B$6*COS(EchelleFPAparam!$AC$3)-(AH30-1024)*SIN(EchelleFPAparam!$AC$3)*EchelleFPAparam!$C$3/EchelleFPAparam!$E$3))</f>
        <v>5720.0369345340587</v>
      </c>
      <c r="DA30" s="26">
        <f>(EchelleFPAparam!$S$3/($U30+D$53)*COS((AI30-EchelleFPAparam!$AE26)*EchelleFPAparam!$C$3/EchelleFPAparam!$E$3))*(SIN('Standard Settings'!$F25)+SIN('Standard Settings'!$F25+EchelleFPAparam!$M$3+EchelleFPAparam!$G$3*EchelleFPAparam!$B$6*COS(EchelleFPAparam!$AC$3)-(AI30-1024)*SIN(EchelleFPAparam!$AC$3)*EchelleFPAparam!$C$3/EchelleFPAparam!$E$3))</f>
        <v>5200.5339077565204</v>
      </c>
      <c r="DB30" s="26">
        <f>(EchelleFPAparam!$S$3/($U30+E$53)*COS((AJ30-EchelleFPAparam!$AE26)*EchelleFPAparam!$C$3/EchelleFPAparam!$E$3))*(SIN('Standard Settings'!$F25)+SIN('Standard Settings'!$F25+EchelleFPAparam!$M$3+EchelleFPAparam!$G$3*EchelleFPAparam!$B$6*COS(EchelleFPAparam!$AC$3)-(AJ30-1024)*SIN(EchelleFPAparam!$AC$3)*EchelleFPAparam!$C$3/EchelleFPAparam!$E$3))</f>
        <v>4767.4033262226358</v>
      </c>
      <c r="DC30" s="26">
        <f>(EchelleFPAparam!$S$3/($U30+F$53)*COS((AK30-EchelleFPAparam!$AE26)*EchelleFPAparam!$C$3/EchelleFPAparam!$E$3))*(SIN('Standard Settings'!$F25)+SIN('Standard Settings'!$F25+EchelleFPAparam!$M$3+EchelleFPAparam!$G$3*EchelleFPAparam!$B$6*COS(EchelleFPAparam!$AC$3)-(AK30-1024)*SIN(EchelleFPAparam!$AC$3)*EchelleFPAparam!$C$3/EchelleFPAparam!$E$3))</f>
        <v>4400.7982980204142</v>
      </c>
      <c r="DD30" s="26">
        <f>(EchelleFPAparam!$S$3/($U30+G$53)*COS((AL30-EchelleFPAparam!$AE26)*EchelleFPAparam!$C$3/EchelleFPAparam!$E$3))*(SIN('Standard Settings'!$F25)+SIN('Standard Settings'!$F25+EchelleFPAparam!$M$3+EchelleFPAparam!$G$3*EchelleFPAparam!$B$6*COS(EchelleFPAparam!$AC$3)-(AL30-1024)*SIN(EchelleFPAparam!$AC$3)*EchelleFPAparam!$C$3/EchelleFPAparam!$E$3))</f>
        <v>4086.4987313642837</v>
      </c>
      <c r="DE30" s="26">
        <f>(EchelleFPAparam!$S$3/($U30+H$53)*COS((AM30-EchelleFPAparam!$AE26)*EchelleFPAparam!$C$3/EchelleFPAparam!$E$3))*(SIN('Standard Settings'!$F25)+SIN('Standard Settings'!$F25+EchelleFPAparam!$M$3+EchelleFPAparam!$G$3*EchelleFPAparam!$B$6*COS(EchelleFPAparam!$AC$3)-(AM30-1024)*SIN(EchelleFPAparam!$AC$3)*EchelleFPAparam!$C$3/EchelleFPAparam!$E$3))</f>
        <v>3814.0646249757319</v>
      </c>
      <c r="DF30" s="26">
        <f>(EchelleFPAparam!$S$3/($U30+I$53)*COS((AN30-EchelleFPAparam!$AE26)*EchelleFPAparam!$C$3/EchelleFPAparam!$E$3))*(SIN('Standard Settings'!$F25)+SIN('Standard Settings'!$F25+EchelleFPAparam!$M$3+EchelleFPAparam!$G$3*EchelleFPAparam!$B$6*COS(EchelleFPAparam!$AC$3)-(AN30-1024)*SIN(EchelleFPAparam!$AC$3)*EchelleFPAparam!$C$3/EchelleFPAparam!$E$3))</f>
        <v>3575.6591163001963</v>
      </c>
      <c r="DG30" s="26">
        <f>(EchelleFPAparam!$S$3/($U30+J$53)*COS((AO30-EchelleFPAparam!$AE26)*EchelleFPAparam!$C$3/EchelleFPAparam!$E$3))*(SIN('Standard Settings'!$F25)+SIN('Standard Settings'!$F25+EchelleFPAparam!$M$3+EchelleFPAparam!$G$3*EchelleFPAparam!$B$6*COS(EchelleFPAparam!$AC$3)-(AO30-1024)*SIN(EchelleFPAparam!$AC$3)*EchelleFPAparam!$C$3/EchelleFPAparam!$E$3))</f>
        <v>3364.7276085494459</v>
      </c>
      <c r="DH30" s="26">
        <f>(EchelleFPAparam!$S$3/($U30+K$53)*COS((AP30-EchelleFPAparam!$AE26)*EchelleFPAparam!$C$3/EchelleFPAparam!$E$3))*(SIN('Standard Settings'!$F25)+SIN('Standard Settings'!$F25+EchelleFPAparam!$M$3+EchelleFPAparam!$G$3*EchelleFPAparam!$B$6*COS(EchelleFPAparam!$AC$3)-(AP30-1024)*SIN(EchelleFPAparam!$AC$3)*EchelleFPAparam!$C$3/EchelleFPAparam!$E$3))</f>
        <v>3177.7982969633654</v>
      </c>
      <c r="DI30" s="26">
        <f>(EchelleFPAparam!$S$3/($U30+B$53)*COS((AQ30-EchelleFPAparam!$AE26)*EchelleFPAparam!$C$3/EchelleFPAparam!$E$3))*(SIN('Standard Settings'!$F25)+SIN('Standard Settings'!$F25+EchelleFPAparam!$M$3+EchelleFPAparam!$H$3*EchelleFPAparam!$B$6*COS(EchelleFPAparam!$AC$3)-(AQ30-1024)*SIN(EchelleFPAparam!$AC$3)*EchelleFPAparam!$C$3/EchelleFPAparam!$E$3))</f>
        <v>6358.3255902310711</v>
      </c>
      <c r="DJ30" s="26">
        <f>(EchelleFPAparam!$S$3/($U30+C$53)*COS((AR30-EchelleFPAparam!$AE26)*EchelleFPAparam!$C$3/EchelleFPAparam!$E$3))*(SIN('Standard Settings'!$F25)+SIN('Standard Settings'!$F25+EchelleFPAparam!$M$3+EchelleFPAparam!$H$3*EchelleFPAparam!$B$6*COS(EchelleFPAparam!$AC$3)-(AR30-1024)*SIN(EchelleFPAparam!$AC$3)*EchelleFPAparam!$C$3/EchelleFPAparam!$E$3))</f>
        <v>5722.7024948585786</v>
      </c>
      <c r="DK30" s="26">
        <f>(EchelleFPAparam!$S$3/($U30+D$53)*COS((AS30-EchelleFPAparam!$AE26)*EchelleFPAparam!$C$3/EchelleFPAparam!$E$3))*(SIN('Standard Settings'!$F25)+SIN('Standard Settings'!$F25+EchelleFPAparam!$M$3+EchelleFPAparam!$H$3*EchelleFPAparam!$B$6*COS(EchelleFPAparam!$AC$3)-(AS30-1024)*SIN(EchelleFPAparam!$AC$3)*EchelleFPAparam!$C$3/EchelleFPAparam!$E$3))</f>
        <v>5202.7847776571571</v>
      </c>
      <c r="DL30" s="26">
        <f>(EchelleFPAparam!$S$3/($U30+E$53)*COS((AT30-EchelleFPAparam!$AE26)*EchelleFPAparam!$C$3/EchelleFPAparam!$E$3))*(SIN('Standard Settings'!$F25)+SIN('Standard Settings'!$F25+EchelleFPAparam!$M$3+EchelleFPAparam!$H$3*EchelleFPAparam!$B$6*COS(EchelleFPAparam!$AC$3)-(AT30-1024)*SIN(EchelleFPAparam!$AC$3)*EchelleFPAparam!$C$3/EchelleFPAparam!$E$3))</f>
        <v>4769.4613371344094</v>
      </c>
      <c r="DM30" s="26">
        <f>(EchelleFPAparam!$S$3/($U30+F$53)*COS((AU30-EchelleFPAparam!$AE26)*EchelleFPAparam!$C$3/EchelleFPAparam!$E$3))*(SIN('Standard Settings'!$F25)+SIN('Standard Settings'!$F25+EchelleFPAparam!$M$3+EchelleFPAparam!$H$3*EchelleFPAparam!$B$6*COS(EchelleFPAparam!$AC$3)-(AU30-1024)*SIN(EchelleFPAparam!$AC$3)*EchelleFPAparam!$C$3/EchelleFPAparam!$E$3))</f>
        <v>4402.6929467372611</v>
      </c>
      <c r="DN30" s="26">
        <f>(EchelleFPAparam!$S$3/($U30+G$53)*COS((AV30-EchelleFPAparam!$AE26)*EchelleFPAparam!$C$3/EchelleFPAparam!$E$3))*(SIN('Standard Settings'!$F25)+SIN('Standard Settings'!$F25+EchelleFPAparam!$M$3+EchelleFPAparam!$H$3*EchelleFPAparam!$B$6*COS(EchelleFPAparam!$AC$3)-(AV30-1024)*SIN(EchelleFPAparam!$AC$3)*EchelleFPAparam!$C$3/EchelleFPAparam!$E$3))</f>
        <v>4088.2534033577131</v>
      </c>
      <c r="DO30" s="26">
        <f>(EchelleFPAparam!$S$3/($U30+H$53)*COS((AW30-EchelleFPAparam!$AE26)*EchelleFPAparam!$C$3/EchelleFPAparam!$E$3))*(SIN('Standard Settings'!$F25)+SIN('Standard Settings'!$F25+EchelleFPAparam!$M$3+EchelleFPAparam!$H$3*EchelleFPAparam!$B$6*COS(EchelleFPAparam!$AC$3)-(AW30-1024)*SIN(EchelleFPAparam!$AC$3)*EchelleFPAparam!$C$3/EchelleFPAparam!$E$3))</f>
        <v>3815.6981325281208</v>
      </c>
      <c r="DP30" s="26">
        <f>(EchelleFPAparam!$S$3/($U30+I$53)*COS((AX30-EchelleFPAparam!$AE26)*EchelleFPAparam!$C$3/EchelleFPAparam!$E$3))*(SIN('Standard Settings'!$F25)+SIN('Standard Settings'!$F25+EchelleFPAparam!$M$3+EchelleFPAparam!$H$3*EchelleFPAparam!$B$6*COS(EchelleFPAparam!$AC$3)-(AX30-1024)*SIN(EchelleFPAparam!$AC$3)*EchelleFPAparam!$C$3/EchelleFPAparam!$E$3))</f>
        <v>3577.1867775312758</v>
      </c>
      <c r="DQ30" s="26">
        <f>(EchelleFPAparam!$S$3/($U30+J$53)*COS((AY30-EchelleFPAparam!$AE26)*EchelleFPAparam!$C$3/EchelleFPAparam!$E$3))*(SIN('Standard Settings'!$F25)+SIN('Standard Settings'!$F25+EchelleFPAparam!$M$3+EchelleFPAparam!$H$3*EchelleFPAparam!$B$6*COS(EchelleFPAparam!$AC$3)-(AY30-1024)*SIN(EchelleFPAparam!$AC$3)*EchelleFPAparam!$C$3/EchelleFPAparam!$E$3))</f>
        <v>3366.1723712988023</v>
      </c>
      <c r="DR30" s="26">
        <f>(EchelleFPAparam!$S$3/($U30+K$53)*COS((AZ30-EchelleFPAparam!$AE26)*EchelleFPAparam!$C$3/EchelleFPAparam!$E$3))*(SIN('Standard Settings'!$F25)+SIN('Standard Settings'!$F25+EchelleFPAparam!$M$3+EchelleFPAparam!$H$3*EchelleFPAparam!$B$6*COS(EchelleFPAparam!$AC$3)-(AZ30-1024)*SIN(EchelleFPAparam!$AC$3)*EchelleFPAparam!$C$3/EchelleFPAparam!$E$3))</f>
        <v>3179.1627951155356</v>
      </c>
      <c r="DS30" s="26">
        <f>(EchelleFPAparam!$S$3/($U30+B$53)*COS((AQ30-EchelleFPAparam!$AE26)*EchelleFPAparam!$C$3/EchelleFPAparam!$E$3))*(SIN('Standard Settings'!$F25)+SIN('Standard Settings'!$F25+EchelleFPAparam!$M$3+EchelleFPAparam!$I$3*EchelleFPAparam!$B$6*COS(EchelleFPAparam!$AC$3)-(AQ30-1024)*SIN(EchelleFPAparam!$AC$3)*EchelleFPAparam!$C$3/EchelleFPAparam!$E$3))</f>
        <v>6396.0744025216436</v>
      </c>
      <c r="DT30" s="26">
        <f>(EchelleFPAparam!$S$3/($U30+C$53)*COS((AR30-EchelleFPAparam!$AE26)*EchelleFPAparam!$C$3/EchelleFPAparam!$E$3))*(SIN('Standard Settings'!$F25)+SIN('Standard Settings'!$F25+EchelleFPAparam!$M$3+EchelleFPAparam!$I$3*EchelleFPAparam!$B$6*COS(EchelleFPAparam!$AC$3)-(AR30-1024)*SIN(EchelleFPAparam!$AC$3)*EchelleFPAparam!$C$3/EchelleFPAparam!$E$3))</f>
        <v>5756.6739309433997</v>
      </c>
      <c r="DU30" s="26">
        <f>(EchelleFPAparam!$S$3/($U30+D$53)*COS((AS30-EchelleFPAparam!$AE26)*EchelleFPAparam!$C$3/EchelleFPAparam!$E$3))*(SIN('Standard Settings'!$F25)+SIN('Standard Settings'!$F25+EchelleFPAparam!$M$3+EchelleFPAparam!$I$3*EchelleFPAparam!$B$6*COS(EchelleFPAparam!$AC$3)-(AS30-1024)*SIN(EchelleFPAparam!$AC$3)*EchelleFPAparam!$C$3/EchelleFPAparam!$E$3))</f>
        <v>5233.6628131026073</v>
      </c>
      <c r="DV30" s="26">
        <f>(EchelleFPAparam!$S$3/($U30+E$53)*COS((AT30-EchelleFPAparam!$AE26)*EchelleFPAparam!$C$3/EchelleFPAparam!$E$3))*(SIN('Standard Settings'!$F25)+SIN('Standard Settings'!$F25+EchelleFPAparam!$M$3+EchelleFPAparam!$I$3*EchelleFPAparam!$B$6*COS(EchelleFPAparam!$AC$3)-(AT30-1024)*SIN(EchelleFPAparam!$AC$3)*EchelleFPAparam!$C$3/EchelleFPAparam!$E$3))</f>
        <v>4797.7603241745146</v>
      </c>
      <c r="DW30" s="26">
        <f>(EchelleFPAparam!$S$3/($U30+F$53)*COS((AU30-EchelleFPAparam!$AE26)*EchelleFPAparam!$C$3/EchelleFPAparam!$E$3))*(SIN('Standard Settings'!$F25)+SIN('Standard Settings'!$F25+EchelleFPAparam!$M$3+EchelleFPAparam!$I$3*EchelleFPAparam!$B$6*COS(EchelleFPAparam!$AC$3)-(AU30-1024)*SIN(EchelleFPAparam!$AC$3)*EchelleFPAparam!$C$3/EchelleFPAparam!$E$3))</f>
        <v>4428.8100350438008</v>
      </c>
      <c r="DX30" s="26">
        <f>(EchelleFPAparam!$S$3/($U30+G$53)*COS((AV30-EchelleFPAparam!$AE26)*EchelleFPAparam!$C$3/EchelleFPAparam!$E$3))*(SIN('Standard Settings'!$F25)+SIN('Standard Settings'!$F25+EchelleFPAparam!$M$3+EchelleFPAparam!$I$3*EchelleFPAparam!$B$6*COS(EchelleFPAparam!$AC$3)-(AV30-1024)*SIN(EchelleFPAparam!$AC$3)*EchelleFPAparam!$C$3/EchelleFPAparam!$E$3))</f>
        <v>4112.5006470806047</v>
      </c>
      <c r="DY30" s="26">
        <f>(EchelleFPAparam!$S$3/($U30+H$53)*COS((AW30-EchelleFPAparam!$AE26)*EchelleFPAparam!$C$3/EchelleFPAparam!$E$3))*(SIN('Standard Settings'!$F25)+SIN('Standard Settings'!$F25+EchelleFPAparam!$M$3+EchelleFPAparam!$I$3*EchelleFPAparam!$B$6*COS(EchelleFPAparam!$AC$3)-(AW30-1024)*SIN(EchelleFPAparam!$AC$3)*EchelleFPAparam!$C$3/EchelleFPAparam!$E$3))</f>
        <v>3838.3251597372464</v>
      </c>
      <c r="DZ30" s="26">
        <f>(EchelleFPAparam!$S$3/($U30+I$53)*COS((AX30-EchelleFPAparam!$AE26)*EchelleFPAparam!$C$3/EchelleFPAparam!$E$3))*(SIN('Standard Settings'!$F25)+SIN('Standard Settings'!$F25+EchelleFPAparam!$M$3+EchelleFPAparam!$I$3*EchelleFPAparam!$B$6*COS(EchelleFPAparam!$AC$3)-(AX30-1024)*SIN(EchelleFPAparam!$AC$3)*EchelleFPAparam!$C$3/EchelleFPAparam!$E$3))</f>
        <v>3598.3963886523698</v>
      </c>
      <c r="EA30" s="26">
        <f>(EchelleFPAparam!$S$3/($U30+J$53)*COS((AY30-EchelleFPAparam!$AE26)*EchelleFPAparam!$C$3/EchelleFPAparam!$E$3))*(SIN('Standard Settings'!$F25)+SIN('Standard Settings'!$F25+EchelleFPAparam!$M$3+EchelleFPAparam!$I$3*EchelleFPAparam!$B$6*COS(EchelleFPAparam!$AC$3)-(AY30-1024)*SIN(EchelleFPAparam!$AC$3)*EchelleFPAparam!$C$3/EchelleFPAparam!$E$3))</f>
        <v>3386.1570366291057</v>
      </c>
      <c r="EB30" s="26">
        <f>(EchelleFPAparam!$S$3/($U30+K$53)*COS((AZ30-EchelleFPAparam!$AE26)*EchelleFPAparam!$C$3/EchelleFPAparam!$E$3))*(SIN('Standard Settings'!$F25)+SIN('Standard Settings'!$F25+EchelleFPAparam!$M$3+EchelleFPAparam!$I$3*EchelleFPAparam!$B$6*COS(EchelleFPAparam!$AC$3)-(AZ30-1024)*SIN(EchelleFPAparam!$AC$3)*EchelleFPAparam!$C$3/EchelleFPAparam!$E$3))</f>
        <v>3198.0372012608218</v>
      </c>
      <c r="EC30" s="26">
        <f>(EchelleFPAparam!$S$3/($U30+B$53)*COS((BA30-EchelleFPAparam!$AE26)*EchelleFPAparam!$C$3/EchelleFPAparam!$E$3))*(SIN('Standard Settings'!$F25)+SIN('Standard Settings'!$F25+EchelleFPAparam!$M$3+EchelleFPAparam!$J$3*EchelleFPAparam!$B$6*COS(EchelleFPAparam!$AC$3)-(BA30-1024)*SIN(EchelleFPAparam!$AC$3)*EchelleFPAparam!$C$3/EchelleFPAparam!$E$3))</f>
        <v>6398.7342258511189</v>
      </c>
      <c r="ED30" s="26">
        <f>(EchelleFPAparam!$S$3/($U30+C$53)*COS((BB30-EchelleFPAparam!$AE26)*EchelleFPAparam!$C$3/EchelleFPAparam!$E$3))*(SIN('Standard Settings'!$F25)+SIN('Standard Settings'!$F25+EchelleFPAparam!$M$3+EchelleFPAparam!$J$3*EchelleFPAparam!$B$6*COS(EchelleFPAparam!$AC$3)-(BB30-1024)*SIN(EchelleFPAparam!$AC$3)*EchelleFPAparam!$C$3/EchelleFPAparam!$E$3))</f>
        <v>5759.0807153661835</v>
      </c>
      <c r="EE30" s="26">
        <f>(EchelleFPAparam!$S$3/($U30+D$53)*COS((BC30-EchelleFPAparam!$AE26)*EchelleFPAparam!$C$3/EchelleFPAparam!$E$3))*(SIN('Standard Settings'!$F25)+SIN('Standard Settings'!$F25+EchelleFPAparam!$M$3+EchelleFPAparam!$J$3*EchelleFPAparam!$B$6*COS(EchelleFPAparam!$AC$3)-(BC30-1024)*SIN(EchelleFPAparam!$AC$3)*EchelleFPAparam!$C$3/EchelleFPAparam!$E$3))</f>
        <v>5235.8557524108091</v>
      </c>
      <c r="EF30" s="26">
        <f>(EchelleFPAparam!$S$3/($U30+E$53)*COS((BD30-EchelleFPAparam!$AE26)*EchelleFPAparam!$C$3/EchelleFPAparam!$E$3))*(SIN('Standard Settings'!$F25)+SIN('Standard Settings'!$F25+EchelleFPAparam!$M$3+EchelleFPAparam!$J$3*EchelleFPAparam!$B$6*COS(EchelleFPAparam!$AC$3)-(BD30-1024)*SIN(EchelleFPAparam!$AC$3)*EchelleFPAparam!$C$3/EchelleFPAparam!$E$3))</f>
        <v>4799.7653919421718</v>
      </c>
      <c r="EG30" s="26">
        <f>(EchelleFPAparam!$S$3/($U30+F$53)*COS((BE30-EchelleFPAparam!$AE26)*EchelleFPAparam!$C$3/EchelleFPAparam!$E$3))*(SIN('Standard Settings'!$F25)+SIN('Standard Settings'!$F25+EchelleFPAparam!$M$3+EchelleFPAparam!$J$3*EchelleFPAparam!$B$6*COS(EchelleFPAparam!$AC$3)-(BE30-1024)*SIN(EchelleFPAparam!$AC$3)*EchelleFPAparam!$C$3/EchelleFPAparam!$E$3))</f>
        <v>4430.6558065808031</v>
      </c>
      <c r="EH30" s="26">
        <f>(EchelleFPAparam!$S$3/($U30+G$53)*COS((BF30-EchelleFPAparam!$AE26)*EchelleFPAparam!$C$3/EchelleFPAparam!$E$3))*(SIN('Standard Settings'!$F25)+SIN('Standard Settings'!$F25+EchelleFPAparam!$M$3+EchelleFPAparam!$J$3*EchelleFPAparam!$B$6*COS(EchelleFPAparam!$AC$3)-(BF30-1024)*SIN(EchelleFPAparam!$AC$3)*EchelleFPAparam!$C$3/EchelleFPAparam!$E$3))</f>
        <v>4114.209816087593</v>
      </c>
      <c r="EI30" s="26">
        <f>(EchelleFPAparam!$S$3/($U30+H$53)*COS((BG30-EchelleFPAparam!$AE26)*EchelleFPAparam!$C$3/EchelleFPAparam!$E$3))*(SIN('Standard Settings'!$F25)+SIN('Standard Settings'!$F25+EchelleFPAparam!$M$3+EchelleFPAparam!$J$3*EchelleFPAparam!$B$6*COS(EchelleFPAparam!$AC$3)-(BG30-1024)*SIN(EchelleFPAparam!$AC$3)*EchelleFPAparam!$C$3/EchelleFPAparam!$E$3))</f>
        <v>3839.9160294460326</v>
      </c>
      <c r="EJ30" s="26">
        <f>(EchelleFPAparam!$S$3/($U30+I$53)*COS((BH30-EchelleFPAparam!$AE26)*EchelleFPAparam!$C$3/EchelleFPAparam!$E$3))*(SIN('Standard Settings'!$F25)+SIN('Standard Settings'!$F25+EchelleFPAparam!$M$3+EchelleFPAparam!$J$3*EchelleFPAparam!$B$6*COS(EchelleFPAparam!$AC$3)-(BH30-1024)*SIN(EchelleFPAparam!$AC$3)*EchelleFPAparam!$C$3/EchelleFPAparam!$E$3))</f>
        <v>3599.8840615826953</v>
      </c>
      <c r="EK30" s="26">
        <f>(EchelleFPAparam!$S$3/($U30+J$53)*COS((BI30-EchelleFPAparam!$AE26)*EchelleFPAparam!$C$3/EchelleFPAparam!$E$3))*(SIN('Standard Settings'!$F25)+SIN('Standard Settings'!$F25+EchelleFPAparam!$M$3+EchelleFPAparam!$J$3*EchelleFPAparam!$B$6*COS(EchelleFPAparam!$AC$3)-(BI30-1024)*SIN(EchelleFPAparam!$AC$3)*EchelleFPAparam!$C$3/EchelleFPAparam!$E$3))</f>
        <v>3387.5651783917688</v>
      </c>
      <c r="EL30" s="26">
        <f>(EchelleFPAparam!$S$3/($U30+K$53)*COS((BJ30-EchelleFPAparam!$AE26)*EchelleFPAparam!$C$3/EchelleFPAparam!$E$3))*(SIN('Standard Settings'!$F25)+SIN('Standard Settings'!$F25+EchelleFPAparam!$M$3+EchelleFPAparam!$J$3*EchelleFPAparam!$B$6*COS(EchelleFPAparam!$AC$3)-(BJ30-1024)*SIN(EchelleFPAparam!$AC$3)*EchelleFPAparam!$C$3/EchelleFPAparam!$E$3))</f>
        <v>3199.3671129255595</v>
      </c>
      <c r="EM30" s="26">
        <f>(EchelleFPAparam!$S$3/($U30+B$53)*COS((BA30-EchelleFPAparam!$AE26)*EchelleFPAparam!$C$3/EchelleFPAparam!$E$3))*(SIN('Standard Settings'!$F25)+SIN('Standard Settings'!$F25+EchelleFPAparam!$M$3+EchelleFPAparam!$K$3*EchelleFPAparam!$B$6*COS(EchelleFPAparam!$AC$3)-(BA30-1024)*SIN(EchelleFPAparam!$AC$3)*EchelleFPAparam!$C$3/EchelleFPAparam!$E$3))</f>
        <v>6434.4241565394595</v>
      </c>
      <c r="EN30" s="26">
        <f>(EchelleFPAparam!$S$3/($U30+C$53)*COS((BB30-EchelleFPAparam!$AE26)*EchelleFPAparam!$C$3/EchelleFPAparam!$E$3))*(SIN('Standard Settings'!$F25)+SIN('Standard Settings'!$F25+EchelleFPAparam!$M$3+EchelleFPAparam!$K$3*EchelleFPAparam!$B$6*COS(EchelleFPAparam!$AC$3)-(BB30-1024)*SIN(EchelleFPAparam!$AC$3)*EchelleFPAparam!$C$3/EchelleFPAparam!$E$3))</f>
        <v>5791.1988913891601</v>
      </c>
      <c r="EO30" s="26">
        <f>(EchelleFPAparam!$S$3/($U30+D$53)*COS((BC30-EchelleFPAparam!$AE26)*EchelleFPAparam!$C$3/EchelleFPAparam!$E$3))*(SIN('Standard Settings'!$F25)+SIN('Standard Settings'!$F25+EchelleFPAparam!$M$3+EchelleFPAparam!$K$3*EchelleFPAparam!$B$6*COS(EchelleFPAparam!$AC$3)-(BC30-1024)*SIN(EchelleFPAparam!$AC$3)*EchelleFPAparam!$C$3/EchelleFPAparam!$E$3))</f>
        <v>5265.048679782476</v>
      </c>
      <c r="EP30" s="26">
        <f>(EchelleFPAparam!$S$3/($U30+E$53)*COS((BD30-EchelleFPAparam!$AE26)*EchelleFPAparam!$C$3/EchelleFPAparam!$E$3))*(SIN('Standard Settings'!$F25)+SIN('Standard Settings'!$F25+EchelleFPAparam!$M$3+EchelleFPAparam!$K$3*EchelleFPAparam!$B$6*COS(EchelleFPAparam!$AC$3)-(BD30-1024)*SIN(EchelleFPAparam!$AC$3)*EchelleFPAparam!$C$3/EchelleFPAparam!$E$3))</f>
        <v>4826.5195047444076</v>
      </c>
      <c r="EQ30" s="26">
        <f>(EchelleFPAparam!$S$3/($U30+F$53)*COS((BE30-EchelleFPAparam!$AE26)*EchelleFPAparam!$C$3/EchelleFPAparam!$E$3))*(SIN('Standard Settings'!$F25)+SIN('Standard Settings'!$F25+EchelleFPAparam!$M$3+EchelleFPAparam!$K$3*EchelleFPAparam!$B$6*COS(EchelleFPAparam!$AC$3)-(BE30-1024)*SIN(EchelleFPAparam!$AC$3)*EchelleFPAparam!$C$3/EchelleFPAparam!$E$3))</f>
        <v>4455.3467255531314</v>
      </c>
      <c r="ER30" s="26">
        <f>(EchelleFPAparam!$S$3/($U30+G$53)*COS((BF30-EchelleFPAparam!$AE26)*EchelleFPAparam!$C$3/EchelleFPAparam!$E$3))*(SIN('Standard Settings'!$F25)+SIN('Standard Settings'!$F25+EchelleFPAparam!$M$3+EchelleFPAparam!$K$3*EchelleFPAparam!$B$6*COS(EchelleFPAparam!$AC$3)-(BF30-1024)*SIN(EchelleFPAparam!$AC$3)*EchelleFPAparam!$C$3/EchelleFPAparam!$E$3))</f>
        <v>4137.1326688148911</v>
      </c>
      <c r="ES30" s="26">
        <f>(EchelleFPAparam!$S$3/($U30+H$53)*COS((BG30-EchelleFPAparam!$AE26)*EchelleFPAparam!$C$3/EchelleFPAparam!$E$3))*(SIN('Standard Settings'!$F25)+SIN('Standard Settings'!$F25+EchelleFPAparam!$M$3+EchelleFPAparam!$K$3*EchelleFPAparam!$B$6*COS(EchelleFPAparam!$AC$3)-(BG30-1024)*SIN(EchelleFPAparam!$AC$3)*EchelleFPAparam!$C$3/EchelleFPAparam!$E$3))</f>
        <v>3861.3068932171936</v>
      </c>
      <c r="ET30" s="26">
        <f>(EchelleFPAparam!$S$3/($U30+I$53)*COS((BH30-EchelleFPAparam!$AE26)*EchelleFPAparam!$C$3/EchelleFPAparam!$E$3))*(SIN('Standard Settings'!$F25)+SIN('Standard Settings'!$F25+EchelleFPAparam!$M$3+EchelleFPAparam!$K$3*EchelleFPAparam!$B$6*COS(EchelleFPAparam!$AC$3)-(BH30-1024)*SIN(EchelleFPAparam!$AC$3)*EchelleFPAparam!$C$3/EchelleFPAparam!$E$3))</f>
        <v>3619.934734109198</v>
      </c>
      <c r="EU30" s="26">
        <f>(EchelleFPAparam!$S$3/($U30+J$53)*COS((BI30-EchelleFPAparam!$AE26)*EchelleFPAparam!$C$3/EchelleFPAparam!$E$3))*(SIN('Standard Settings'!$F25)+SIN('Standard Settings'!$F25+EchelleFPAparam!$M$3+EchelleFPAparam!$K$3*EchelleFPAparam!$B$6*COS(EchelleFPAparam!$AC$3)-(BI30-1024)*SIN(EchelleFPAparam!$AC$3)*EchelleFPAparam!$C$3/EchelleFPAparam!$E$3))</f>
        <v>3406.4598475797138</v>
      </c>
      <c r="EV30" s="26">
        <f>(EchelleFPAparam!$S$3/($U30+K$53)*COS((BJ30-EchelleFPAparam!$AE26)*EchelleFPAparam!$C$3/EchelleFPAparam!$E$3))*(SIN('Standard Settings'!$F25)+SIN('Standard Settings'!$F25+EchelleFPAparam!$M$3+EchelleFPAparam!$K$3*EchelleFPAparam!$B$6*COS(EchelleFPAparam!$AC$3)-(BJ30-1024)*SIN(EchelleFPAparam!$AC$3)*EchelleFPAparam!$C$3/EchelleFPAparam!$E$3))</f>
        <v>3217.2120782697298</v>
      </c>
      <c r="EW30" s="60">
        <f t="shared" si="40"/>
        <v>3553.3075067594541</v>
      </c>
      <c r="EX30" s="60">
        <f t="shared" si="41"/>
        <v>5791.1988913891601</v>
      </c>
      <c r="EY30" s="90">
        <v>0.39</v>
      </c>
      <c r="EZ30" s="90">
        <v>0.36</v>
      </c>
      <c r="FA30" s="50">
        <v>30000</v>
      </c>
      <c r="FB30" s="95">
        <v>1000</v>
      </c>
      <c r="FC30" s="95">
        <v>1000</v>
      </c>
      <c r="FD30" s="50">
        <v>3250</v>
      </c>
      <c r="FE30" s="50">
        <v>3500</v>
      </c>
      <c r="FF30" s="50">
        <v>5000</v>
      </c>
      <c r="FG30" s="95">
        <v>1000</v>
      </c>
      <c r="FH30" s="95">
        <f t="shared" si="27"/>
        <v>250</v>
      </c>
      <c r="FI30" s="95">
        <f t="shared" si="28"/>
        <v>250</v>
      </c>
      <c r="FJ30" s="50">
        <f t="shared" si="29"/>
        <v>812.5</v>
      </c>
      <c r="FK30" s="50">
        <f t="shared" si="30"/>
        <v>875</v>
      </c>
      <c r="FL30" s="50">
        <f t="shared" si="31"/>
        <v>1250</v>
      </c>
      <c r="FM30" s="95">
        <f t="shared" si="32"/>
        <v>250</v>
      </c>
      <c r="FN30" s="50">
        <v>500</v>
      </c>
      <c r="FO30" s="91">
        <f>1/(F30*EchelleFPAparam!$Q$3)</f>
        <v>-3010.0589238474759</v>
      </c>
      <c r="FP30" s="91">
        <f t="shared" si="22"/>
        <v>-38.385729844732609</v>
      </c>
      <c r="FQ30" s="50">
        <v>-999999</v>
      </c>
      <c r="FR30" s="50">
        <v>-999999</v>
      </c>
      <c r="FS30" s="90">
        <v>1</v>
      </c>
      <c r="FT30" s="90">
        <v>317.98500000000001</v>
      </c>
      <c r="FU30" s="90">
        <v>1118.942</v>
      </c>
      <c r="FV30" s="50">
        <v>-999999</v>
      </c>
      <c r="FW30" s="50">
        <v>-999999</v>
      </c>
      <c r="FX30" s="50">
        <v>-999999</v>
      </c>
      <c r="FY30" s="90">
        <v>1</v>
      </c>
      <c r="FZ30" s="90">
        <v>1885.9780000000001</v>
      </c>
      <c r="GA30" s="90">
        <v>1673.672</v>
      </c>
      <c r="GB30" s="50">
        <v>-999999</v>
      </c>
      <c r="GC30" s="50">
        <v>-999999</v>
      </c>
      <c r="GD30" s="50">
        <v>-999999</v>
      </c>
      <c r="GE30" s="90">
        <v>3</v>
      </c>
      <c r="GF30" s="90">
        <v>1698.982</v>
      </c>
      <c r="GG30" s="90">
        <v>1191.2190000000001</v>
      </c>
      <c r="GH30" s="50">
        <v>-999999</v>
      </c>
      <c r="GI30" s="50">
        <v>-999999</v>
      </c>
      <c r="GJ30" s="50">
        <v>-999999</v>
      </c>
      <c r="GK30" s="50">
        <v>-999999</v>
      </c>
      <c r="GL30" s="50">
        <v>-999999</v>
      </c>
      <c r="GM30" s="50">
        <v>-999999</v>
      </c>
      <c r="GN30" s="50">
        <v>-999999</v>
      </c>
      <c r="GO30" s="50">
        <v>-999999</v>
      </c>
      <c r="GP30" s="50">
        <v>-999999</v>
      </c>
      <c r="GQ30" s="50">
        <v>-999999</v>
      </c>
      <c r="GR30" s="50">
        <v>-999999</v>
      </c>
      <c r="GS30" s="50">
        <v>-999999</v>
      </c>
      <c r="GT30" s="50">
        <v>-999999</v>
      </c>
      <c r="GU30" s="50">
        <v>-999999</v>
      </c>
      <c r="GV30" s="50">
        <v>-999999</v>
      </c>
      <c r="GW30" s="50">
        <v>-999999</v>
      </c>
      <c r="GX30" s="50">
        <v>-999999</v>
      </c>
      <c r="GY30" s="50">
        <v>-999999</v>
      </c>
      <c r="GZ30" s="50">
        <v>-999999</v>
      </c>
      <c r="HA30" s="50">
        <v>-999999</v>
      </c>
      <c r="HB30" s="50">
        <v>-999999</v>
      </c>
      <c r="HC30" s="50">
        <v>-999999</v>
      </c>
      <c r="HD30" s="50">
        <v>-999999</v>
      </c>
      <c r="HE30" s="50">
        <v>-999999</v>
      </c>
      <c r="HF30" s="50">
        <v>-999999</v>
      </c>
      <c r="HG30" s="50">
        <v>-999999</v>
      </c>
      <c r="HH30" s="50">
        <v>-999999</v>
      </c>
      <c r="HI30" s="50">
        <v>-999999</v>
      </c>
      <c r="HJ30" s="50">
        <v>-999999</v>
      </c>
      <c r="HK30" s="50">
        <v>-999999</v>
      </c>
      <c r="HL30" s="50">
        <v>-999999</v>
      </c>
      <c r="HM30" s="50">
        <v>-999999</v>
      </c>
      <c r="HN30" s="50">
        <v>-999999</v>
      </c>
      <c r="HO30" s="50">
        <v>-999999</v>
      </c>
      <c r="HP30" s="50">
        <v>-999999</v>
      </c>
      <c r="HQ30" s="50">
        <v>-999999</v>
      </c>
      <c r="HR30" s="50">
        <v>-999999</v>
      </c>
      <c r="HS30" s="50">
        <v>-999999</v>
      </c>
      <c r="HT30" s="50">
        <v>-999999</v>
      </c>
      <c r="HU30" s="50">
        <v>-999999</v>
      </c>
      <c r="HV30" s="50">
        <v>-999999</v>
      </c>
      <c r="HW30" s="50">
        <v>-999999</v>
      </c>
      <c r="HX30" s="50">
        <v>-999999</v>
      </c>
      <c r="HY30" s="50"/>
      <c r="HZ30" s="50"/>
      <c r="IA30" s="50"/>
      <c r="IB30" s="50"/>
      <c r="IC30" s="50"/>
      <c r="ID30" s="50"/>
      <c r="IE30" s="50"/>
      <c r="IF30" s="50"/>
      <c r="IG30" s="50"/>
      <c r="IH30" s="50"/>
      <c r="II30" s="50"/>
      <c r="IJ30" s="50"/>
      <c r="IK30" s="50"/>
      <c r="IL30" s="50"/>
      <c r="IM30" s="50"/>
      <c r="IN30" s="50"/>
      <c r="IO30" s="50"/>
      <c r="IP30" s="50"/>
      <c r="IQ30" s="50"/>
      <c r="IR30" s="50"/>
      <c r="IS30" s="50"/>
      <c r="IT30" s="50"/>
      <c r="IU30" s="50"/>
      <c r="IV30" s="50"/>
      <c r="IW30" s="50"/>
      <c r="IX30" s="50"/>
      <c r="IY30" s="50"/>
      <c r="IZ30" s="50"/>
      <c r="JA30" s="50"/>
      <c r="JB30" s="50"/>
      <c r="JC30" s="50"/>
      <c r="JD30" s="50"/>
      <c r="JE30" s="50"/>
      <c r="JF30" s="50"/>
      <c r="JG30" s="50"/>
      <c r="JH30" s="50"/>
      <c r="JI30" s="50"/>
      <c r="JJ30" s="50"/>
      <c r="JK30" s="50"/>
      <c r="JL30" s="50"/>
      <c r="JM30" s="50"/>
      <c r="JN30" s="50"/>
      <c r="JO30" s="50"/>
      <c r="JP30" s="50"/>
      <c r="JQ30" s="50"/>
      <c r="JR30" s="50"/>
      <c r="JS30" s="50"/>
      <c r="JT30" s="50"/>
      <c r="JU30" s="50"/>
      <c r="JV30" s="50"/>
      <c r="JW30" s="52">
        <f t="shared" si="23"/>
        <v>2735.0496412360526</v>
      </c>
      <c r="JX30" s="27">
        <f t="shared" si="24"/>
        <v>346276.41779700544</v>
      </c>
      <c r="JY30" s="107">
        <f>JW30*EchelleFPAparam!$Q$3</f>
        <v>-2.6051347832773398E-2</v>
      </c>
      <c r="KA30" s="19"/>
      <c r="KB30" s="19"/>
      <c r="KC30" s="19"/>
      <c r="KD30" s="19"/>
      <c r="KE30" s="19"/>
      <c r="KF30" s="19"/>
      <c r="KG30" s="19"/>
      <c r="KH30" s="19"/>
      <c r="KI30" s="19"/>
      <c r="KJ30" s="19"/>
      <c r="KK30" s="19"/>
      <c r="KL30" s="19"/>
      <c r="KM30" s="19"/>
      <c r="KW30" s="19"/>
      <c r="KX30" s="19"/>
      <c r="KY30" s="19"/>
      <c r="KZ30" s="19"/>
      <c r="LA30" s="19"/>
      <c r="LB30" s="19"/>
      <c r="LC30" s="19"/>
      <c r="LD30" s="19"/>
      <c r="LE30" s="19"/>
      <c r="LF30" s="19"/>
    </row>
    <row r="31" spans="1:318" x14ac:dyDescent="0.2">
      <c r="A31" s="53">
        <f t="shared" si="35"/>
        <v>25</v>
      </c>
      <c r="B31" s="96">
        <f t="shared" si="0"/>
        <v>4368.1822000494658</v>
      </c>
      <c r="C31" s="27" t="str">
        <f>'Standard Settings'!B26</f>
        <v>M/5/9</v>
      </c>
      <c r="D31" s="27">
        <f>'Standard Settings'!H26</f>
        <v>13</v>
      </c>
      <c r="E31" s="19">
        <f t="shared" si="1"/>
        <v>1.3358469749391144E-2</v>
      </c>
      <c r="F31" s="18">
        <f>((EchelleFPAparam!$S$3/('crmcfgWLEN.txt'!$U31+F$53))*(SIN('Standard Settings'!$F26+0.0005)+SIN('Standard Settings'!$F26+0.0005+EchelleFPAparam!$M$3))-(EchelleFPAparam!$S$3/('crmcfgWLEN.txt'!$U31+F$53))*(SIN('Standard Settings'!$F26-0.0005)+SIN('Standard Settings'!$F26-0.0005+EchelleFPAparam!$M$3)))*1000*EchelleFPAparam!$O$3/180</f>
        <v>36.662834909239002</v>
      </c>
      <c r="G31" s="20" t="str">
        <f>'Standard Settings'!C26</f>
        <v>M</v>
      </c>
      <c r="H31" s="46"/>
      <c r="I31" s="59" t="s">
        <v>361</v>
      </c>
      <c r="J31" s="57"/>
      <c r="K31" s="27" t="str">
        <f>'Standard Settings'!$D26</f>
        <v>LM</v>
      </c>
      <c r="L31" s="46"/>
      <c r="M31" s="12">
        <v>2.5</v>
      </c>
      <c r="N31" s="12">
        <v>2.5</v>
      </c>
      <c r="O31" s="47" t="s">
        <v>384</v>
      </c>
      <c r="P31" s="47" t="s">
        <v>384</v>
      </c>
      <c r="Q31" s="27">
        <f>'Standard Settings'!$E26</f>
        <v>65.920950000000005</v>
      </c>
      <c r="R31" s="106">
        <f>'Standard Settings'!$J26</f>
        <v>470000</v>
      </c>
      <c r="S31" s="21">
        <f>'Standard Settings'!$G26</f>
        <v>10</v>
      </c>
      <c r="T31" s="21">
        <f>'Standard Settings'!$I26</f>
        <v>16</v>
      </c>
      <c r="U31" s="22">
        <f t="shared" si="25"/>
        <v>9</v>
      </c>
      <c r="V31" s="22">
        <f t="shared" si="26"/>
        <v>18</v>
      </c>
      <c r="W31" s="23">
        <f>IF(AND($U31-$S31+B$53&gt;=0,$U31-$T31+B$53&lt;=0),(EchelleFPAparam!$S$3/('crmcfgWLEN.txt'!$U31+B$53))*(SIN('Standard Settings'!$F26)+SIN('Standard Settings'!$F26+EchelleFPAparam!$M$3)),-1)</f>
        <v>-1</v>
      </c>
      <c r="X31" s="23">
        <f>IF(AND($U31-$S31+C$53&gt;=0,$U31-$T31+C$53&lt;=0),(EchelleFPAparam!$S$3/('crmcfgWLEN.txt'!$U31+C$53))*(SIN('Standard Settings'!$F26)+SIN('Standard Settings'!$F26+EchelleFPAparam!$M$3)),-1)</f>
        <v>5678.6368600643054</v>
      </c>
      <c r="Y31" s="23">
        <f>IF(AND($U31-$S31+D$53&gt;=0,$U31-$T31+D$53&lt;=0),(EchelleFPAparam!$S$3/('crmcfgWLEN.txt'!$U31+D$53))*(SIN('Standard Settings'!$F26)+SIN('Standard Settings'!$F26+EchelleFPAparam!$M$3)),-1)</f>
        <v>5162.3971455130049</v>
      </c>
      <c r="Z31" s="23">
        <f>IF(AND($U31-$S31+E$53&gt;=0,$U31-$T31+E$53&lt;=0),(EchelleFPAparam!$S$3/('crmcfgWLEN.txt'!$U31+E$53))*(SIN('Standard Settings'!$F26)+SIN('Standard Settings'!$F26+EchelleFPAparam!$M$3)),-1)</f>
        <v>4732.1973833869215</v>
      </c>
      <c r="AA31" s="23">
        <f>IF(AND($U31-$S31+F$53&gt;=0,$U31-$T31+F$53&lt;=0),(EchelleFPAparam!$S$3/('crmcfgWLEN.txt'!$U31+F$53))*(SIN('Standard Settings'!$F26)+SIN('Standard Settings'!$F26+EchelleFPAparam!$M$3)),-1)</f>
        <v>4368.1822000494658</v>
      </c>
      <c r="AB31" s="23">
        <f>IF(AND($U31-$S31+G$53&gt;=0,$U31-$T31+G$53&lt;=0),(EchelleFPAparam!$S$3/('crmcfgWLEN.txt'!$U31+G$53))*(SIN('Standard Settings'!$F26)+SIN('Standard Settings'!$F26+EchelleFPAparam!$M$3)),-1)</f>
        <v>4056.1691857602182</v>
      </c>
      <c r="AC31" s="23">
        <f>IF(AND($U31-$S31+H$53&gt;=0,$U31-$T31+H$53&lt;=0),(EchelleFPAparam!$S$3/('crmcfgWLEN.txt'!$U31+H$53))*(SIN('Standard Settings'!$F26)+SIN('Standard Settings'!$F26+EchelleFPAparam!$M$3)),-1)</f>
        <v>3785.7579067095367</v>
      </c>
      <c r="AD31" s="23">
        <f>IF(AND($U31-$S31+I$53&gt;=0,$U31-$T31+I$53&lt;=0),(EchelleFPAparam!$S$3/('crmcfgWLEN.txt'!$U31+I$53))*(SIN('Standard Settings'!$F26)+SIN('Standard Settings'!$F26+EchelleFPAparam!$M$3)),-1)</f>
        <v>3549.1480375401907</v>
      </c>
      <c r="AE31" s="23">
        <f>IF(AND($U31-$S31+J$53&gt;=0,$U31-$T31+J$53&lt;=0),(EchelleFPAparam!$S$3/('crmcfgWLEN.txt'!$U31+J$53))*(SIN('Standard Settings'!$F26)+SIN('Standard Settings'!$F26+EchelleFPAparam!$M$3)),-1)</f>
        <v>-1</v>
      </c>
      <c r="AF31" s="23">
        <f>IF(AND($U31-$S31+K$53&gt;=0,$U31-$T31+K$53&lt;=0),(EchelleFPAparam!$S$3/('crmcfgWLEN.txt'!$U31+K$53))*(SIN('Standard Settings'!$F26)+SIN('Standard Settings'!$F26+EchelleFPAparam!$M$3)),-1)</f>
        <v>-1</v>
      </c>
      <c r="AG31" s="159">
        <v>-100.1</v>
      </c>
      <c r="AH31" s="157">
        <v>84.547861512753499</v>
      </c>
      <c r="AI31" s="157">
        <v>450.93341909514601</v>
      </c>
      <c r="AJ31" s="157">
        <v>838.99902139701805</v>
      </c>
      <c r="AK31" s="157">
        <v>1168.0247373930499</v>
      </c>
      <c r="AL31" s="157">
        <v>1450.76220993175</v>
      </c>
      <c r="AM31" s="157">
        <v>1696.52283307212</v>
      </c>
      <c r="AN31" s="157">
        <v>1912.0220279274099</v>
      </c>
      <c r="AO31" s="159">
        <v>-100.1</v>
      </c>
      <c r="AP31" s="159">
        <v>-100.1</v>
      </c>
      <c r="AQ31" s="160">
        <v>-100.1</v>
      </c>
      <c r="AR31" s="157">
        <v>94.010617158593405</v>
      </c>
      <c r="AS31" s="157">
        <v>472.26413564315999</v>
      </c>
      <c r="AT31" s="157">
        <v>862.76148001091804</v>
      </c>
      <c r="AU31" s="157">
        <v>1193.80393658751</v>
      </c>
      <c r="AV31" s="157">
        <v>1478.2776354285099</v>
      </c>
      <c r="AW31" s="157">
        <v>1725.4337649169299</v>
      </c>
      <c r="AX31" s="157">
        <v>1942.1150795947799</v>
      </c>
      <c r="AY31" s="160">
        <v>-100.1</v>
      </c>
      <c r="AZ31" s="160">
        <v>-100.1</v>
      </c>
      <c r="BA31" s="161">
        <v>-100.1</v>
      </c>
      <c r="BB31" s="157">
        <v>117.762337212001</v>
      </c>
      <c r="BC31" s="157">
        <v>492.99465660361699</v>
      </c>
      <c r="BD31" s="157">
        <v>886.18357031914002</v>
      </c>
      <c r="BE31" s="157">
        <v>1219.59307653311</v>
      </c>
      <c r="BF31" s="157">
        <v>1506.0100439259199</v>
      </c>
      <c r="BG31" s="157">
        <v>1754.91548206884</v>
      </c>
      <c r="BH31" s="157">
        <v>1960.63524888607</v>
      </c>
      <c r="BI31" s="161">
        <v>-100.1</v>
      </c>
      <c r="BJ31" s="161">
        <v>-100.1</v>
      </c>
      <c r="BK31" s="24">
        <f>EchelleFPAparam!$S$3/('crmcfgWLEN.txt'!$U31+B$53)*(SIN(EchelleFPAparam!$T$3-EchelleFPAparam!$M$3/2)+SIN('Standard Settings'!$F26+EchelleFPAparam!$M$3))</f>
        <v>6295.5440854615972</v>
      </c>
      <c r="BL31" s="24">
        <f>EchelleFPAparam!$S$3/('crmcfgWLEN.txt'!$U31+C$53)*(SIN(EchelleFPAparam!$T$3-EchelleFPAparam!$M$3/2)+SIN('Standard Settings'!$F26+EchelleFPAparam!$M$3))</f>
        <v>5665.9896769154375</v>
      </c>
      <c r="BM31" s="24">
        <f>EchelleFPAparam!$S$3/('crmcfgWLEN.txt'!$U31+D$53)*(SIN(EchelleFPAparam!$T$3-EchelleFPAparam!$M$3/2)+SIN('Standard Settings'!$F26+EchelleFPAparam!$M$3))</f>
        <v>5150.899706286762</v>
      </c>
      <c r="BN31" s="24">
        <f>EchelleFPAparam!$S$3/('crmcfgWLEN.txt'!$U31+E$53)*(SIN(EchelleFPAparam!$T$3-EchelleFPAparam!$M$3/2)+SIN('Standard Settings'!$F26+EchelleFPAparam!$M$3))</f>
        <v>4721.6580640961974</v>
      </c>
      <c r="BO31" s="24">
        <f>EchelleFPAparam!$S$3/('crmcfgWLEN.txt'!$U31+F$53)*(SIN(EchelleFPAparam!$T$3-EchelleFPAparam!$M$3/2)+SIN('Standard Settings'!$F26+EchelleFPAparam!$M$3))</f>
        <v>4358.45359762726</v>
      </c>
      <c r="BP31" s="24">
        <f>EchelleFPAparam!$S$3/('crmcfgWLEN.txt'!$U31+G$53)*(SIN(EchelleFPAparam!$T$3-EchelleFPAparam!$M$3/2)+SIN('Standard Settings'!$F26+EchelleFPAparam!$M$3))</f>
        <v>4047.1354835110265</v>
      </c>
      <c r="BQ31" s="24">
        <f>EchelleFPAparam!$S$3/('crmcfgWLEN.txt'!$U31+H$53)*(SIN(EchelleFPAparam!$T$3-EchelleFPAparam!$M$3/2)+SIN('Standard Settings'!$F26+EchelleFPAparam!$M$3))</f>
        <v>3777.3264512769579</v>
      </c>
      <c r="BR31" s="24">
        <f>EchelleFPAparam!$S$3/('crmcfgWLEN.txt'!$U31+I$53)*(SIN(EchelleFPAparam!$T$3-EchelleFPAparam!$M$3/2)+SIN('Standard Settings'!$F26+EchelleFPAparam!$M$3))</f>
        <v>3541.2435480721483</v>
      </c>
      <c r="BS31" s="24">
        <f>EchelleFPAparam!$S$3/('crmcfgWLEN.txt'!$U31+J$53)*(SIN(EchelleFPAparam!$T$3-EchelleFPAparam!$M$3/2)+SIN('Standard Settings'!$F26+EchelleFPAparam!$M$3))</f>
        <v>3332.9351040679044</v>
      </c>
      <c r="BT31" s="24">
        <f>EchelleFPAparam!$S$3/('crmcfgWLEN.txt'!$U31+K$53)*(SIN(EchelleFPAparam!$T$3-EchelleFPAparam!$M$3/2)+SIN('Standard Settings'!$F26+EchelleFPAparam!$M$3))</f>
        <v>3147.7720427307986</v>
      </c>
      <c r="BU31" s="25">
        <f t="shared" si="33"/>
        <v>6062.375786000056</v>
      </c>
      <c r="BV31" s="25">
        <f t="shared" si="2"/>
        <v>5470.6107225390433</v>
      </c>
      <c r="BW31" s="25">
        <f t="shared" si="3"/>
        <v>4984.7416512452537</v>
      </c>
      <c r="BX31" s="25">
        <f t="shared" si="4"/>
        <v>4578.5775166993435</v>
      </c>
      <c r="BY31" s="25">
        <f t="shared" si="5"/>
        <v>4233.9263519807664</v>
      </c>
      <c r="BZ31" s="25">
        <f t="shared" si="6"/>
        <v>3937.7534434161339</v>
      </c>
      <c r="CA31" s="25">
        <f t="shared" si="7"/>
        <v>3680.4719268852409</v>
      </c>
      <c r="CB31" s="25">
        <f t="shared" si="8"/>
        <v>3454.8717542167301</v>
      </c>
      <c r="CC31" s="25">
        <f t="shared" si="9"/>
        <v>3255.4249853686506</v>
      </c>
      <c r="CD31" s="25">
        <f t="shared" si="10"/>
        <v>3077.8215528923365</v>
      </c>
      <c r="CE31" s="25">
        <f t="shared" si="34"/>
        <v>6547.3658488800611</v>
      </c>
      <c r="CF31" s="25">
        <f t="shared" si="11"/>
        <v>5875.8411464308238</v>
      </c>
      <c r="CG31" s="25">
        <f t="shared" si="12"/>
        <v>5328.5169375380301</v>
      </c>
      <c r="CH31" s="25">
        <f t="shared" si="13"/>
        <v>4873.9696145509133</v>
      </c>
      <c r="CI31" s="25">
        <f t="shared" si="14"/>
        <v>4490.5279490705107</v>
      </c>
      <c r="CJ31" s="25">
        <f t="shared" si="15"/>
        <v>4162.7679258970556</v>
      </c>
      <c r="CK31" s="25">
        <f t="shared" si="16"/>
        <v>3879.4163553655239</v>
      </c>
      <c r="CL31" s="25">
        <f t="shared" si="17"/>
        <v>3632.0446646893824</v>
      </c>
      <c r="CM31" s="25">
        <f t="shared" si="18"/>
        <v>3414.2262041671215</v>
      </c>
      <c r="CN31" s="25">
        <f t="shared" si="19"/>
        <v>3220.9760437245382</v>
      </c>
      <c r="CO31" s="26">
        <f>(EchelleFPAparam!$S$3/($U31+B$53)*COS((AG31-EchelleFPAparam!$AE27)*EchelleFPAparam!$C$3/EchelleFPAparam!$E$3))*(SIN('Standard Settings'!$F26)+SIN('Standard Settings'!$F26+EchelleFPAparam!$M$3+(EchelleFPAparam!$F$3*EchelleFPAparam!$B$6)*COS(EchelleFPAparam!$AC$3)-(AG31-1024)*SIN(EchelleFPAparam!$AC$3)*EchelleFPAparam!$C$3/EchelleFPAparam!$E$3))</f>
        <v>6244.1101485657373</v>
      </c>
      <c r="CP31" s="26">
        <f>(EchelleFPAparam!$S$3/($U31+C$53)*COS((AH31-EchelleFPAparam!$AE27)*EchelleFPAparam!$C$3/EchelleFPAparam!$E$3))*(SIN('Standard Settings'!$F26)+SIN('Standard Settings'!$F26+EchelleFPAparam!$M$3+(EchelleFPAparam!$F$3*EchelleFPAparam!$B$6)*COS(EchelleFPAparam!$AC$3)-(AH31-1024)*SIN(EchelleFPAparam!$AC$3)*EchelleFPAparam!$C$3/EchelleFPAparam!$E$3))</f>
        <v>5619.9324857031006</v>
      </c>
      <c r="CQ31" s="26">
        <f>(EchelleFPAparam!$S$3/($U31+D$53)*COS((AI31-EchelleFPAparam!$AE27)*EchelleFPAparam!$C$3/EchelleFPAparam!$E$3))*(SIN('Standard Settings'!$F26)+SIN('Standard Settings'!$F26+EchelleFPAparam!$M$3+(EchelleFPAparam!$F$3*EchelleFPAparam!$B$6)*COS(EchelleFPAparam!$AC$3)-(AI31-1024)*SIN(EchelleFPAparam!$AC$3)*EchelleFPAparam!$C$3/EchelleFPAparam!$E$3))</f>
        <v>5109.3773628680819</v>
      </c>
      <c r="CR31" s="26">
        <f>(EchelleFPAparam!$S$3/($U31+E$53)*COS((AJ31-EchelleFPAparam!$AE27)*EchelleFPAparam!$C$3/EchelleFPAparam!$E$3))*(SIN('Standard Settings'!$F26)+SIN('Standard Settings'!$F26+EchelleFPAparam!$M$3+(EchelleFPAparam!$F$3*EchelleFPAparam!$B$6)*COS(EchelleFPAparam!$AC$3)-(AJ31-1024)*SIN(EchelleFPAparam!$AC$3)*EchelleFPAparam!$C$3/EchelleFPAparam!$E$3))</f>
        <v>4683.8364401425424</v>
      </c>
      <c r="CS31" s="26">
        <f>(EchelleFPAparam!$S$3/($U31+F$53)*COS((AK31-EchelleFPAparam!$AE27)*EchelleFPAparam!$C$3/EchelleFPAparam!$E$3))*(SIN('Standard Settings'!$F26)+SIN('Standard Settings'!$F26+EchelleFPAparam!$M$3+(EchelleFPAparam!$F$3*EchelleFPAparam!$B$6)*COS(EchelleFPAparam!$AC$3)-(AK31-1024)*SIN(EchelleFPAparam!$AC$3)*EchelleFPAparam!$C$3/EchelleFPAparam!$E$3))</f>
        <v>4323.6572696717867</v>
      </c>
      <c r="CT31" s="26">
        <f>(EchelleFPAparam!$S$3/($U31+G$53)*COS((AL31-EchelleFPAparam!$AE27)*EchelleFPAparam!$C$3/EchelleFPAparam!$E$3))*(SIN('Standard Settings'!$F26)+SIN('Standard Settings'!$F26+EchelleFPAparam!$M$3+(EchelleFPAparam!$F$3*EchelleFPAparam!$B$6)*COS(EchelleFPAparam!$AC$3)-(AL31-1024)*SIN(EchelleFPAparam!$AC$3)*EchelleFPAparam!$C$3/EchelleFPAparam!$E$3))</f>
        <v>4014.8678970223482</v>
      </c>
      <c r="CU31" s="26">
        <f>(EchelleFPAparam!$S$3/($U31+H$53)*COS((AM31-EchelleFPAparam!$AE27)*EchelleFPAparam!$C$3/EchelleFPAparam!$E$3))*(SIN('Standard Settings'!$F26)+SIN('Standard Settings'!$F26+EchelleFPAparam!$M$3+(EchelleFPAparam!$F$3*EchelleFPAparam!$B$6)*COS(EchelleFPAparam!$AC$3)-(AM31-1024)*SIN(EchelleFPAparam!$AC$3)*EchelleFPAparam!$C$3/EchelleFPAparam!$E$3))</f>
        <v>3747.2106562902486</v>
      </c>
      <c r="CV31" s="26">
        <f>(EchelleFPAparam!$S$3/($U31+I$53)*COS((AN31-EchelleFPAparam!$AE27)*EchelleFPAparam!$C$3/EchelleFPAparam!$E$3))*(SIN('Standard Settings'!$F26)+SIN('Standard Settings'!$F26+EchelleFPAparam!$M$3+(EchelleFPAparam!$F$3*EchelleFPAparam!$B$6)*COS(EchelleFPAparam!$AC$3)-(AN31-1024)*SIN(EchelleFPAparam!$AC$3)*EchelleFPAparam!$C$3/EchelleFPAparam!$E$3))</f>
        <v>3512.9857450235554</v>
      </c>
      <c r="CW31" s="26">
        <f>(EchelleFPAparam!$S$3/($U31+J$53)*COS((AO31-EchelleFPAparam!$AE27)*EchelleFPAparam!$C$3/EchelleFPAparam!$E$3))*(SIN('Standard Settings'!$F26)+SIN('Standard Settings'!$F26+EchelleFPAparam!$M$3+(EchelleFPAparam!$F$3*EchelleFPAparam!$B$6)*COS(EchelleFPAparam!$AC$3)-(AO31-1024)*SIN(EchelleFPAparam!$AC$3)*EchelleFPAparam!$C$3/EchelleFPAparam!$E$3))</f>
        <v>3305.7053727700963</v>
      </c>
      <c r="CX31" s="26">
        <f>(EchelleFPAparam!$S$3/($U31+K$53)*COS((AP31-EchelleFPAparam!$AE27)*EchelleFPAparam!$C$3/EchelleFPAparam!$E$3))*(SIN('Standard Settings'!$F26)+SIN('Standard Settings'!$F26+EchelleFPAparam!$M$3+(EchelleFPAparam!$F$3*EchelleFPAparam!$B$6)*COS(EchelleFPAparam!$AC$3)-(AP31-1024)*SIN(EchelleFPAparam!$AC$3)*EchelleFPAparam!$C$3/EchelleFPAparam!$E$3))</f>
        <v>3122.0550742828686</v>
      </c>
      <c r="CY31" s="26">
        <f>(EchelleFPAparam!$S$3/($U31+B$53)*COS((AG31-EchelleFPAparam!$AE27)*EchelleFPAparam!$C$3/EchelleFPAparam!$E$3))*(SIN('Standard Settings'!$F26)+SIN('Standard Settings'!$F26+EchelleFPAparam!$M$3+EchelleFPAparam!$G$3*EchelleFPAparam!$B$6*COS(EchelleFPAparam!$AC$3)-(AG31-1024)*SIN(EchelleFPAparam!$AC$3)*EchelleFPAparam!$C$3/EchelleFPAparam!$E$3))</f>
        <v>6285.6566454269168</v>
      </c>
      <c r="CZ31" s="26">
        <f>(EchelleFPAparam!$S$3/($U31+C$53)*COS((AH31-EchelleFPAparam!$AE27)*EchelleFPAparam!$C$3/EchelleFPAparam!$E$3))*(SIN('Standard Settings'!$F26)+SIN('Standard Settings'!$F26+EchelleFPAparam!$M$3+EchelleFPAparam!$G$3*EchelleFPAparam!$B$6*COS(EchelleFPAparam!$AC$3)-(AH31-1024)*SIN(EchelleFPAparam!$AC$3)*EchelleFPAparam!$C$3/EchelleFPAparam!$E$3))</f>
        <v>5657.3217698666185</v>
      </c>
      <c r="DA31" s="26">
        <f>(EchelleFPAparam!$S$3/($U31+D$53)*COS((AI31-EchelleFPAparam!$AE27)*EchelleFPAparam!$C$3/EchelleFPAparam!$E$3))*(SIN('Standard Settings'!$F26)+SIN('Standard Settings'!$F26+EchelleFPAparam!$M$3+EchelleFPAparam!$G$3*EchelleFPAparam!$B$6*COS(EchelleFPAparam!$AC$3)-(AI31-1024)*SIN(EchelleFPAparam!$AC$3)*EchelleFPAparam!$C$3/EchelleFPAparam!$E$3))</f>
        <v>5143.3625109163031</v>
      </c>
      <c r="DB31" s="26">
        <f>(EchelleFPAparam!$S$3/($U31+E$53)*COS((AJ31-EchelleFPAparam!$AE27)*EchelleFPAparam!$C$3/EchelleFPAparam!$E$3))*(SIN('Standard Settings'!$F26)+SIN('Standard Settings'!$F26+EchelleFPAparam!$M$3+EchelleFPAparam!$G$3*EchelleFPAparam!$B$6*COS(EchelleFPAparam!$AC$3)-(AJ31-1024)*SIN(EchelleFPAparam!$AC$3)*EchelleFPAparam!$C$3/EchelleFPAparam!$E$3))</f>
        <v>4714.983883838293</v>
      </c>
      <c r="DC31" s="26">
        <f>(EchelleFPAparam!$S$3/($U31+F$53)*COS((AK31-EchelleFPAparam!$AE27)*EchelleFPAparam!$C$3/EchelleFPAparam!$E$3))*(SIN('Standard Settings'!$F26)+SIN('Standard Settings'!$F26+EchelleFPAparam!$M$3+EchelleFPAparam!$G$3*EchelleFPAparam!$B$6*COS(EchelleFPAparam!$AC$3)-(AK31-1024)*SIN(EchelleFPAparam!$AC$3)*EchelleFPAparam!$C$3/EchelleFPAparam!$E$3))</f>
        <v>4352.4038854932323</v>
      </c>
      <c r="DD31" s="26">
        <f>(EchelleFPAparam!$S$3/($U31+G$53)*COS((AL31-EchelleFPAparam!$AE27)*EchelleFPAparam!$C$3/EchelleFPAparam!$E$3))*(SIN('Standard Settings'!$F26)+SIN('Standard Settings'!$F26+EchelleFPAparam!$M$3+EchelleFPAparam!$G$3*EchelleFPAparam!$B$6*COS(EchelleFPAparam!$AC$3)-(AL31-1024)*SIN(EchelleFPAparam!$AC$3)*EchelleFPAparam!$C$3/EchelleFPAparam!$E$3))</f>
        <v>4041.5569693338816</v>
      </c>
      <c r="DE31" s="26">
        <f>(EchelleFPAparam!$S$3/($U31+H$53)*COS((AM31-EchelleFPAparam!$AE27)*EchelleFPAparam!$C$3/EchelleFPAparam!$E$3))*(SIN('Standard Settings'!$F26)+SIN('Standard Settings'!$F26+EchelleFPAparam!$M$3+EchelleFPAparam!$G$3*EchelleFPAparam!$B$6*COS(EchelleFPAparam!$AC$3)-(AM31-1024)*SIN(EchelleFPAparam!$AC$3)*EchelleFPAparam!$C$3/EchelleFPAparam!$E$3))</f>
        <v>3772.1168092768712</v>
      </c>
      <c r="DF31" s="26">
        <f>(EchelleFPAparam!$S$3/($U31+I$53)*COS((AN31-EchelleFPAparam!$AE27)*EchelleFPAparam!$C$3/EchelleFPAparam!$E$3))*(SIN('Standard Settings'!$F26)+SIN('Standard Settings'!$F26+EchelleFPAparam!$M$3+EchelleFPAparam!$G$3*EchelleFPAparam!$B$6*COS(EchelleFPAparam!$AC$3)-(AN31-1024)*SIN(EchelleFPAparam!$AC$3)*EchelleFPAparam!$C$3/EchelleFPAparam!$E$3))</f>
        <v>3536.3321002498133</v>
      </c>
      <c r="DG31" s="26">
        <f>(EchelleFPAparam!$S$3/($U31+J$53)*COS((AO31-EchelleFPAparam!$AE27)*EchelleFPAparam!$C$3/EchelleFPAparam!$E$3))*(SIN('Standard Settings'!$F26)+SIN('Standard Settings'!$F26+EchelleFPAparam!$M$3+EchelleFPAparam!$G$3*EchelleFPAparam!$B$6*COS(EchelleFPAparam!$AC$3)-(AO31-1024)*SIN(EchelleFPAparam!$AC$3)*EchelleFPAparam!$C$3/EchelleFPAparam!$E$3))</f>
        <v>3327.7005769907209</v>
      </c>
      <c r="DH31" s="26">
        <f>(EchelleFPAparam!$S$3/($U31+K$53)*COS((AP31-EchelleFPAparam!$AE27)*EchelleFPAparam!$C$3/EchelleFPAparam!$E$3))*(SIN('Standard Settings'!$F26)+SIN('Standard Settings'!$F26+EchelleFPAparam!$M$3+EchelleFPAparam!$G$3*EchelleFPAparam!$B$6*COS(EchelleFPAparam!$AC$3)-(AP31-1024)*SIN(EchelleFPAparam!$AC$3)*EchelleFPAparam!$C$3/EchelleFPAparam!$E$3))</f>
        <v>3142.8283227134584</v>
      </c>
      <c r="DI31" s="26">
        <f>(EchelleFPAparam!$S$3/($U31+B$53)*COS((AQ31-EchelleFPAparam!$AE27)*EchelleFPAparam!$C$3/EchelleFPAparam!$E$3))*(SIN('Standard Settings'!$F26)+SIN('Standard Settings'!$F26+EchelleFPAparam!$M$3+EchelleFPAparam!$H$3*EchelleFPAparam!$B$6*COS(EchelleFPAparam!$AC$3)-(AQ31-1024)*SIN(EchelleFPAparam!$AC$3)*EchelleFPAparam!$C$3/EchelleFPAparam!$E$3))</f>
        <v>6288.5110345363428</v>
      </c>
      <c r="DJ31" s="26">
        <f>(EchelleFPAparam!$S$3/($U31+C$53)*COS((AR31-EchelleFPAparam!$AE27)*EchelleFPAparam!$C$3/EchelleFPAparam!$E$3))*(SIN('Standard Settings'!$F26)+SIN('Standard Settings'!$F26+EchelleFPAparam!$M$3+EchelleFPAparam!$H$3*EchelleFPAparam!$B$6*COS(EchelleFPAparam!$AC$3)-(AR31-1024)*SIN(EchelleFPAparam!$AC$3)*EchelleFPAparam!$C$3/EchelleFPAparam!$E$3))</f>
        <v>5659.9016173000227</v>
      </c>
      <c r="DK31" s="26">
        <f>(EchelleFPAparam!$S$3/($U31+D$53)*COS((AS31-EchelleFPAparam!$AE27)*EchelleFPAparam!$C$3/EchelleFPAparam!$E$3))*(SIN('Standard Settings'!$F26)+SIN('Standard Settings'!$F26+EchelleFPAparam!$M$3+EchelleFPAparam!$H$3*EchelleFPAparam!$B$6*COS(EchelleFPAparam!$AC$3)-(AS31-1024)*SIN(EchelleFPAparam!$AC$3)*EchelleFPAparam!$C$3/EchelleFPAparam!$E$3))</f>
        <v>5145.7143033031653</v>
      </c>
      <c r="DL31" s="26">
        <f>(EchelleFPAparam!$S$3/($U31+E$53)*COS((AT31-EchelleFPAparam!$AE27)*EchelleFPAparam!$C$3/EchelleFPAparam!$E$3))*(SIN('Standard Settings'!$F26)+SIN('Standard Settings'!$F26+EchelleFPAparam!$M$3+EchelleFPAparam!$H$3*EchelleFPAparam!$B$6*COS(EchelleFPAparam!$AC$3)-(AT31-1024)*SIN(EchelleFPAparam!$AC$3)*EchelleFPAparam!$C$3/EchelleFPAparam!$E$3))</f>
        <v>4717.1348768270827</v>
      </c>
      <c r="DM31" s="26">
        <f>(EchelleFPAparam!$S$3/($U31+F$53)*COS((AU31-EchelleFPAparam!$AE27)*EchelleFPAparam!$C$3/EchelleFPAparam!$E$3))*(SIN('Standard Settings'!$F26)+SIN('Standard Settings'!$F26+EchelleFPAparam!$M$3+EchelleFPAparam!$H$3*EchelleFPAparam!$B$6*COS(EchelleFPAparam!$AC$3)-(AU31-1024)*SIN(EchelleFPAparam!$AC$3)*EchelleFPAparam!$C$3/EchelleFPAparam!$E$3))</f>
        <v>4354.3846889248252</v>
      </c>
      <c r="DN31" s="26">
        <f>(EchelleFPAparam!$S$3/($U31+G$53)*COS((AV31-EchelleFPAparam!$AE27)*EchelleFPAparam!$C$3/EchelleFPAparam!$E$3))*(SIN('Standard Settings'!$F26)+SIN('Standard Settings'!$F26+EchelleFPAparam!$M$3+EchelleFPAparam!$H$3*EchelleFPAparam!$B$6*COS(EchelleFPAparam!$AC$3)-(AV31-1024)*SIN(EchelleFPAparam!$AC$3)*EchelleFPAparam!$C$3/EchelleFPAparam!$E$3))</f>
        <v>4043.3918815167176</v>
      </c>
      <c r="DO31" s="26">
        <f>(EchelleFPAparam!$S$3/($U31+H$53)*COS((AW31-EchelleFPAparam!$AE27)*EchelleFPAparam!$C$3/EchelleFPAparam!$E$3))*(SIN('Standard Settings'!$F26)+SIN('Standard Settings'!$F26+EchelleFPAparam!$M$3+EchelleFPAparam!$H$3*EchelleFPAparam!$B$6*COS(EchelleFPAparam!$AC$3)-(AW31-1024)*SIN(EchelleFPAparam!$AC$3)*EchelleFPAparam!$C$3/EchelleFPAparam!$E$3))</f>
        <v>3773.8253869055484</v>
      </c>
      <c r="DP31" s="26">
        <f>(EchelleFPAparam!$S$3/($U31+I$53)*COS((AX31-EchelleFPAparam!$AE27)*EchelleFPAparam!$C$3/EchelleFPAparam!$E$3))*(SIN('Standard Settings'!$F26)+SIN('Standard Settings'!$F26+EchelleFPAparam!$M$3+EchelleFPAparam!$H$3*EchelleFPAparam!$B$6*COS(EchelleFPAparam!$AC$3)-(AX31-1024)*SIN(EchelleFPAparam!$AC$3)*EchelleFPAparam!$C$3/EchelleFPAparam!$E$3))</f>
        <v>3537.9303105998492</v>
      </c>
      <c r="DQ31" s="26">
        <f>(EchelleFPAparam!$S$3/($U31+J$53)*COS((AY31-EchelleFPAparam!$AE27)*EchelleFPAparam!$C$3/EchelleFPAparam!$E$3))*(SIN('Standard Settings'!$F26)+SIN('Standard Settings'!$F26+EchelleFPAparam!$M$3+EchelleFPAparam!$H$3*EchelleFPAparam!$B$6*COS(EchelleFPAparam!$AC$3)-(AY31-1024)*SIN(EchelleFPAparam!$AC$3)*EchelleFPAparam!$C$3/EchelleFPAparam!$E$3))</f>
        <v>3329.2117241662991</v>
      </c>
      <c r="DR31" s="26">
        <f>(EchelleFPAparam!$S$3/($U31+K$53)*COS((AZ31-EchelleFPAparam!$AE27)*EchelleFPAparam!$C$3/EchelleFPAparam!$E$3))*(SIN('Standard Settings'!$F26)+SIN('Standard Settings'!$F26+EchelleFPAparam!$M$3+EchelleFPAparam!$H$3*EchelleFPAparam!$B$6*COS(EchelleFPAparam!$AC$3)-(AZ31-1024)*SIN(EchelleFPAparam!$AC$3)*EchelleFPAparam!$C$3/EchelleFPAparam!$E$3))</f>
        <v>3144.2555172681714</v>
      </c>
      <c r="DS31" s="26">
        <f>(EchelleFPAparam!$S$3/($U31+B$53)*COS((AQ31-EchelleFPAparam!$AE27)*EchelleFPAparam!$C$3/EchelleFPAparam!$E$3))*(SIN('Standard Settings'!$F26)+SIN('Standard Settings'!$F26+EchelleFPAparam!$M$3+EchelleFPAparam!$I$3*EchelleFPAparam!$B$6*COS(EchelleFPAparam!$AC$3)-(AQ31-1024)*SIN(EchelleFPAparam!$AC$3)*EchelleFPAparam!$C$3/EchelleFPAparam!$E$3))</f>
        <v>6328.0531108748273</v>
      </c>
      <c r="DT31" s="26">
        <f>(EchelleFPAparam!$S$3/($U31+C$53)*COS((AR31-EchelleFPAparam!$AE27)*EchelleFPAparam!$C$3/EchelleFPAparam!$E$3))*(SIN('Standard Settings'!$F26)+SIN('Standard Settings'!$F26+EchelleFPAparam!$M$3+EchelleFPAparam!$I$3*EchelleFPAparam!$B$6*COS(EchelleFPAparam!$AC$3)-(AR31-1024)*SIN(EchelleFPAparam!$AC$3)*EchelleFPAparam!$C$3/EchelleFPAparam!$E$3))</f>
        <v>5695.486682671808</v>
      </c>
      <c r="DU31" s="26">
        <f>(EchelleFPAparam!$S$3/($U31+D$53)*COS((AS31-EchelleFPAparam!$AE27)*EchelleFPAparam!$C$3/EchelleFPAparam!$E$3))*(SIN('Standard Settings'!$F26)+SIN('Standard Settings'!$F26+EchelleFPAparam!$M$3+EchelleFPAparam!$I$3*EchelleFPAparam!$B$6*COS(EchelleFPAparam!$AC$3)-(AS31-1024)*SIN(EchelleFPAparam!$AC$3)*EchelleFPAparam!$C$3/EchelleFPAparam!$E$3))</f>
        <v>5178.0588995866792</v>
      </c>
      <c r="DV31" s="26">
        <f>(EchelleFPAparam!$S$3/($U31+E$53)*COS((AT31-EchelleFPAparam!$AE27)*EchelleFPAparam!$C$3/EchelleFPAparam!$E$3))*(SIN('Standard Settings'!$F26)+SIN('Standard Settings'!$F26+EchelleFPAparam!$M$3+EchelleFPAparam!$I$3*EchelleFPAparam!$B$6*COS(EchelleFPAparam!$AC$3)-(AT31-1024)*SIN(EchelleFPAparam!$AC$3)*EchelleFPAparam!$C$3/EchelleFPAparam!$E$3))</f>
        <v>4746.7782886545046</v>
      </c>
      <c r="DW31" s="26">
        <f>(EchelleFPAparam!$S$3/($U31+F$53)*COS((AU31-EchelleFPAparam!$AE27)*EchelleFPAparam!$C$3/EchelleFPAparam!$E$3))*(SIN('Standard Settings'!$F26)+SIN('Standard Settings'!$F26+EchelleFPAparam!$M$3+EchelleFPAparam!$I$3*EchelleFPAparam!$B$6*COS(EchelleFPAparam!$AC$3)-(AU31-1024)*SIN(EchelleFPAparam!$AC$3)*EchelleFPAparam!$C$3/EchelleFPAparam!$E$3))</f>
        <v>4381.7428349715783</v>
      </c>
      <c r="DX31" s="26">
        <f>(EchelleFPAparam!$S$3/($U31+G$53)*COS((AV31-EchelleFPAparam!$AE27)*EchelleFPAparam!$C$3/EchelleFPAparam!$E$3))*(SIN('Standard Settings'!$F26)+SIN('Standard Settings'!$F26+EchelleFPAparam!$M$3+EchelleFPAparam!$I$3*EchelleFPAparam!$B$6*COS(EchelleFPAparam!$AC$3)-(AV31-1024)*SIN(EchelleFPAparam!$AC$3)*EchelleFPAparam!$C$3/EchelleFPAparam!$E$3))</f>
        <v>4068.7915665478099</v>
      </c>
      <c r="DY31" s="26">
        <f>(EchelleFPAparam!$S$3/($U31+H$53)*COS((AW31-EchelleFPAparam!$AE27)*EchelleFPAparam!$C$3/EchelleFPAparam!$E$3))*(SIN('Standard Settings'!$F26)+SIN('Standard Settings'!$F26+EchelleFPAparam!$M$3+EchelleFPAparam!$I$3*EchelleFPAparam!$B$6*COS(EchelleFPAparam!$AC$3)-(AW31-1024)*SIN(EchelleFPAparam!$AC$3)*EchelleFPAparam!$C$3/EchelleFPAparam!$E$3))</f>
        <v>3797.5280457279114</v>
      </c>
      <c r="DZ31" s="26">
        <f>(EchelleFPAparam!$S$3/($U31+I$53)*COS((AX31-EchelleFPAparam!$AE27)*EchelleFPAparam!$C$3/EchelleFPAparam!$E$3))*(SIN('Standard Settings'!$F26)+SIN('Standard Settings'!$F26+EchelleFPAparam!$M$3+EchelleFPAparam!$I$3*EchelleFPAparam!$B$6*COS(EchelleFPAparam!$AC$3)-(AX31-1024)*SIN(EchelleFPAparam!$AC$3)*EchelleFPAparam!$C$3/EchelleFPAparam!$E$3))</f>
        <v>3560.1483425675392</v>
      </c>
      <c r="EA31" s="26">
        <f>(EchelleFPAparam!$S$3/($U31+J$53)*COS((AY31-EchelleFPAparam!$AE27)*EchelleFPAparam!$C$3/EchelleFPAparam!$E$3))*(SIN('Standard Settings'!$F26)+SIN('Standard Settings'!$F26+EchelleFPAparam!$M$3+EchelleFPAparam!$I$3*EchelleFPAparam!$B$6*COS(EchelleFPAparam!$AC$3)-(AY31-1024)*SIN(EchelleFPAparam!$AC$3)*EchelleFPAparam!$C$3/EchelleFPAparam!$E$3))</f>
        <v>3350.1457645807914</v>
      </c>
      <c r="EB31" s="26">
        <f>(EchelleFPAparam!$S$3/($U31+K$53)*COS((AZ31-EchelleFPAparam!$AE27)*EchelleFPAparam!$C$3/EchelleFPAparam!$E$3))*(SIN('Standard Settings'!$F26)+SIN('Standard Settings'!$F26+EchelleFPAparam!$M$3+EchelleFPAparam!$I$3*EchelleFPAparam!$B$6*COS(EchelleFPAparam!$AC$3)-(AZ31-1024)*SIN(EchelleFPAparam!$AC$3)*EchelleFPAparam!$C$3/EchelleFPAparam!$E$3))</f>
        <v>3164.0265554374137</v>
      </c>
      <c r="EC31" s="26">
        <f>(EchelleFPAparam!$S$3/($U31+B$53)*COS((BA31-EchelleFPAparam!$AE27)*EchelleFPAparam!$C$3/EchelleFPAparam!$E$3))*(SIN('Standard Settings'!$F26)+SIN('Standard Settings'!$F26+EchelleFPAparam!$M$3+EchelleFPAparam!$J$3*EchelleFPAparam!$B$6*COS(EchelleFPAparam!$AC$3)-(BA31-1024)*SIN(EchelleFPAparam!$AC$3)*EchelleFPAparam!$C$3/EchelleFPAparam!$E$3))</f>
        <v>6330.8436693369149</v>
      </c>
      <c r="ED31" s="26">
        <f>(EchelleFPAparam!$S$3/($U31+C$53)*COS((BB31-EchelleFPAparam!$AE27)*EchelleFPAparam!$C$3/EchelleFPAparam!$E$3))*(SIN('Standard Settings'!$F26)+SIN('Standard Settings'!$F26+EchelleFPAparam!$M$3+EchelleFPAparam!$J$3*EchelleFPAparam!$B$6*COS(EchelleFPAparam!$AC$3)-(BB31-1024)*SIN(EchelleFPAparam!$AC$3)*EchelleFPAparam!$C$3/EchelleFPAparam!$E$3))</f>
        <v>5698.025093725134</v>
      </c>
      <c r="EE31" s="26">
        <f>(EchelleFPAparam!$S$3/($U31+D$53)*COS((BC31-EchelleFPAparam!$AE27)*EchelleFPAparam!$C$3/EchelleFPAparam!$E$3))*(SIN('Standard Settings'!$F26)+SIN('Standard Settings'!$F26+EchelleFPAparam!$M$3+EchelleFPAparam!$J$3*EchelleFPAparam!$B$6*COS(EchelleFPAparam!$AC$3)-(BC31-1024)*SIN(EchelleFPAparam!$AC$3)*EchelleFPAparam!$C$3/EchelleFPAparam!$E$3))</f>
        <v>5180.3572743114573</v>
      </c>
      <c r="EF31" s="26">
        <f>(EchelleFPAparam!$S$3/($U31+E$53)*COS((BD31-EchelleFPAparam!$AE27)*EchelleFPAparam!$C$3/EchelleFPAparam!$E$3))*(SIN('Standard Settings'!$F26)+SIN('Standard Settings'!$F26+EchelleFPAparam!$M$3+EchelleFPAparam!$J$3*EchelleFPAparam!$B$6*COS(EchelleFPAparam!$AC$3)-(BD31-1024)*SIN(EchelleFPAparam!$AC$3)*EchelleFPAparam!$C$3/EchelleFPAparam!$E$3))</f>
        <v>4748.8804076109691</v>
      </c>
      <c r="EG31" s="26">
        <f>(EchelleFPAparam!$S$3/($U31+F$53)*COS((BE31-EchelleFPAparam!$AE27)*EchelleFPAparam!$C$3/EchelleFPAparam!$E$3))*(SIN('Standard Settings'!$F26)+SIN('Standard Settings'!$F26+EchelleFPAparam!$M$3+EchelleFPAparam!$J$3*EchelleFPAparam!$B$6*COS(EchelleFPAparam!$AC$3)-(BE31-1024)*SIN(EchelleFPAparam!$AC$3)*EchelleFPAparam!$C$3/EchelleFPAparam!$E$3))</f>
        <v>4383.6785114986642</v>
      </c>
      <c r="EH31" s="26">
        <f>(EchelleFPAparam!$S$3/($U31+G$53)*COS((BF31-EchelleFPAparam!$AE27)*EchelleFPAparam!$C$3/EchelleFPAparam!$E$3))*(SIN('Standard Settings'!$F26)+SIN('Standard Settings'!$F26+EchelleFPAparam!$M$3+EchelleFPAparam!$J$3*EchelleFPAparam!$B$6*COS(EchelleFPAparam!$AC$3)-(BF31-1024)*SIN(EchelleFPAparam!$AC$3)*EchelleFPAparam!$C$3/EchelleFPAparam!$E$3))</f>
        <v>4070.5844491712619</v>
      </c>
      <c r="EI31" s="26">
        <f>(EchelleFPAparam!$S$3/($U31+H$53)*COS((BG31-EchelleFPAparam!$AE27)*EchelleFPAparam!$C$3/EchelleFPAparam!$E$3))*(SIN('Standard Settings'!$F26)+SIN('Standard Settings'!$F26+EchelleFPAparam!$M$3+EchelleFPAparam!$J$3*EchelleFPAparam!$B$6*COS(EchelleFPAparam!$AC$3)-(BG31-1024)*SIN(EchelleFPAparam!$AC$3)*EchelleFPAparam!$C$3/EchelleFPAparam!$E$3))</f>
        <v>3799.197219856273</v>
      </c>
      <c r="EJ31" s="26">
        <f>(EchelleFPAparam!$S$3/($U31+I$53)*COS((BH31-EchelleFPAparam!$AE27)*EchelleFPAparam!$C$3/EchelleFPAparam!$E$3))*(SIN('Standard Settings'!$F26)+SIN('Standard Settings'!$F26+EchelleFPAparam!$M$3+EchelleFPAparam!$J$3*EchelleFPAparam!$B$6*COS(EchelleFPAparam!$AC$3)-(BH31-1024)*SIN(EchelleFPAparam!$AC$3)*EchelleFPAparam!$C$3/EchelleFPAparam!$E$3))</f>
        <v>3561.7122090816042</v>
      </c>
      <c r="EK31" s="26">
        <f>(EchelleFPAparam!$S$3/($U31+J$53)*COS((BI31-EchelleFPAparam!$AE27)*EchelleFPAparam!$C$3/EchelleFPAparam!$E$3))*(SIN('Standard Settings'!$F26)+SIN('Standard Settings'!$F26+EchelleFPAparam!$M$3+EchelleFPAparam!$J$3*EchelleFPAparam!$B$6*COS(EchelleFPAparam!$AC$3)-(BI31-1024)*SIN(EchelleFPAparam!$AC$3)*EchelleFPAparam!$C$3/EchelleFPAparam!$E$3))</f>
        <v>3351.62311906072</v>
      </c>
      <c r="EL31" s="26">
        <f>(EchelleFPAparam!$S$3/($U31+K$53)*COS((BJ31-EchelleFPAparam!$AE27)*EchelleFPAparam!$C$3/EchelleFPAparam!$E$3))*(SIN('Standard Settings'!$F26)+SIN('Standard Settings'!$F26+EchelleFPAparam!$M$3+EchelleFPAparam!$J$3*EchelleFPAparam!$B$6*COS(EchelleFPAparam!$AC$3)-(BJ31-1024)*SIN(EchelleFPAparam!$AC$3)*EchelleFPAparam!$C$3/EchelleFPAparam!$E$3))</f>
        <v>3165.4218346684574</v>
      </c>
      <c r="EM31" s="26">
        <f>(EchelleFPAparam!$S$3/($U31+B$53)*COS((BA31-EchelleFPAparam!$AE27)*EchelleFPAparam!$C$3/EchelleFPAparam!$E$3))*(SIN('Standard Settings'!$F26)+SIN('Standard Settings'!$F26+EchelleFPAparam!$M$3+EchelleFPAparam!$K$3*EchelleFPAparam!$B$6*COS(EchelleFPAparam!$AC$3)-(BA31-1024)*SIN(EchelleFPAparam!$AC$3)*EchelleFPAparam!$C$3/EchelleFPAparam!$E$3))</f>
        <v>6368.3499831655308</v>
      </c>
      <c r="EN31" s="26">
        <f>(EchelleFPAparam!$S$3/($U31+C$53)*COS((BB31-EchelleFPAparam!$AE27)*EchelleFPAparam!$C$3/EchelleFPAparam!$E$3))*(SIN('Standard Settings'!$F26)+SIN('Standard Settings'!$F26+EchelleFPAparam!$M$3+EchelleFPAparam!$K$3*EchelleFPAparam!$B$6*COS(EchelleFPAparam!$AC$3)-(BB31-1024)*SIN(EchelleFPAparam!$AC$3)*EchelleFPAparam!$C$3/EchelleFPAparam!$E$3))</f>
        <v>5731.7775025513793</v>
      </c>
      <c r="EO31" s="26">
        <f>(EchelleFPAparam!$S$3/($U31+D$53)*COS((BC31-EchelleFPAparam!$AE27)*EchelleFPAparam!$C$3/EchelleFPAparam!$E$3))*(SIN('Standard Settings'!$F26)+SIN('Standard Settings'!$F26+EchelleFPAparam!$M$3+EchelleFPAparam!$K$3*EchelleFPAparam!$B$6*COS(EchelleFPAparam!$AC$3)-(BC31-1024)*SIN(EchelleFPAparam!$AC$3)*EchelleFPAparam!$C$3/EchelleFPAparam!$E$3))</f>
        <v>5211.0356719881538</v>
      </c>
      <c r="EP31" s="26">
        <f>(EchelleFPAparam!$S$3/($U31+E$53)*COS((BD31-EchelleFPAparam!$AE27)*EchelleFPAparam!$C$3/EchelleFPAparam!$E$3))*(SIN('Standard Settings'!$F26)+SIN('Standard Settings'!$F26+EchelleFPAparam!$M$3+EchelleFPAparam!$K$3*EchelleFPAparam!$B$6*COS(EchelleFPAparam!$AC$3)-(BD31-1024)*SIN(EchelleFPAparam!$AC$3)*EchelleFPAparam!$C$3/EchelleFPAparam!$E$3))</f>
        <v>4776.9962804256566</v>
      </c>
      <c r="EQ31" s="26">
        <f>(EchelleFPAparam!$S$3/($U31+F$53)*COS((BE31-EchelleFPAparam!$AE27)*EchelleFPAparam!$C$3/EchelleFPAparam!$E$3))*(SIN('Standard Settings'!$F26)+SIN('Standard Settings'!$F26+EchelleFPAparam!$M$3+EchelleFPAparam!$K$3*EchelleFPAparam!$B$6*COS(EchelleFPAparam!$AC$3)-(BE31-1024)*SIN(EchelleFPAparam!$AC$3)*EchelleFPAparam!$C$3/EchelleFPAparam!$E$3))</f>
        <v>4409.6264890687498</v>
      </c>
      <c r="ER31" s="26">
        <f>(EchelleFPAparam!$S$3/($U31+G$53)*COS((BF31-EchelleFPAparam!$AE27)*EchelleFPAparam!$C$3/EchelleFPAparam!$E$3))*(SIN('Standard Settings'!$F26)+SIN('Standard Settings'!$F26+EchelleFPAparam!$M$3+EchelleFPAparam!$K$3*EchelleFPAparam!$B$6*COS(EchelleFPAparam!$AC$3)-(BF31-1024)*SIN(EchelleFPAparam!$AC$3)*EchelleFPAparam!$C$3/EchelleFPAparam!$E$3))</f>
        <v>4094.6745997589169</v>
      </c>
      <c r="ES31" s="26">
        <f>(EchelleFPAparam!$S$3/($U31+H$53)*COS((BG31-EchelleFPAparam!$AE27)*EchelleFPAparam!$C$3/EchelleFPAparam!$E$3))*(SIN('Standard Settings'!$F26)+SIN('Standard Settings'!$F26+EchelleFPAparam!$M$3+EchelleFPAparam!$K$3*EchelleFPAparam!$B$6*COS(EchelleFPAparam!$AC$3)-(BG31-1024)*SIN(EchelleFPAparam!$AC$3)*EchelleFPAparam!$C$3/EchelleFPAparam!$E$3))</f>
        <v>3821.6775792711051</v>
      </c>
      <c r="ET31" s="26">
        <f>(EchelleFPAparam!$S$3/($U31+I$53)*COS((BH31-EchelleFPAparam!$AE27)*EchelleFPAparam!$C$3/EchelleFPAparam!$E$3))*(SIN('Standard Settings'!$F26)+SIN('Standard Settings'!$F26+EchelleFPAparam!$M$3+EchelleFPAparam!$K$3*EchelleFPAparam!$B$6*COS(EchelleFPAparam!$AC$3)-(BH31-1024)*SIN(EchelleFPAparam!$AC$3)*EchelleFPAparam!$C$3/EchelleFPAparam!$E$3))</f>
        <v>3582.7844766163962</v>
      </c>
      <c r="EU31" s="26">
        <f>(EchelleFPAparam!$S$3/($U31+J$53)*COS((BI31-EchelleFPAparam!$AE27)*EchelleFPAparam!$C$3/EchelleFPAparam!$E$3))*(SIN('Standard Settings'!$F26)+SIN('Standard Settings'!$F26+EchelleFPAparam!$M$3+EchelleFPAparam!$K$3*EchelleFPAparam!$B$6*COS(EchelleFPAparam!$AC$3)-(BI31-1024)*SIN(EchelleFPAparam!$AC$3)*EchelleFPAparam!$C$3/EchelleFPAparam!$E$3))</f>
        <v>3371.4794028523402</v>
      </c>
      <c r="EV31" s="26">
        <f>(EchelleFPAparam!$S$3/($U31+K$53)*COS((BJ31-EchelleFPAparam!$AE27)*EchelleFPAparam!$C$3/EchelleFPAparam!$E$3))*(SIN('Standard Settings'!$F26)+SIN('Standard Settings'!$F26+EchelleFPAparam!$M$3+EchelleFPAparam!$K$3*EchelleFPAparam!$B$6*COS(EchelleFPAparam!$AC$3)-(BJ31-1024)*SIN(EchelleFPAparam!$AC$3)*EchelleFPAparam!$C$3/EchelleFPAparam!$E$3))</f>
        <v>3184.1749915827654</v>
      </c>
      <c r="EW31" s="60">
        <f t="shared" si="40"/>
        <v>3512.9857450235554</v>
      </c>
      <c r="EX31" s="60">
        <f t="shared" si="41"/>
        <v>5731.7775025513793</v>
      </c>
      <c r="EY31" s="90">
        <v>0.39</v>
      </c>
      <c r="EZ31" s="90">
        <v>0.36</v>
      </c>
      <c r="FA31" s="50">
        <v>30000</v>
      </c>
      <c r="FB31" s="95">
        <v>1000</v>
      </c>
      <c r="FC31" s="95">
        <v>1000</v>
      </c>
      <c r="FD31" s="50">
        <v>3900</v>
      </c>
      <c r="FE31" s="50">
        <v>3900</v>
      </c>
      <c r="FF31" s="50">
        <v>5000</v>
      </c>
      <c r="FG31" s="95">
        <v>1000</v>
      </c>
      <c r="FH31" s="95">
        <f t="shared" si="27"/>
        <v>250</v>
      </c>
      <c r="FI31" s="95">
        <f t="shared" si="28"/>
        <v>250</v>
      </c>
      <c r="FJ31" s="50">
        <f t="shared" si="29"/>
        <v>975</v>
      </c>
      <c r="FK31" s="50">
        <f t="shared" si="30"/>
        <v>975</v>
      </c>
      <c r="FL31" s="50">
        <f t="shared" si="31"/>
        <v>1250</v>
      </c>
      <c r="FM31" s="95">
        <f t="shared" si="32"/>
        <v>250</v>
      </c>
      <c r="FN31" s="50">
        <v>500</v>
      </c>
      <c r="FO31" s="91">
        <f>1/(F31*EchelleFPAparam!$Q$3)</f>
        <v>-2863.5777047879992</v>
      </c>
      <c r="FP31" s="91">
        <f t="shared" si="22"/>
        <v>-38.253016144441411</v>
      </c>
      <c r="FQ31" s="50">
        <v>-999999</v>
      </c>
      <c r="FR31" s="50">
        <v>-999999</v>
      </c>
      <c r="FS31" s="90">
        <v>2</v>
      </c>
      <c r="FT31" s="90">
        <v>420.20699999999999</v>
      </c>
      <c r="FU31" s="90">
        <v>1196.3879999999999</v>
      </c>
      <c r="FV31" s="50">
        <v>-999999</v>
      </c>
      <c r="FW31" s="50">
        <v>-999999</v>
      </c>
      <c r="FX31" s="50">
        <v>-999999</v>
      </c>
      <c r="FY31" s="90">
        <v>2</v>
      </c>
      <c r="FZ31" s="90">
        <v>1662.941</v>
      </c>
      <c r="GA31" s="90">
        <v>1207.1880000000001</v>
      </c>
      <c r="GB31" s="50">
        <v>-999999</v>
      </c>
      <c r="GC31" s="50">
        <v>-999999</v>
      </c>
      <c r="GD31" s="50">
        <v>-999999</v>
      </c>
      <c r="GE31" s="90">
        <v>3</v>
      </c>
      <c r="GF31" s="90">
        <v>1565.7370000000001</v>
      </c>
      <c r="GG31" s="90">
        <v>1522.8520000000001</v>
      </c>
      <c r="GH31" s="50">
        <v>-999999</v>
      </c>
      <c r="GI31" s="50">
        <v>-999999</v>
      </c>
      <c r="GJ31" s="50">
        <v>-999999</v>
      </c>
      <c r="GK31" s="50">
        <v>-999999</v>
      </c>
      <c r="GL31" s="50">
        <v>-999999</v>
      </c>
      <c r="GM31" s="50">
        <v>-999999</v>
      </c>
      <c r="GN31" s="50">
        <v>-999999</v>
      </c>
      <c r="GO31" s="50">
        <v>-999999</v>
      </c>
      <c r="GP31" s="50">
        <v>-999999</v>
      </c>
      <c r="GQ31" s="50">
        <v>-999999</v>
      </c>
      <c r="GR31" s="50">
        <v>-999999</v>
      </c>
      <c r="GS31" s="50">
        <v>-999999</v>
      </c>
      <c r="GT31" s="50">
        <v>-999999</v>
      </c>
      <c r="GU31" s="50">
        <v>-999999</v>
      </c>
      <c r="GV31" s="50">
        <v>-999999</v>
      </c>
      <c r="GW31" s="50">
        <v>-999999</v>
      </c>
      <c r="GX31" s="50">
        <v>-999999</v>
      </c>
      <c r="GY31" s="50">
        <v>-999999</v>
      </c>
      <c r="GZ31" s="50">
        <v>-999999</v>
      </c>
      <c r="HA31" s="50">
        <v>-999999</v>
      </c>
      <c r="HB31" s="50">
        <v>-999999</v>
      </c>
      <c r="HC31" s="50">
        <v>-999999</v>
      </c>
      <c r="HD31" s="50">
        <v>-999999</v>
      </c>
      <c r="HE31" s="50">
        <v>-999999</v>
      </c>
      <c r="HF31" s="50">
        <v>-999999</v>
      </c>
      <c r="HG31" s="50">
        <v>-999999</v>
      </c>
      <c r="HH31" s="50">
        <v>-999999</v>
      </c>
      <c r="HI31" s="50">
        <v>-999999</v>
      </c>
      <c r="HJ31" s="50">
        <v>-999999</v>
      </c>
      <c r="HK31" s="50">
        <v>-999999</v>
      </c>
      <c r="HL31" s="50">
        <v>-999999</v>
      </c>
      <c r="HM31" s="50">
        <v>-999999</v>
      </c>
      <c r="HN31" s="50">
        <v>-999999</v>
      </c>
      <c r="HO31" s="50">
        <v>-999999</v>
      </c>
      <c r="HP31" s="50">
        <v>-999999</v>
      </c>
      <c r="HQ31" s="50">
        <v>-999999</v>
      </c>
      <c r="HR31" s="50">
        <v>-999999</v>
      </c>
      <c r="HS31" s="50">
        <v>-999999</v>
      </c>
      <c r="HT31" s="50">
        <v>-999999</v>
      </c>
      <c r="HU31" s="50">
        <v>-999999</v>
      </c>
      <c r="HV31" s="50">
        <v>-999999</v>
      </c>
      <c r="HW31" s="50">
        <v>-999999</v>
      </c>
      <c r="HX31" s="50">
        <v>-999999</v>
      </c>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2">
        <f t="shared" si="23"/>
        <v>2744.5385285174621</v>
      </c>
      <c r="JX31" s="27">
        <f t="shared" si="24"/>
        <v>326997.19967914437</v>
      </c>
      <c r="JY31" s="107">
        <f>JW31*EchelleFPAparam!$Q$3</f>
        <v>-2.6141729484128823E-2</v>
      </c>
      <c r="KA31" s="19"/>
      <c r="KB31" s="19"/>
      <c r="KC31" s="19"/>
      <c r="KD31" s="19"/>
      <c r="KE31" s="19"/>
      <c r="KF31" s="19"/>
      <c r="KG31" s="19"/>
      <c r="KH31" s="19"/>
      <c r="KI31" s="19"/>
      <c r="KJ31" s="19"/>
      <c r="KK31" s="19"/>
      <c r="KL31" s="19"/>
      <c r="KM31" s="19"/>
      <c r="KW31" s="19"/>
      <c r="KX31" s="19"/>
      <c r="KY31" s="19"/>
      <c r="KZ31" s="19"/>
      <c r="LA31" s="19"/>
      <c r="LB31" s="19"/>
      <c r="LC31" s="19"/>
      <c r="LD31" s="19"/>
      <c r="LE31" s="19"/>
      <c r="LF31" s="19"/>
    </row>
    <row r="32" spans="1:318" x14ac:dyDescent="0.2">
      <c r="A32" s="53">
        <f t="shared" si="35"/>
        <v>26</v>
      </c>
      <c r="B32" s="96">
        <f t="shared" si="0"/>
        <v>4318.1137017189667</v>
      </c>
      <c r="C32" s="27" t="str">
        <f>'Standard Settings'!B27</f>
        <v>M/6/9</v>
      </c>
      <c r="D32" s="27">
        <f>'Standard Settings'!H27</f>
        <v>13</v>
      </c>
      <c r="E32" s="19">
        <f t="shared" si="1"/>
        <v>1.3957191794710333E-2</v>
      </c>
      <c r="F32" s="18">
        <f>((EchelleFPAparam!$S$3/('crmcfgWLEN.txt'!$U32+F$53))*(SIN('Standard Settings'!$F27+0.0005)+SIN('Standard Settings'!$F27+0.0005+EchelleFPAparam!$M$3))-(EchelleFPAparam!$S$3/('crmcfgWLEN.txt'!$U32+F$53))*(SIN('Standard Settings'!$F27-0.0005)+SIN('Standard Settings'!$F27-0.0005+EchelleFPAparam!$M$3)))*1000*EchelleFPAparam!$O$3/180</f>
        <v>38.427133058432979</v>
      </c>
      <c r="G32" s="20" t="str">
        <f>'Standard Settings'!C27</f>
        <v>M</v>
      </c>
      <c r="H32" s="46"/>
      <c r="I32" s="59" t="s">
        <v>361</v>
      </c>
      <c r="J32" s="57"/>
      <c r="K32" s="27" t="str">
        <f>'Standard Settings'!$D27</f>
        <v>LM</v>
      </c>
      <c r="L32" s="46"/>
      <c r="M32" s="12">
        <v>2.5</v>
      </c>
      <c r="N32" s="12">
        <v>2.5</v>
      </c>
      <c r="O32" s="47" t="s">
        <v>384</v>
      </c>
      <c r="P32" s="47" t="s">
        <v>384</v>
      </c>
      <c r="Q32" s="27">
        <f>'Standard Settings'!$E27</f>
        <v>64.587450000000004</v>
      </c>
      <c r="R32" s="106">
        <f>'Standard Settings'!$J27</f>
        <v>610000</v>
      </c>
      <c r="S32" s="21">
        <f>'Standard Settings'!$G27</f>
        <v>10</v>
      </c>
      <c r="T32" s="21">
        <f>'Standard Settings'!$I27</f>
        <v>16</v>
      </c>
      <c r="U32" s="22">
        <f t="shared" si="25"/>
        <v>9</v>
      </c>
      <c r="V32" s="22">
        <f t="shared" si="26"/>
        <v>18</v>
      </c>
      <c r="W32" s="23">
        <f>IF(AND($U32-$S32+B$53&gt;=0,$U32-$T32+B$53&lt;=0),(EchelleFPAparam!$S$3/('crmcfgWLEN.txt'!$U32+B$53))*(SIN('Standard Settings'!$F27)+SIN('Standard Settings'!$F27+EchelleFPAparam!$M$3)),-1)</f>
        <v>-1</v>
      </c>
      <c r="X32" s="23">
        <f>IF(AND($U32-$S32+C$53&gt;=0,$U32-$T32+C$53&lt;=0),(EchelleFPAparam!$S$3/('crmcfgWLEN.txt'!$U32+C$53))*(SIN('Standard Settings'!$F27)+SIN('Standard Settings'!$F27+EchelleFPAparam!$M$3)),-1)</f>
        <v>5613.5478122346576</v>
      </c>
      <c r="Y32" s="23">
        <f>IF(AND($U32-$S32+D$53&gt;=0,$U32-$T32+D$53&lt;=0),(EchelleFPAparam!$S$3/('crmcfgWLEN.txt'!$U32+D$53))*(SIN('Standard Settings'!$F27)+SIN('Standard Settings'!$F27+EchelleFPAparam!$M$3)),-1)</f>
        <v>5103.2252838496888</v>
      </c>
      <c r="Z32" s="23">
        <f>IF(AND($U32-$S32+E$53&gt;=0,$U32-$T32+E$53&lt;=0),(EchelleFPAparam!$S$3/('crmcfgWLEN.txt'!$U32+E$53))*(SIN('Standard Settings'!$F27)+SIN('Standard Settings'!$F27+EchelleFPAparam!$M$3)),-1)</f>
        <v>4677.9565101955477</v>
      </c>
      <c r="AA32" s="23">
        <f>IF(AND($U32-$S32+F$53&gt;=0,$U32-$T32+F$53&lt;=0),(EchelleFPAparam!$S$3/('crmcfgWLEN.txt'!$U32+F$53))*(SIN('Standard Settings'!$F27)+SIN('Standard Settings'!$F27+EchelleFPAparam!$M$3)),-1)</f>
        <v>4318.1137017189667</v>
      </c>
      <c r="AB32" s="23">
        <f>IF(AND($U32-$S32+G$53&gt;=0,$U32-$T32+G$53&lt;=0),(EchelleFPAparam!$S$3/('crmcfgWLEN.txt'!$U32+G$53))*(SIN('Standard Settings'!$F27)+SIN('Standard Settings'!$F27+EchelleFPAparam!$M$3)),-1)</f>
        <v>4009.6770087390405</v>
      </c>
      <c r="AC32" s="23">
        <f>IF(AND($U32-$S32+H$53&gt;=0,$U32-$T32+H$53&lt;=0),(EchelleFPAparam!$S$3/('crmcfgWLEN.txt'!$U32+H$53))*(SIN('Standard Settings'!$F27)+SIN('Standard Settings'!$F27+EchelleFPAparam!$M$3)),-1)</f>
        <v>3742.3652081564378</v>
      </c>
      <c r="AD32" s="23">
        <f>IF(AND($U32-$S32+I$53&gt;=0,$U32-$T32+I$53&lt;=0),(EchelleFPAparam!$S$3/('crmcfgWLEN.txt'!$U32+I$53))*(SIN('Standard Settings'!$F27)+SIN('Standard Settings'!$F27+EchelleFPAparam!$M$3)),-1)</f>
        <v>3508.4673826466606</v>
      </c>
      <c r="AE32" s="23">
        <f>IF(AND($U32-$S32+J$53&gt;=0,$U32-$T32+J$53&lt;=0),(EchelleFPAparam!$S$3/('crmcfgWLEN.txt'!$U32+J$53))*(SIN('Standard Settings'!$F27)+SIN('Standard Settings'!$F27+EchelleFPAparam!$M$3)),-1)</f>
        <v>-1</v>
      </c>
      <c r="AF32" s="23">
        <f>IF(AND($U32-$S32+K$53&gt;=0,$U32-$T32+K$53&lt;=0),(EchelleFPAparam!$S$3/('crmcfgWLEN.txt'!$U32+K$53))*(SIN('Standard Settings'!$F27)+SIN('Standard Settings'!$F27+EchelleFPAparam!$M$3)),-1)</f>
        <v>-1</v>
      </c>
      <c r="AG32" s="159">
        <v>-100.1</v>
      </c>
      <c r="AH32" s="157">
        <v>127.200689078857</v>
      </c>
      <c r="AI32" s="157">
        <v>513.74127627158305</v>
      </c>
      <c r="AJ32" s="157">
        <v>896.28259991008895</v>
      </c>
      <c r="AK32" s="157">
        <v>1216.24594627533</v>
      </c>
      <c r="AL32" s="157">
        <v>1499.3658108161301</v>
      </c>
      <c r="AM32" s="157">
        <v>1745.51471727595</v>
      </c>
      <c r="AN32" s="157">
        <v>1958.69363973536</v>
      </c>
      <c r="AO32" s="159">
        <v>-100.1</v>
      </c>
      <c r="AP32" s="159">
        <v>-100.1</v>
      </c>
      <c r="AQ32" s="160">
        <v>-100.1</v>
      </c>
      <c r="AR32" s="157">
        <v>127.326047269409</v>
      </c>
      <c r="AS32" s="157">
        <v>534.04506028052697</v>
      </c>
      <c r="AT32" s="157">
        <v>918.27991999015796</v>
      </c>
      <c r="AU32" s="157">
        <v>1246.45762434005</v>
      </c>
      <c r="AV32" s="157">
        <v>1526.1395745063101</v>
      </c>
      <c r="AW32" s="157">
        <v>1773.7424349296</v>
      </c>
      <c r="AX32" s="157">
        <v>1975.4893352356901</v>
      </c>
      <c r="AY32" s="160">
        <v>-100.1</v>
      </c>
      <c r="AZ32" s="160">
        <v>-100.1</v>
      </c>
      <c r="BA32" s="161">
        <v>-100.1</v>
      </c>
      <c r="BB32" s="157">
        <v>141.63963570146299</v>
      </c>
      <c r="BC32" s="157">
        <v>553.70334855176804</v>
      </c>
      <c r="BD32" s="157">
        <v>940.47809118378302</v>
      </c>
      <c r="BE32" s="157">
        <v>1270.06792956407</v>
      </c>
      <c r="BF32" s="157">
        <v>1553.1922544276199</v>
      </c>
      <c r="BG32" s="157">
        <v>1802.4319958670901</v>
      </c>
      <c r="BH32" s="157">
        <v>1984.1737776253599</v>
      </c>
      <c r="BI32" s="161">
        <v>-100.1</v>
      </c>
      <c r="BJ32" s="161">
        <v>-100.1</v>
      </c>
      <c r="BK32" s="24">
        <f>EchelleFPAparam!$S$3/('crmcfgWLEN.txt'!$U32+B$53)*(SIN(EchelleFPAparam!$T$3-EchelleFPAparam!$M$3/2)+SIN('Standard Settings'!$F27+EchelleFPAparam!$M$3))</f>
        <v>6257.3397653629645</v>
      </c>
      <c r="BL32" s="24">
        <f>EchelleFPAparam!$S$3/('crmcfgWLEN.txt'!$U32+C$53)*(SIN(EchelleFPAparam!$T$3-EchelleFPAparam!$M$3/2)+SIN('Standard Settings'!$F27+EchelleFPAparam!$M$3))</f>
        <v>5631.6057888266678</v>
      </c>
      <c r="BM32" s="24">
        <f>EchelleFPAparam!$S$3/('crmcfgWLEN.txt'!$U32+D$53)*(SIN(EchelleFPAparam!$T$3-EchelleFPAparam!$M$3/2)+SIN('Standard Settings'!$F27+EchelleFPAparam!$M$3))</f>
        <v>5119.641626206062</v>
      </c>
      <c r="BN32" s="24">
        <f>EchelleFPAparam!$S$3/('crmcfgWLEN.txt'!$U32+E$53)*(SIN(EchelleFPAparam!$T$3-EchelleFPAparam!$M$3/2)+SIN('Standard Settings'!$F27+EchelleFPAparam!$M$3))</f>
        <v>4693.0048240222231</v>
      </c>
      <c r="BO32" s="24">
        <f>EchelleFPAparam!$S$3/('crmcfgWLEN.txt'!$U32+F$53)*(SIN(EchelleFPAparam!$T$3-EchelleFPAparam!$M$3/2)+SIN('Standard Settings'!$F27+EchelleFPAparam!$M$3))</f>
        <v>4332.0044529435909</v>
      </c>
      <c r="BP32" s="24">
        <f>EchelleFPAparam!$S$3/('crmcfgWLEN.txt'!$U32+G$53)*(SIN(EchelleFPAparam!$T$3-EchelleFPAparam!$M$3/2)+SIN('Standard Settings'!$F27+EchelleFPAparam!$M$3))</f>
        <v>4022.57556344762</v>
      </c>
      <c r="BQ32" s="24">
        <f>EchelleFPAparam!$S$3/('crmcfgWLEN.txt'!$U32+H$53)*(SIN(EchelleFPAparam!$T$3-EchelleFPAparam!$M$3/2)+SIN('Standard Settings'!$F27+EchelleFPAparam!$M$3))</f>
        <v>3754.4038592177781</v>
      </c>
      <c r="BR32" s="24">
        <f>EchelleFPAparam!$S$3/('crmcfgWLEN.txt'!$U32+I$53)*(SIN(EchelleFPAparam!$T$3-EchelleFPAparam!$M$3/2)+SIN('Standard Settings'!$F27+EchelleFPAparam!$M$3))</f>
        <v>3519.7536180166676</v>
      </c>
      <c r="BS32" s="24">
        <f>EchelleFPAparam!$S$3/('crmcfgWLEN.txt'!$U32+J$53)*(SIN(EchelleFPAparam!$T$3-EchelleFPAparam!$M$3/2)+SIN('Standard Settings'!$F27+EchelleFPAparam!$M$3))</f>
        <v>3312.709287545099</v>
      </c>
      <c r="BT32" s="24">
        <f>EchelleFPAparam!$S$3/('crmcfgWLEN.txt'!$U32+K$53)*(SIN(EchelleFPAparam!$T$3-EchelleFPAparam!$M$3/2)+SIN('Standard Settings'!$F27+EchelleFPAparam!$M$3))</f>
        <v>3128.6698826814822</v>
      </c>
      <c r="BU32" s="25">
        <f t="shared" si="33"/>
        <v>6025.5864407198915</v>
      </c>
      <c r="BV32" s="25">
        <f t="shared" si="2"/>
        <v>5437.4124857636798</v>
      </c>
      <c r="BW32" s="25">
        <f t="shared" si="3"/>
        <v>4954.4918963284472</v>
      </c>
      <c r="BX32" s="25">
        <f t="shared" si="4"/>
        <v>4550.7925566276108</v>
      </c>
      <c r="BY32" s="25">
        <f t="shared" si="5"/>
        <v>4208.2328971452025</v>
      </c>
      <c r="BZ32" s="25">
        <f t="shared" si="6"/>
        <v>3913.857304976063</v>
      </c>
      <c r="CA32" s="25">
        <f t="shared" si="7"/>
        <v>3658.1370935968093</v>
      </c>
      <c r="CB32" s="25">
        <f t="shared" si="8"/>
        <v>3433.9059687967488</v>
      </c>
      <c r="CC32" s="25">
        <f t="shared" si="9"/>
        <v>3235.6695366719568</v>
      </c>
      <c r="CD32" s="25">
        <f t="shared" si="10"/>
        <v>3059.1438852885603</v>
      </c>
      <c r="CE32" s="25">
        <f t="shared" si="34"/>
        <v>6507.633355977483</v>
      </c>
      <c r="CF32" s="25">
        <f t="shared" si="11"/>
        <v>5840.183781005433</v>
      </c>
      <c r="CG32" s="25">
        <f t="shared" si="12"/>
        <v>5296.1809926269607</v>
      </c>
      <c r="CH32" s="25">
        <f t="shared" si="13"/>
        <v>4844.3920764100367</v>
      </c>
      <c r="CI32" s="25">
        <f t="shared" si="14"/>
        <v>4463.2773151540023</v>
      </c>
      <c r="CJ32" s="25">
        <f t="shared" si="15"/>
        <v>4137.506293831837</v>
      </c>
      <c r="CK32" s="25">
        <f t="shared" si="16"/>
        <v>3855.8742337912313</v>
      </c>
      <c r="CL32" s="25">
        <f t="shared" si="17"/>
        <v>3610.0037107863254</v>
      </c>
      <c r="CM32" s="25">
        <f t="shared" si="18"/>
        <v>3393.5070750461991</v>
      </c>
      <c r="CN32" s="25">
        <f t="shared" si="19"/>
        <v>3201.4296473950053</v>
      </c>
      <c r="CO32" s="26">
        <f>(EchelleFPAparam!$S$3/($U32+B$53)*COS((AG32-EchelleFPAparam!$AE28)*EchelleFPAparam!$C$3/EchelleFPAparam!$E$3))*(SIN('Standard Settings'!$F27)+SIN('Standard Settings'!$F27+EchelleFPAparam!$M$3+(EchelleFPAparam!$F$3*EchelleFPAparam!$B$6)*COS(EchelleFPAparam!$AC$3)-(AG32-1024)*SIN(EchelleFPAparam!$AC$3)*EchelleFPAparam!$C$3/EchelleFPAparam!$E$3))</f>
        <v>6169.0191163017626</v>
      </c>
      <c r="CP32" s="26">
        <f>(EchelleFPAparam!$S$3/($U32+C$53)*COS((AH32-EchelleFPAparam!$AE28)*EchelleFPAparam!$C$3/EchelleFPAparam!$E$3))*(SIN('Standard Settings'!$F27)+SIN('Standard Settings'!$F27+EchelleFPAparam!$M$3+(EchelleFPAparam!$F$3*EchelleFPAparam!$B$6)*COS(EchelleFPAparam!$AC$3)-(AH32-1024)*SIN(EchelleFPAparam!$AC$3)*EchelleFPAparam!$C$3/EchelleFPAparam!$E$3))</f>
        <v>5552.4025005843087</v>
      </c>
      <c r="CQ32" s="26">
        <f>(EchelleFPAparam!$S$3/($U32+D$53)*COS((AI32-EchelleFPAparam!$AE28)*EchelleFPAparam!$C$3/EchelleFPAparam!$E$3))*(SIN('Standard Settings'!$F27)+SIN('Standard Settings'!$F27+EchelleFPAparam!$M$3+(EchelleFPAparam!$F$3*EchelleFPAparam!$B$6)*COS(EchelleFPAparam!$AC$3)-(AI32-1024)*SIN(EchelleFPAparam!$AC$3)*EchelleFPAparam!$C$3/EchelleFPAparam!$E$3))</f>
        <v>5047.994814469278</v>
      </c>
      <c r="CR32" s="26">
        <f>(EchelleFPAparam!$S$3/($U32+E$53)*COS((AJ32-EchelleFPAparam!$AE28)*EchelleFPAparam!$C$3/EchelleFPAparam!$E$3))*(SIN('Standard Settings'!$F27)+SIN('Standard Settings'!$F27+EchelleFPAparam!$M$3+(EchelleFPAparam!$F$3*EchelleFPAparam!$B$6)*COS(EchelleFPAparam!$AC$3)-(AJ32-1024)*SIN(EchelleFPAparam!$AC$3)*EchelleFPAparam!$C$3/EchelleFPAparam!$E$3))</f>
        <v>4627.5552094062996</v>
      </c>
      <c r="CS32" s="26">
        <f>(EchelleFPAparam!$S$3/($U32+F$53)*COS((AK32-EchelleFPAparam!$AE28)*EchelleFPAparam!$C$3/EchelleFPAparam!$E$3))*(SIN('Standard Settings'!$F27)+SIN('Standard Settings'!$F27+EchelleFPAparam!$M$3+(EchelleFPAparam!$F$3*EchelleFPAparam!$B$6)*COS(EchelleFPAparam!$AC$3)-(AK32-1024)*SIN(EchelleFPAparam!$AC$3)*EchelleFPAparam!$C$3/EchelleFPAparam!$E$3))</f>
        <v>4271.6963442788228</v>
      </c>
      <c r="CT32" s="26">
        <f>(EchelleFPAparam!$S$3/($U32+G$53)*COS((AL32-EchelleFPAparam!$AE28)*EchelleFPAparam!$C$3/EchelleFPAparam!$E$3))*(SIN('Standard Settings'!$F27)+SIN('Standard Settings'!$F27+EchelleFPAparam!$M$3+(EchelleFPAparam!$F$3*EchelleFPAparam!$B$6)*COS(EchelleFPAparam!$AC$3)-(AL32-1024)*SIN(EchelleFPAparam!$AC$3)*EchelleFPAparam!$C$3/EchelleFPAparam!$E$3))</f>
        <v>3966.6150201704804</v>
      </c>
      <c r="CU32" s="26">
        <f>(EchelleFPAparam!$S$3/($U32+H$53)*COS((AM32-EchelleFPAparam!$AE28)*EchelleFPAparam!$C$3/EchelleFPAparam!$E$3))*(SIN('Standard Settings'!$F27)+SIN('Standard Settings'!$F27+EchelleFPAparam!$M$3+(EchelleFPAparam!$F$3*EchelleFPAparam!$B$6)*COS(EchelleFPAparam!$AC$3)-(AM32-1024)*SIN(EchelleFPAparam!$AC$3)*EchelleFPAparam!$C$3/EchelleFPAparam!$E$3))</f>
        <v>3702.1721601205913</v>
      </c>
      <c r="CV32" s="26">
        <f>(EchelleFPAparam!$S$3/($U32+I$53)*COS((AN32-EchelleFPAparam!$AE28)*EchelleFPAparam!$C$3/EchelleFPAparam!$E$3))*(SIN('Standard Settings'!$F27)+SIN('Standard Settings'!$F27+EchelleFPAparam!$M$3+(EchelleFPAparam!$F$3*EchelleFPAparam!$B$6)*COS(EchelleFPAparam!$AC$3)-(AN32-1024)*SIN(EchelleFPAparam!$AC$3)*EchelleFPAparam!$C$3/EchelleFPAparam!$E$3))</f>
        <v>3470.7607986813273</v>
      </c>
      <c r="CW32" s="26">
        <f>(EchelleFPAparam!$S$3/($U32+J$53)*COS((AO32-EchelleFPAparam!$AE28)*EchelleFPAparam!$C$3/EchelleFPAparam!$E$3))*(SIN('Standard Settings'!$F27)+SIN('Standard Settings'!$F27+EchelleFPAparam!$M$3+(EchelleFPAparam!$F$3*EchelleFPAparam!$B$6)*COS(EchelleFPAparam!$AC$3)-(AO32-1024)*SIN(EchelleFPAparam!$AC$3)*EchelleFPAparam!$C$3/EchelleFPAparam!$E$3))</f>
        <v>3265.9512968656391</v>
      </c>
      <c r="CX32" s="26">
        <f>(EchelleFPAparam!$S$3/($U32+K$53)*COS((AP32-EchelleFPAparam!$AE28)*EchelleFPAparam!$C$3/EchelleFPAparam!$E$3))*(SIN('Standard Settings'!$F27)+SIN('Standard Settings'!$F27+EchelleFPAparam!$M$3+(EchelleFPAparam!$F$3*EchelleFPAparam!$B$6)*COS(EchelleFPAparam!$AC$3)-(AP32-1024)*SIN(EchelleFPAparam!$AC$3)*EchelleFPAparam!$C$3/EchelleFPAparam!$E$3))</f>
        <v>3084.5095581508813</v>
      </c>
      <c r="CY32" s="26">
        <f>(EchelleFPAparam!$S$3/($U32+B$53)*COS((AG32-EchelleFPAparam!$AE28)*EchelleFPAparam!$C$3/EchelleFPAparam!$E$3))*(SIN('Standard Settings'!$F27)+SIN('Standard Settings'!$F27+EchelleFPAparam!$M$3+EchelleFPAparam!$G$3*EchelleFPAparam!$B$6*COS(EchelleFPAparam!$AC$3)-(AG32-1024)*SIN(EchelleFPAparam!$AC$3)*EchelleFPAparam!$C$3/EchelleFPAparam!$E$3))</f>
        <v>6212.3120519040058</v>
      </c>
      <c r="CZ32" s="26">
        <f>(EchelleFPAparam!$S$3/($U32+C$53)*COS((AH32-EchelleFPAparam!$AE28)*EchelleFPAparam!$C$3/EchelleFPAparam!$E$3))*(SIN('Standard Settings'!$F27)+SIN('Standard Settings'!$F27+EchelleFPAparam!$M$3+EchelleFPAparam!$G$3*EchelleFPAparam!$B$6*COS(EchelleFPAparam!$AC$3)-(AH32-1024)*SIN(EchelleFPAparam!$AC$3)*EchelleFPAparam!$C$3/EchelleFPAparam!$E$3))</f>
        <v>5591.3630704952811</v>
      </c>
      <c r="DA32" s="26">
        <f>(EchelleFPAparam!$S$3/($U32+D$53)*COS((AI32-EchelleFPAparam!$AE28)*EchelleFPAparam!$C$3/EchelleFPAparam!$E$3))*(SIN('Standard Settings'!$F27)+SIN('Standard Settings'!$F27+EchelleFPAparam!$M$3+EchelleFPAparam!$G$3*EchelleFPAparam!$B$6*COS(EchelleFPAparam!$AC$3)-(AI32-1024)*SIN(EchelleFPAparam!$AC$3)*EchelleFPAparam!$C$3/EchelleFPAparam!$E$3))</f>
        <v>5083.4081686201434</v>
      </c>
      <c r="DB32" s="26">
        <f>(EchelleFPAparam!$S$3/($U32+E$53)*COS((AJ32-EchelleFPAparam!$AE28)*EchelleFPAparam!$C$3/EchelleFPAparam!$E$3))*(SIN('Standard Settings'!$F27)+SIN('Standard Settings'!$F27+EchelleFPAparam!$M$3+EchelleFPAparam!$G$3*EchelleFPAparam!$B$6*COS(EchelleFPAparam!$AC$3)-(AJ32-1024)*SIN(EchelleFPAparam!$AC$3)*EchelleFPAparam!$C$3/EchelleFPAparam!$E$3))</f>
        <v>4660.011923628359</v>
      </c>
      <c r="DC32" s="26">
        <f>(EchelleFPAparam!$S$3/($U32+F$53)*COS((AK32-EchelleFPAparam!$AE28)*EchelleFPAparam!$C$3/EchelleFPAparam!$E$3))*(SIN('Standard Settings'!$F27)+SIN('Standard Settings'!$F27+EchelleFPAparam!$M$3+EchelleFPAparam!$G$3*EchelleFPAparam!$B$6*COS(EchelleFPAparam!$AC$3)-(AK32-1024)*SIN(EchelleFPAparam!$AC$3)*EchelleFPAparam!$C$3/EchelleFPAparam!$E$3))</f>
        <v>4301.6516433013658</v>
      </c>
      <c r="DD32" s="26">
        <f>(EchelleFPAparam!$S$3/($U32+G$53)*COS((AL32-EchelleFPAparam!$AE28)*EchelleFPAparam!$C$3/EchelleFPAparam!$E$3))*(SIN('Standard Settings'!$F27)+SIN('Standard Settings'!$F27+EchelleFPAparam!$M$3+EchelleFPAparam!$G$3*EchelleFPAparam!$B$6*COS(EchelleFPAparam!$AC$3)-(AL32-1024)*SIN(EchelleFPAparam!$AC$3)*EchelleFPAparam!$C$3/EchelleFPAparam!$E$3))</f>
        <v>3994.4264196801505</v>
      </c>
      <c r="DE32" s="26">
        <f>(EchelleFPAparam!$S$3/($U32+H$53)*COS((AM32-EchelleFPAparam!$AE28)*EchelleFPAparam!$C$3/EchelleFPAparam!$E$3))*(SIN('Standard Settings'!$F27)+SIN('Standard Settings'!$F27+EchelleFPAparam!$M$3+EchelleFPAparam!$G$3*EchelleFPAparam!$B$6*COS(EchelleFPAparam!$AC$3)-(AM32-1024)*SIN(EchelleFPAparam!$AC$3)*EchelleFPAparam!$C$3/EchelleFPAparam!$E$3))</f>
        <v>3728.1257899156717</v>
      </c>
      <c r="DF32" s="26">
        <f>(EchelleFPAparam!$S$3/($U32+I$53)*COS((AN32-EchelleFPAparam!$AE28)*EchelleFPAparam!$C$3/EchelleFPAparam!$E$3))*(SIN('Standard Settings'!$F27)+SIN('Standard Settings'!$F27+EchelleFPAparam!$M$3+EchelleFPAparam!$G$3*EchelleFPAparam!$B$6*COS(EchelleFPAparam!$AC$3)-(AN32-1024)*SIN(EchelleFPAparam!$AC$3)*EchelleFPAparam!$C$3/EchelleFPAparam!$E$3))</f>
        <v>3495.0891728209526</v>
      </c>
      <c r="DG32" s="26">
        <f>(EchelleFPAparam!$S$3/($U32+J$53)*COS((AO32-EchelleFPAparam!$AE28)*EchelleFPAparam!$C$3/EchelleFPAparam!$E$3))*(SIN('Standard Settings'!$F27)+SIN('Standard Settings'!$F27+EchelleFPAparam!$M$3+EchelleFPAparam!$G$3*EchelleFPAparam!$B$6*COS(EchelleFPAparam!$AC$3)-(AO32-1024)*SIN(EchelleFPAparam!$AC$3)*EchelleFPAparam!$C$3/EchelleFPAparam!$E$3))</f>
        <v>3288.8710863021211</v>
      </c>
      <c r="DH32" s="26">
        <f>(EchelleFPAparam!$S$3/($U32+K$53)*COS((AP32-EchelleFPAparam!$AE28)*EchelleFPAparam!$C$3/EchelleFPAparam!$E$3))*(SIN('Standard Settings'!$F27)+SIN('Standard Settings'!$F27+EchelleFPAparam!$M$3+EchelleFPAparam!$G$3*EchelleFPAparam!$B$6*COS(EchelleFPAparam!$AC$3)-(AP32-1024)*SIN(EchelleFPAparam!$AC$3)*EchelleFPAparam!$C$3/EchelleFPAparam!$E$3))</f>
        <v>3106.1560259520029</v>
      </c>
      <c r="DI32" s="26">
        <f>(EchelleFPAparam!$S$3/($U32+B$53)*COS((AQ32-EchelleFPAparam!$AE28)*EchelleFPAparam!$C$3/EchelleFPAparam!$E$3))*(SIN('Standard Settings'!$F27)+SIN('Standard Settings'!$F27+EchelleFPAparam!$M$3+EchelleFPAparam!$H$3*EchelleFPAparam!$B$6*COS(EchelleFPAparam!$AC$3)-(AQ32-1024)*SIN(EchelleFPAparam!$AC$3)*EchelleFPAparam!$C$3/EchelleFPAparam!$E$3))</f>
        <v>6215.2902877299821</v>
      </c>
      <c r="DJ32" s="26">
        <f>(EchelleFPAparam!$S$3/($U32+C$53)*COS((AR32-EchelleFPAparam!$AE28)*EchelleFPAparam!$C$3/EchelleFPAparam!$E$3))*(SIN('Standard Settings'!$F27)+SIN('Standard Settings'!$F27+EchelleFPAparam!$M$3+EchelleFPAparam!$H$3*EchelleFPAparam!$B$6*COS(EchelleFPAparam!$AC$3)-(AR32-1024)*SIN(EchelleFPAparam!$AC$3)*EchelleFPAparam!$C$3/EchelleFPAparam!$E$3))</f>
        <v>5594.0434063539014</v>
      </c>
      <c r="DK32" s="26">
        <f>(EchelleFPAparam!$S$3/($U32+D$53)*COS((AS32-EchelleFPAparam!$AE28)*EchelleFPAparam!$C$3/EchelleFPAparam!$E$3))*(SIN('Standard Settings'!$F27)+SIN('Standard Settings'!$F27+EchelleFPAparam!$M$3+EchelleFPAparam!$H$3*EchelleFPAparam!$B$6*COS(EchelleFPAparam!$AC$3)-(AS32-1024)*SIN(EchelleFPAparam!$AC$3)*EchelleFPAparam!$C$3/EchelleFPAparam!$E$3))</f>
        <v>5085.859754944805</v>
      </c>
      <c r="DL32" s="26">
        <f>(EchelleFPAparam!$S$3/($U32+E$53)*COS((AT32-EchelleFPAparam!$AE28)*EchelleFPAparam!$C$3/EchelleFPAparam!$E$3))*(SIN('Standard Settings'!$F27)+SIN('Standard Settings'!$F27+EchelleFPAparam!$M$3+EchelleFPAparam!$H$3*EchelleFPAparam!$B$6*COS(EchelleFPAparam!$AC$3)-(AT32-1024)*SIN(EchelleFPAparam!$AC$3)*EchelleFPAparam!$C$3/EchelleFPAparam!$E$3))</f>
        <v>4662.2544240619181</v>
      </c>
      <c r="DM32" s="26">
        <f>(EchelleFPAparam!$S$3/($U32+F$53)*COS((AU32-EchelleFPAparam!$AE28)*EchelleFPAparam!$C$3/EchelleFPAparam!$E$3))*(SIN('Standard Settings'!$F27)+SIN('Standard Settings'!$F27+EchelleFPAparam!$M$3+EchelleFPAparam!$H$3*EchelleFPAparam!$B$6*COS(EchelleFPAparam!$AC$3)-(AU32-1024)*SIN(EchelleFPAparam!$AC$3)*EchelleFPAparam!$C$3/EchelleFPAparam!$E$3))</f>
        <v>4303.7186950039368</v>
      </c>
      <c r="DN32" s="26">
        <f>(EchelleFPAparam!$S$3/($U32+G$53)*COS((AV32-EchelleFPAparam!$AE28)*EchelleFPAparam!$C$3/EchelleFPAparam!$E$3))*(SIN('Standard Settings'!$F27)+SIN('Standard Settings'!$F27+EchelleFPAparam!$M$3+EchelleFPAparam!$H$3*EchelleFPAparam!$B$6*COS(EchelleFPAparam!$AC$3)-(AV32-1024)*SIN(EchelleFPAparam!$AC$3)*EchelleFPAparam!$C$3/EchelleFPAparam!$E$3))</f>
        <v>3996.3405815988917</v>
      </c>
      <c r="DO32" s="26">
        <f>(EchelleFPAparam!$S$3/($U32+H$53)*COS((AW32-EchelleFPAparam!$AE28)*EchelleFPAparam!$C$3/EchelleFPAparam!$E$3))*(SIN('Standard Settings'!$F27)+SIN('Standard Settings'!$F27+EchelleFPAparam!$M$3+EchelleFPAparam!$H$3*EchelleFPAparam!$B$6*COS(EchelleFPAparam!$AC$3)-(AW32-1024)*SIN(EchelleFPAparam!$AC$3)*EchelleFPAparam!$C$3/EchelleFPAparam!$E$3))</f>
        <v>3729.9084463663526</v>
      </c>
      <c r="DP32" s="26">
        <f>(EchelleFPAparam!$S$3/($U32+I$53)*COS((AX32-EchelleFPAparam!$AE28)*EchelleFPAparam!$C$3/EchelleFPAparam!$E$3))*(SIN('Standard Settings'!$F27)+SIN('Standard Settings'!$F27+EchelleFPAparam!$M$3+EchelleFPAparam!$H$3*EchelleFPAparam!$B$6*COS(EchelleFPAparam!$AC$3)-(AX32-1024)*SIN(EchelleFPAparam!$AC$3)*EchelleFPAparam!$C$3/EchelleFPAparam!$E$3))</f>
        <v>3496.7594931561557</v>
      </c>
      <c r="DQ32" s="26">
        <f>(EchelleFPAparam!$S$3/($U32+J$53)*COS((AY32-EchelleFPAparam!$AE28)*EchelleFPAparam!$C$3/EchelleFPAparam!$E$3))*(SIN('Standard Settings'!$F27)+SIN('Standard Settings'!$F27+EchelleFPAparam!$M$3+EchelleFPAparam!$H$3*EchelleFPAparam!$B$6*COS(EchelleFPAparam!$AC$3)-(AY32-1024)*SIN(EchelleFPAparam!$AC$3)*EchelleFPAparam!$C$3/EchelleFPAparam!$E$3))</f>
        <v>3290.4477993864612</v>
      </c>
      <c r="DR32" s="26">
        <f>(EchelleFPAparam!$S$3/($U32+K$53)*COS((AZ32-EchelleFPAparam!$AE28)*EchelleFPAparam!$C$3/EchelleFPAparam!$E$3))*(SIN('Standard Settings'!$F27)+SIN('Standard Settings'!$F27+EchelleFPAparam!$M$3+EchelleFPAparam!$H$3*EchelleFPAparam!$B$6*COS(EchelleFPAparam!$AC$3)-(AZ32-1024)*SIN(EchelleFPAparam!$AC$3)*EchelleFPAparam!$C$3/EchelleFPAparam!$E$3))</f>
        <v>3107.645143864991</v>
      </c>
      <c r="DS32" s="26">
        <f>(EchelleFPAparam!$S$3/($U32+B$53)*COS((AQ32-EchelleFPAparam!$AE28)*EchelleFPAparam!$C$3/EchelleFPAparam!$E$3))*(SIN('Standard Settings'!$F27)+SIN('Standard Settings'!$F27+EchelleFPAparam!$M$3+EchelleFPAparam!$I$3*EchelleFPAparam!$B$6*COS(EchelleFPAparam!$AC$3)-(AQ32-1024)*SIN(EchelleFPAparam!$AC$3)*EchelleFPAparam!$C$3/EchelleFPAparam!$E$3))</f>
        <v>6256.6042100305685</v>
      </c>
      <c r="DT32" s="26">
        <f>(EchelleFPAparam!$S$3/($U32+C$53)*COS((AR32-EchelleFPAparam!$AE28)*EchelleFPAparam!$C$3/EchelleFPAparam!$E$3))*(SIN('Standard Settings'!$F27)+SIN('Standard Settings'!$F27+EchelleFPAparam!$M$3+EchelleFPAparam!$I$3*EchelleFPAparam!$B$6*COS(EchelleFPAparam!$AC$3)-(AR32-1024)*SIN(EchelleFPAparam!$AC$3)*EchelleFPAparam!$C$3/EchelleFPAparam!$E$3))</f>
        <v>5631.2227395677628</v>
      </c>
      <c r="DU32" s="26">
        <f>(EchelleFPAparam!$S$3/($U32+D$53)*COS((AS32-EchelleFPAparam!$AE28)*EchelleFPAparam!$C$3/EchelleFPAparam!$E$3))*(SIN('Standard Settings'!$F27)+SIN('Standard Settings'!$F27+EchelleFPAparam!$M$3+EchelleFPAparam!$I$3*EchelleFPAparam!$B$6*COS(EchelleFPAparam!$AC$3)-(AS32-1024)*SIN(EchelleFPAparam!$AC$3)*EchelleFPAparam!$C$3/EchelleFPAparam!$E$3))</f>
        <v>5119.6533327788075</v>
      </c>
      <c r="DV32" s="26">
        <f>(EchelleFPAparam!$S$3/($U32+E$53)*COS((AT32-EchelleFPAparam!$AE28)*EchelleFPAparam!$C$3/EchelleFPAparam!$E$3))*(SIN('Standard Settings'!$F27)+SIN('Standard Settings'!$F27+EchelleFPAparam!$M$3+EchelleFPAparam!$I$3*EchelleFPAparam!$B$6*COS(EchelleFPAparam!$AC$3)-(AT32-1024)*SIN(EchelleFPAparam!$AC$3)*EchelleFPAparam!$C$3/EchelleFPAparam!$E$3))</f>
        <v>4693.2261659548276</v>
      </c>
      <c r="DW32" s="26">
        <f>(EchelleFPAparam!$S$3/($U32+F$53)*COS((AU32-EchelleFPAparam!$AE28)*EchelleFPAparam!$C$3/EchelleFPAparam!$E$3))*(SIN('Standard Settings'!$F27)+SIN('Standard Settings'!$F27+EchelleFPAparam!$M$3+EchelleFPAparam!$I$3*EchelleFPAparam!$B$6*COS(EchelleFPAparam!$AC$3)-(AU32-1024)*SIN(EchelleFPAparam!$AC$3)*EchelleFPAparam!$C$3/EchelleFPAparam!$E$3))</f>
        <v>4332.3030237995035</v>
      </c>
      <c r="DX32" s="26">
        <f>(EchelleFPAparam!$S$3/($U32+G$53)*COS((AV32-EchelleFPAparam!$AE28)*EchelleFPAparam!$C$3/EchelleFPAparam!$E$3))*(SIN('Standard Settings'!$F27)+SIN('Standard Settings'!$F27+EchelleFPAparam!$M$3+EchelleFPAparam!$I$3*EchelleFPAparam!$B$6*COS(EchelleFPAparam!$AC$3)-(AV32-1024)*SIN(EchelleFPAparam!$AC$3)*EchelleFPAparam!$C$3/EchelleFPAparam!$E$3))</f>
        <v>4022.8789186013819</v>
      </c>
      <c r="DY32" s="26">
        <f>(EchelleFPAparam!$S$3/($U32+H$53)*COS((AW32-EchelleFPAparam!$AE28)*EchelleFPAparam!$C$3/EchelleFPAparam!$E$3))*(SIN('Standard Settings'!$F27)+SIN('Standard Settings'!$F27+EchelleFPAparam!$M$3+EchelleFPAparam!$I$3*EchelleFPAparam!$B$6*COS(EchelleFPAparam!$AC$3)-(AW32-1024)*SIN(EchelleFPAparam!$AC$3)*EchelleFPAparam!$C$3/EchelleFPAparam!$E$3))</f>
        <v>3754.6738167163444</v>
      </c>
      <c r="DZ32" s="26">
        <f>(EchelleFPAparam!$S$3/($U32+I$53)*COS((AX32-EchelleFPAparam!$AE28)*EchelleFPAparam!$C$3/EchelleFPAparam!$E$3))*(SIN('Standard Settings'!$F27)+SIN('Standard Settings'!$F27+EchelleFPAparam!$M$3+EchelleFPAparam!$I$3*EchelleFPAparam!$B$6*COS(EchelleFPAparam!$AC$3)-(AX32-1024)*SIN(EchelleFPAparam!$AC$3)*EchelleFPAparam!$C$3/EchelleFPAparam!$E$3))</f>
        <v>3519.9740186474091</v>
      </c>
      <c r="EA32" s="26">
        <f>(EchelleFPAparam!$S$3/($U32+J$53)*COS((AY32-EchelleFPAparam!$AE28)*EchelleFPAparam!$C$3/EchelleFPAparam!$E$3))*(SIN('Standard Settings'!$F27)+SIN('Standard Settings'!$F27+EchelleFPAparam!$M$3+EchelleFPAparam!$I$3*EchelleFPAparam!$B$6*COS(EchelleFPAparam!$AC$3)-(AY32-1024)*SIN(EchelleFPAparam!$AC$3)*EchelleFPAparam!$C$3/EchelleFPAparam!$E$3))</f>
        <v>3312.3198758985363</v>
      </c>
      <c r="EB32" s="26">
        <f>(EchelleFPAparam!$S$3/($U32+K$53)*COS((AZ32-EchelleFPAparam!$AE28)*EchelleFPAparam!$C$3/EchelleFPAparam!$E$3))*(SIN('Standard Settings'!$F27)+SIN('Standard Settings'!$F27+EchelleFPAparam!$M$3+EchelleFPAparam!$I$3*EchelleFPAparam!$B$6*COS(EchelleFPAparam!$AC$3)-(AZ32-1024)*SIN(EchelleFPAparam!$AC$3)*EchelleFPAparam!$C$3/EchelleFPAparam!$E$3))</f>
        <v>3128.3021050152843</v>
      </c>
      <c r="EC32" s="26">
        <f>(EchelleFPAparam!$S$3/($U32+B$53)*COS((BA32-EchelleFPAparam!$AE28)*EchelleFPAparam!$C$3/EchelleFPAparam!$E$3))*(SIN('Standard Settings'!$F27)+SIN('Standard Settings'!$F27+EchelleFPAparam!$M$3+EchelleFPAparam!$J$3*EchelleFPAparam!$B$6*COS(EchelleFPAparam!$AC$3)-(BA32-1024)*SIN(EchelleFPAparam!$AC$3)*EchelleFPAparam!$C$3/EchelleFPAparam!$E$3))</f>
        <v>6259.5239921107986</v>
      </c>
      <c r="ED32" s="26">
        <f>(EchelleFPAparam!$S$3/($U32+C$53)*COS((BB32-EchelleFPAparam!$AE28)*EchelleFPAparam!$C$3/EchelleFPAparam!$E$3))*(SIN('Standard Settings'!$F27)+SIN('Standard Settings'!$F27+EchelleFPAparam!$M$3+EchelleFPAparam!$J$3*EchelleFPAparam!$B$6*COS(EchelleFPAparam!$AC$3)-(BB32-1024)*SIN(EchelleFPAparam!$AC$3)*EchelleFPAparam!$C$3/EchelleFPAparam!$E$3))</f>
        <v>5633.8664674910506</v>
      </c>
      <c r="EE32" s="26">
        <f>(EchelleFPAparam!$S$3/($U32+D$53)*COS((BC32-EchelleFPAparam!$AE28)*EchelleFPAparam!$C$3/EchelleFPAparam!$E$3))*(SIN('Standard Settings'!$F27)+SIN('Standard Settings'!$F27+EchelleFPAparam!$M$3+EchelleFPAparam!$J$3*EchelleFPAparam!$B$6*COS(EchelleFPAparam!$AC$3)-(BC32-1024)*SIN(EchelleFPAparam!$AC$3)*EchelleFPAparam!$C$3/EchelleFPAparam!$E$3))</f>
        <v>5122.0559370975379</v>
      </c>
      <c r="EF32" s="26">
        <f>(EchelleFPAparam!$S$3/($U32+E$53)*COS((BD32-EchelleFPAparam!$AE28)*EchelleFPAparam!$C$3/EchelleFPAparam!$E$3))*(SIN('Standard Settings'!$F27)+SIN('Standard Settings'!$F27+EchelleFPAparam!$M$3+EchelleFPAparam!$J$3*EchelleFPAparam!$B$6*COS(EchelleFPAparam!$AC$3)-(BD32-1024)*SIN(EchelleFPAparam!$AC$3)*EchelleFPAparam!$C$3/EchelleFPAparam!$E$3))</f>
        <v>4695.4241377328844</v>
      </c>
      <c r="EG32" s="26">
        <f>(EchelleFPAparam!$S$3/($U32+F$53)*COS((BE32-EchelleFPAparam!$AE28)*EchelleFPAparam!$C$3/EchelleFPAparam!$E$3))*(SIN('Standard Settings'!$F27)+SIN('Standard Settings'!$F27+EchelleFPAparam!$M$3+EchelleFPAparam!$J$3*EchelleFPAparam!$B$6*COS(EchelleFPAparam!$AC$3)-(BE32-1024)*SIN(EchelleFPAparam!$AC$3)*EchelleFPAparam!$C$3/EchelleFPAparam!$E$3))</f>
        <v>4334.327323892172</v>
      </c>
      <c r="EH32" s="26">
        <f>(EchelleFPAparam!$S$3/($U32+G$53)*COS((BF32-EchelleFPAparam!$AE28)*EchelleFPAparam!$C$3/EchelleFPAparam!$E$3))*(SIN('Standard Settings'!$F27)+SIN('Standard Settings'!$F27+EchelleFPAparam!$M$3+EchelleFPAparam!$J$3*EchelleFPAparam!$B$6*COS(EchelleFPAparam!$AC$3)-(BF32-1024)*SIN(EchelleFPAparam!$AC$3)*EchelleFPAparam!$C$3/EchelleFPAparam!$E$3))</f>
        <v>4024.7545416749299</v>
      </c>
      <c r="EI32" s="26">
        <f>(EchelleFPAparam!$S$3/($U32+H$53)*COS((BG32-EchelleFPAparam!$AE28)*EchelleFPAparam!$C$3/EchelleFPAparam!$E$3))*(SIN('Standard Settings'!$F27)+SIN('Standard Settings'!$F27+EchelleFPAparam!$M$3+EchelleFPAparam!$J$3*EchelleFPAparam!$B$6*COS(EchelleFPAparam!$AC$3)-(BG32-1024)*SIN(EchelleFPAparam!$AC$3)*EchelleFPAparam!$C$3/EchelleFPAparam!$E$3))</f>
        <v>3756.4203378945504</v>
      </c>
      <c r="EJ32" s="26">
        <f>(EchelleFPAparam!$S$3/($U32+I$53)*COS((BH32-EchelleFPAparam!$AE28)*EchelleFPAparam!$C$3/EchelleFPAparam!$E$3))*(SIN('Standard Settings'!$F27)+SIN('Standard Settings'!$F27+EchelleFPAparam!$M$3+EchelleFPAparam!$J$3*EchelleFPAparam!$B$6*COS(EchelleFPAparam!$AC$3)-(BH32-1024)*SIN(EchelleFPAparam!$AC$3)*EchelleFPAparam!$C$3/EchelleFPAparam!$E$3))</f>
        <v>3521.612730915946</v>
      </c>
      <c r="EK32" s="26">
        <f>(EchelleFPAparam!$S$3/($U32+J$53)*COS((BI32-EchelleFPAparam!$AE28)*EchelleFPAparam!$C$3/EchelleFPAparam!$E$3))*(SIN('Standard Settings'!$F27)+SIN('Standard Settings'!$F27+EchelleFPAparam!$M$3+EchelleFPAparam!$J$3*EchelleFPAparam!$B$6*COS(EchelleFPAparam!$AC$3)-(BI32-1024)*SIN(EchelleFPAparam!$AC$3)*EchelleFPAparam!$C$3/EchelleFPAparam!$E$3))</f>
        <v>3313.8656428821873</v>
      </c>
      <c r="EL32" s="26">
        <f>(EchelleFPAparam!$S$3/($U32+K$53)*COS((BJ32-EchelleFPAparam!$AE28)*EchelleFPAparam!$C$3/EchelleFPAparam!$E$3))*(SIN('Standard Settings'!$F27)+SIN('Standard Settings'!$F27+EchelleFPAparam!$M$3+EchelleFPAparam!$J$3*EchelleFPAparam!$B$6*COS(EchelleFPAparam!$AC$3)-(BJ32-1024)*SIN(EchelleFPAparam!$AC$3)*EchelleFPAparam!$C$3/EchelleFPAparam!$E$3))</f>
        <v>3129.7619960553993</v>
      </c>
      <c r="EM32" s="26">
        <f>(EchelleFPAparam!$S$3/($U32+B$53)*COS((BA32-EchelleFPAparam!$AE28)*EchelleFPAparam!$C$3/EchelleFPAparam!$E$3))*(SIN('Standard Settings'!$F27)+SIN('Standard Settings'!$F27+EchelleFPAparam!$M$3+EchelleFPAparam!$K$3*EchelleFPAparam!$B$6*COS(EchelleFPAparam!$AC$3)-(BA32-1024)*SIN(EchelleFPAparam!$AC$3)*EchelleFPAparam!$C$3/EchelleFPAparam!$E$3))</f>
        <v>6298.8263736708277</v>
      </c>
      <c r="EN32" s="26">
        <f>(EchelleFPAparam!$S$3/($U32+C$53)*COS((BB32-EchelleFPAparam!$AE28)*EchelleFPAparam!$C$3/EchelleFPAparam!$E$3))*(SIN('Standard Settings'!$F27)+SIN('Standard Settings'!$F27+EchelleFPAparam!$M$3+EchelleFPAparam!$K$3*EchelleFPAparam!$B$6*COS(EchelleFPAparam!$AC$3)-(BB32-1024)*SIN(EchelleFPAparam!$AC$3)*EchelleFPAparam!$C$3/EchelleFPAparam!$E$3))</f>
        <v>5669.2350755769894</v>
      </c>
      <c r="EO32" s="26">
        <f>(EchelleFPAparam!$S$3/($U32+D$53)*COS((BC32-EchelleFPAparam!$AE28)*EchelleFPAparam!$C$3/EchelleFPAparam!$E$3))*(SIN('Standard Settings'!$F27)+SIN('Standard Settings'!$F27+EchelleFPAparam!$M$3+EchelleFPAparam!$K$3*EchelleFPAparam!$B$6*COS(EchelleFPAparam!$AC$3)-(BC32-1024)*SIN(EchelleFPAparam!$AC$3)*EchelleFPAparam!$C$3/EchelleFPAparam!$E$3))</f>
        <v>5154.2031240652341</v>
      </c>
      <c r="EP32" s="26">
        <f>(EchelleFPAparam!$S$3/($U32+E$53)*COS((BD32-EchelleFPAparam!$AE28)*EchelleFPAparam!$C$3/EchelleFPAparam!$E$3))*(SIN('Standard Settings'!$F27)+SIN('Standard Settings'!$F27+EchelleFPAparam!$M$3+EchelleFPAparam!$K$3*EchelleFPAparam!$B$6*COS(EchelleFPAparam!$AC$3)-(BD32-1024)*SIN(EchelleFPAparam!$AC$3)*EchelleFPAparam!$C$3/EchelleFPAparam!$E$3))</f>
        <v>4724.886503986836</v>
      </c>
      <c r="EQ32" s="26">
        <f>(EchelleFPAparam!$S$3/($U32+F$53)*COS((BE32-EchelleFPAparam!$AE28)*EchelleFPAparam!$C$3/EchelleFPAparam!$E$3))*(SIN('Standard Settings'!$F27)+SIN('Standard Settings'!$F27+EchelleFPAparam!$M$3+EchelleFPAparam!$K$3*EchelleFPAparam!$B$6*COS(EchelleFPAparam!$AC$3)-(BE32-1024)*SIN(EchelleFPAparam!$AC$3)*EchelleFPAparam!$C$3/EchelleFPAparam!$E$3))</f>
        <v>4361.5182670862332</v>
      </c>
      <c r="ER32" s="26">
        <f>(EchelleFPAparam!$S$3/($U32+G$53)*COS((BF32-EchelleFPAparam!$AE28)*EchelleFPAparam!$C$3/EchelleFPAparam!$E$3))*(SIN('Standard Settings'!$F27)+SIN('Standard Settings'!$F27+EchelleFPAparam!$M$3+EchelleFPAparam!$K$3*EchelleFPAparam!$B$6*COS(EchelleFPAparam!$AC$3)-(BF32-1024)*SIN(EchelleFPAparam!$AC$3)*EchelleFPAparam!$C$3/EchelleFPAparam!$E$3))</f>
        <v>4049.9989063064882</v>
      </c>
      <c r="ES32" s="26">
        <f>(EchelleFPAparam!$S$3/($U32+H$53)*COS((BG32-EchelleFPAparam!$AE28)*EchelleFPAparam!$C$3/EchelleFPAparam!$E$3))*(SIN('Standard Settings'!$F27)+SIN('Standard Settings'!$F27+EchelleFPAparam!$M$3+EchelleFPAparam!$K$3*EchelleFPAparam!$B$6*COS(EchelleFPAparam!$AC$3)-(BG32-1024)*SIN(EchelleFPAparam!$AC$3)*EchelleFPAparam!$C$3/EchelleFPAparam!$E$3))</f>
        <v>3779.977934191003</v>
      </c>
      <c r="ET32" s="26">
        <f>(EchelleFPAparam!$S$3/($U32+I$53)*COS((BH32-EchelleFPAparam!$AE28)*EchelleFPAparam!$C$3/EchelleFPAparam!$E$3))*(SIN('Standard Settings'!$F27)+SIN('Standard Settings'!$F27+EchelleFPAparam!$M$3+EchelleFPAparam!$K$3*EchelleFPAparam!$B$6*COS(EchelleFPAparam!$AC$3)-(BH32-1024)*SIN(EchelleFPAparam!$AC$3)*EchelleFPAparam!$C$3/EchelleFPAparam!$E$3))</f>
        <v>3543.6952498630294</v>
      </c>
      <c r="EU32" s="26">
        <f>(EchelleFPAparam!$S$3/($U32+J$53)*COS((BI32-EchelleFPAparam!$AE28)*EchelleFPAparam!$C$3/EchelleFPAparam!$E$3))*(SIN('Standard Settings'!$F27)+SIN('Standard Settings'!$F27+EchelleFPAparam!$M$3+EchelleFPAparam!$K$3*EchelleFPAparam!$B$6*COS(EchelleFPAparam!$AC$3)-(BI32-1024)*SIN(EchelleFPAparam!$AC$3)*EchelleFPAparam!$C$3/EchelleFPAparam!$E$3))</f>
        <v>3334.6727860610263</v>
      </c>
      <c r="EV32" s="26">
        <f>(EchelleFPAparam!$S$3/($U32+K$53)*COS((BJ32-EchelleFPAparam!$AE28)*EchelleFPAparam!$C$3/EchelleFPAparam!$E$3))*(SIN('Standard Settings'!$F27)+SIN('Standard Settings'!$F27+EchelleFPAparam!$M$3+EchelleFPAparam!$K$3*EchelleFPAparam!$B$6*COS(EchelleFPAparam!$AC$3)-(BJ32-1024)*SIN(EchelleFPAparam!$AC$3)*EchelleFPAparam!$C$3/EchelleFPAparam!$E$3))</f>
        <v>3149.4131868354139</v>
      </c>
      <c r="EW32" s="60">
        <f t="shared" si="40"/>
        <v>3470.7607986813273</v>
      </c>
      <c r="EX32" s="60">
        <f t="shared" si="41"/>
        <v>5669.2350755769894</v>
      </c>
      <c r="EY32" s="90">
        <v>0.39</v>
      </c>
      <c r="EZ32" s="90">
        <v>0.36</v>
      </c>
      <c r="FA32" s="50">
        <v>30000</v>
      </c>
      <c r="FB32" s="95">
        <v>1000</v>
      </c>
      <c r="FC32" s="95">
        <v>1000</v>
      </c>
      <c r="FD32" s="50">
        <v>4050</v>
      </c>
      <c r="FE32" s="50">
        <v>3900</v>
      </c>
      <c r="FF32" s="50">
        <v>5000</v>
      </c>
      <c r="FG32" s="95">
        <v>1000</v>
      </c>
      <c r="FH32" s="95">
        <f t="shared" si="27"/>
        <v>250</v>
      </c>
      <c r="FI32" s="95">
        <f t="shared" si="28"/>
        <v>250</v>
      </c>
      <c r="FJ32" s="50">
        <f t="shared" si="29"/>
        <v>1012.5</v>
      </c>
      <c r="FK32" s="50">
        <f t="shared" si="30"/>
        <v>975</v>
      </c>
      <c r="FL32" s="50">
        <f t="shared" si="31"/>
        <v>1250</v>
      </c>
      <c r="FM32" s="95">
        <f t="shared" si="32"/>
        <v>250</v>
      </c>
      <c r="FN32" s="50">
        <v>500</v>
      </c>
      <c r="FO32" s="91">
        <f>1/(F32*EchelleFPAparam!$Q$3)</f>
        <v>-2732.1027691754953</v>
      </c>
      <c r="FP32" s="91">
        <f t="shared" si="22"/>
        <v>-38.132482352241603</v>
      </c>
      <c r="FQ32" s="50">
        <v>-999999</v>
      </c>
      <c r="FR32" s="50">
        <v>-999999</v>
      </c>
      <c r="FS32" s="90">
        <v>1</v>
      </c>
      <c r="FT32" s="90">
        <v>963.94899999999996</v>
      </c>
      <c r="FU32" s="90">
        <v>1746.3689999999999</v>
      </c>
      <c r="FV32" s="50">
        <v>-999999</v>
      </c>
      <c r="FW32" s="50">
        <v>-999999</v>
      </c>
      <c r="FX32" s="50">
        <v>-999999</v>
      </c>
      <c r="FY32" s="90">
        <v>1</v>
      </c>
      <c r="FZ32" s="90">
        <v>1900.3610000000001</v>
      </c>
      <c r="GA32" s="90">
        <v>1757.567</v>
      </c>
      <c r="GB32" s="50">
        <v>-999999</v>
      </c>
      <c r="GC32" s="50">
        <v>-999999</v>
      </c>
      <c r="GD32" s="50">
        <v>-999999</v>
      </c>
      <c r="GE32" s="90">
        <v>2</v>
      </c>
      <c r="GF32" s="90">
        <v>343.791</v>
      </c>
      <c r="GG32" s="90">
        <v>1525.33</v>
      </c>
      <c r="GH32" s="50">
        <v>-999999</v>
      </c>
      <c r="GI32" s="50">
        <v>-999999</v>
      </c>
      <c r="GJ32" s="50">
        <v>-999999</v>
      </c>
      <c r="GK32" s="50">
        <v>-999999</v>
      </c>
      <c r="GL32" s="50">
        <v>-999999</v>
      </c>
      <c r="GM32" s="50">
        <v>-999999</v>
      </c>
      <c r="GN32" s="50">
        <v>-999999</v>
      </c>
      <c r="GO32" s="50">
        <v>-999999</v>
      </c>
      <c r="GP32" s="50">
        <v>-999999</v>
      </c>
      <c r="GQ32" s="50">
        <v>-999999</v>
      </c>
      <c r="GR32" s="50">
        <v>-999999</v>
      </c>
      <c r="GS32" s="50">
        <v>-999999</v>
      </c>
      <c r="GT32" s="50">
        <v>-999999</v>
      </c>
      <c r="GU32" s="50">
        <v>-999999</v>
      </c>
      <c r="GV32" s="50">
        <v>-999999</v>
      </c>
      <c r="GW32" s="50">
        <v>-999999</v>
      </c>
      <c r="GX32" s="50">
        <v>-999999</v>
      </c>
      <c r="GY32" s="50">
        <v>-999999</v>
      </c>
      <c r="GZ32" s="50">
        <v>-999999</v>
      </c>
      <c r="HA32" s="50">
        <v>-999999</v>
      </c>
      <c r="HB32" s="50">
        <v>-999999</v>
      </c>
      <c r="HC32" s="50">
        <v>-999999</v>
      </c>
      <c r="HD32" s="50">
        <v>-999999</v>
      </c>
      <c r="HE32" s="50">
        <v>-999999</v>
      </c>
      <c r="HF32" s="50">
        <v>-999999</v>
      </c>
      <c r="HG32" s="50">
        <v>-999999</v>
      </c>
      <c r="HH32" s="50">
        <v>-999999</v>
      </c>
      <c r="HI32" s="50">
        <v>-999999</v>
      </c>
      <c r="HJ32" s="50">
        <v>-999999</v>
      </c>
      <c r="HK32" s="50">
        <v>-999999</v>
      </c>
      <c r="HL32" s="50">
        <v>-999999</v>
      </c>
      <c r="HM32" s="50">
        <v>-999999</v>
      </c>
      <c r="HN32" s="50">
        <v>-999999</v>
      </c>
      <c r="HO32" s="50">
        <v>-999999</v>
      </c>
      <c r="HP32" s="50">
        <v>-999999</v>
      </c>
      <c r="HQ32" s="50">
        <v>-999999</v>
      </c>
      <c r="HR32" s="50">
        <v>-999999</v>
      </c>
      <c r="HS32" s="50">
        <v>-999999</v>
      </c>
      <c r="HT32" s="50">
        <v>-999999</v>
      </c>
      <c r="HU32" s="50">
        <v>-999999</v>
      </c>
      <c r="HV32" s="50">
        <v>-999999</v>
      </c>
      <c r="HW32" s="50">
        <v>-999999</v>
      </c>
      <c r="HX32" s="50">
        <v>-999999</v>
      </c>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2">
        <f t="shared" si="23"/>
        <v>2753.2137999992638</v>
      </c>
      <c r="JX32" s="27">
        <f t="shared" si="24"/>
        <v>309382.70142246655</v>
      </c>
      <c r="JY32" s="107">
        <f>JW32*EchelleFPAparam!$Q$3</f>
        <v>-2.6224361444992985E-2</v>
      </c>
      <c r="KA32" s="19"/>
      <c r="KB32" s="19"/>
      <c r="KC32" s="19"/>
      <c r="KD32" s="19"/>
      <c r="KE32" s="19"/>
      <c r="KF32" s="19"/>
      <c r="KG32" s="19"/>
      <c r="KH32" s="19"/>
      <c r="KI32" s="19"/>
      <c r="KJ32" s="19"/>
      <c r="KK32" s="19"/>
      <c r="KL32" s="19"/>
      <c r="KM32" s="19"/>
      <c r="KW32" s="19"/>
      <c r="KX32" s="19"/>
      <c r="KY32" s="19"/>
      <c r="KZ32" s="19"/>
      <c r="LA32" s="19"/>
      <c r="LB32" s="19"/>
      <c r="LC32" s="19"/>
      <c r="LD32" s="19"/>
      <c r="LE32" s="19"/>
      <c r="LF32" s="19"/>
    </row>
    <row r="33" spans="1:318" x14ac:dyDescent="0.2">
      <c r="A33" s="53">
        <f t="shared" si="35"/>
        <v>27</v>
      </c>
      <c r="B33" s="96">
        <f t="shared" si="0"/>
        <v>4265.7062839798773</v>
      </c>
      <c r="C33" s="27" t="str">
        <f>'Standard Settings'!B28</f>
        <v>M/7/9</v>
      </c>
      <c r="D33" s="27">
        <f>'Standard Settings'!H28</f>
        <v>13</v>
      </c>
      <c r="E33" s="19">
        <f t="shared" si="1"/>
        <v>1.4548368967023162E-2</v>
      </c>
      <c r="F33" s="18">
        <f>((EchelleFPAparam!$S$3/('crmcfgWLEN.txt'!$U33+F$53))*(SIN('Standard Settings'!$F28+0.0005)+SIN('Standard Settings'!$F28+0.0005+EchelleFPAparam!$M$3))-(EchelleFPAparam!$S$3/('crmcfgWLEN.txt'!$U33+F$53))*(SIN('Standard Settings'!$F28-0.0005)+SIN('Standard Settings'!$F28-0.0005+EchelleFPAparam!$M$3)))*1000*EchelleFPAparam!$O$3/180</f>
        <v>40.170617034277996</v>
      </c>
      <c r="G33" s="20" t="str">
        <f>'Standard Settings'!C28</f>
        <v>M</v>
      </c>
      <c r="H33" s="46"/>
      <c r="I33" s="59" t="s">
        <v>361</v>
      </c>
      <c r="J33" s="57"/>
      <c r="K33" s="27" t="str">
        <f>'Standard Settings'!$D28</f>
        <v>LM</v>
      </c>
      <c r="L33" s="46"/>
      <c r="M33" s="12">
        <v>2.5</v>
      </c>
      <c r="N33" s="12">
        <v>2.5</v>
      </c>
      <c r="O33" s="47" t="s">
        <v>384</v>
      </c>
      <c r="P33" s="47" t="s">
        <v>384</v>
      </c>
      <c r="Q33" s="27">
        <f>'Standard Settings'!$E28</f>
        <v>63.253950000000003</v>
      </c>
      <c r="R33" s="106">
        <f>'Standard Settings'!$J28</f>
        <v>750000</v>
      </c>
      <c r="S33" s="21">
        <f>'Standard Settings'!$G28</f>
        <v>10</v>
      </c>
      <c r="T33" s="21">
        <f>'Standard Settings'!$I28</f>
        <v>16</v>
      </c>
      <c r="U33" s="22">
        <f t="shared" si="25"/>
        <v>9</v>
      </c>
      <c r="V33" s="22">
        <f t="shared" si="26"/>
        <v>18</v>
      </c>
      <c r="W33" s="23">
        <f>IF(AND($U33-$S33+B$53&gt;=0,$U33-$T33+B$53&lt;=0),(EchelleFPAparam!$S$3/('crmcfgWLEN.txt'!$U33+B$53))*(SIN('Standard Settings'!$F28)+SIN('Standard Settings'!$F28+EchelleFPAparam!$M$3)),-1)</f>
        <v>-1</v>
      </c>
      <c r="X33" s="23">
        <f>IF(AND($U33-$S33+C$53&gt;=0,$U33-$T33+C$53&lt;=0),(EchelleFPAparam!$S$3/('crmcfgWLEN.txt'!$U33+C$53))*(SIN('Standard Settings'!$F28)+SIN('Standard Settings'!$F28+EchelleFPAparam!$M$3)),-1)</f>
        <v>5545.4181691738413</v>
      </c>
      <c r="Y33" s="23">
        <f>IF(AND($U33-$S33+D$53&gt;=0,$U33-$T33+D$53&lt;=0),(EchelleFPAparam!$S$3/('crmcfgWLEN.txt'!$U33+D$53))*(SIN('Standard Settings'!$F28)+SIN('Standard Settings'!$F28+EchelleFPAparam!$M$3)),-1)</f>
        <v>5041.2892447034919</v>
      </c>
      <c r="Z33" s="23">
        <f>IF(AND($U33-$S33+E$53&gt;=0,$U33-$T33+E$53&lt;=0),(EchelleFPAparam!$S$3/('crmcfgWLEN.txt'!$U33+E$53))*(SIN('Standard Settings'!$F28)+SIN('Standard Settings'!$F28+EchelleFPAparam!$M$3)),-1)</f>
        <v>4621.1818076448671</v>
      </c>
      <c r="AA33" s="23">
        <f>IF(AND($U33-$S33+F$53&gt;=0,$U33-$T33+F$53&lt;=0),(EchelleFPAparam!$S$3/('crmcfgWLEN.txt'!$U33+F$53))*(SIN('Standard Settings'!$F28)+SIN('Standard Settings'!$F28+EchelleFPAparam!$M$3)),-1)</f>
        <v>4265.7062839798773</v>
      </c>
      <c r="AB33" s="23">
        <f>IF(AND($U33-$S33+G$53&gt;=0,$U33-$T33+G$53&lt;=0),(EchelleFPAparam!$S$3/('crmcfgWLEN.txt'!$U33+G$53))*(SIN('Standard Settings'!$F28)+SIN('Standard Settings'!$F28+EchelleFPAparam!$M$3)),-1)</f>
        <v>3961.0129779813146</v>
      </c>
      <c r="AC33" s="23">
        <f>IF(AND($U33-$S33+H$53&gt;=0,$U33-$T33+H$53&lt;=0),(EchelleFPAparam!$S$3/('crmcfgWLEN.txt'!$U33+H$53))*(SIN('Standard Settings'!$F28)+SIN('Standard Settings'!$F28+EchelleFPAparam!$M$3)),-1)</f>
        <v>3696.9454461158934</v>
      </c>
      <c r="AD33" s="23">
        <f>IF(AND($U33-$S33+I$53&gt;=0,$U33-$T33+I$53&lt;=0),(EchelleFPAparam!$S$3/('crmcfgWLEN.txt'!$U33+I$53))*(SIN('Standard Settings'!$F28)+SIN('Standard Settings'!$F28+EchelleFPAparam!$M$3)),-1)</f>
        <v>3465.8863557336504</v>
      </c>
      <c r="AE33" s="23">
        <f>IF(AND($U33-$S33+J$53&gt;=0,$U33-$T33+J$53&lt;=0),(EchelleFPAparam!$S$3/('crmcfgWLEN.txt'!$U33+J$53))*(SIN('Standard Settings'!$F28)+SIN('Standard Settings'!$F28+EchelleFPAparam!$M$3)),-1)</f>
        <v>-1</v>
      </c>
      <c r="AF33" s="23">
        <f>IF(AND($U33-$S33+K$53&gt;=0,$U33-$T33+K$53&lt;=0),(EchelleFPAparam!$S$3/('crmcfgWLEN.txt'!$U33+K$53))*(SIN('Standard Settings'!$F28)+SIN('Standard Settings'!$F28+EchelleFPAparam!$M$3)),-1)</f>
        <v>-1</v>
      </c>
      <c r="AG33" s="159">
        <v>-100.1</v>
      </c>
      <c r="AH33" s="157">
        <v>130.77757788698301</v>
      </c>
      <c r="AI33" s="157">
        <v>580.35184886768798</v>
      </c>
      <c r="AJ33" s="157">
        <v>959.24980980592795</v>
      </c>
      <c r="AK33" s="157">
        <v>1267.6292480347799</v>
      </c>
      <c r="AL33" s="157">
        <v>1556.3701828134101</v>
      </c>
      <c r="AM33" s="157">
        <v>1796.65398346897</v>
      </c>
      <c r="AN33" s="157">
        <v>1983.6230879773</v>
      </c>
      <c r="AO33" s="159">
        <v>-100.1</v>
      </c>
      <c r="AP33" s="159">
        <v>-100.1</v>
      </c>
      <c r="AQ33" s="160">
        <v>-100.1</v>
      </c>
      <c r="AR33" s="157">
        <v>143.330058291515</v>
      </c>
      <c r="AS33" s="157">
        <v>599.44147387539294</v>
      </c>
      <c r="AT33" s="157">
        <v>980.97624739285595</v>
      </c>
      <c r="AU33" s="157">
        <v>1297.45926789847</v>
      </c>
      <c r="AV33" s="157">
        <v>1582.1003595985901</v>
      </c>
      <c r="AW33" s="157">
        <v>1823.9437342875001</v>
      </c>
      <c r="AX33" s="157">
        <v>1997.2058162790199</v>
      </c>
      <c r="AY33" s="160">
        <v>-100.1</v>
      </c>
      <c r="AZ33" s="160">
        <v>-100.1</v>
      </c>
      <c r="BA33" s="161">
        <v>-100.1</v>
      </c>
      <c r="BB33" s="157">
        <v>181.15501402002701</v>
      </c>
      <c r="BC33" s="157">
        <v>617.91561084298701</v>
      </c>
      <c r="BD33" s="157">
        <v>1002.44348027562</v>
      </c>
      <c r="BE33" s="157">
        <v>1325.28489927079</v>
      </c>
      <c r="BF33" s="157">
        <v>1608.2249918940399</v>
      </c>
      <c r="BG33" s="157">
        <v>1851.8813551508799</v>
      </c>
      <c r="BH33" s="157">
        <v>2003.41597502426</v>
      </c>
      <c r="BI33" s="161">
        <v>-100.1</v>
      </c>
      <c r="BJ33" s="161">
        <v>-100.1</v>
      </c>
      <c r="BK33" s="24">
        <f>EchelleFPAparam!$S$3/('crmcfgWLEN.txt'!$U33+B$53)*(SIN(EchelleFPAparam!$T$3-EchelleFPAparam!$M$3/2)+SIN('Standard Settings'!$F28+EchelleFPAparam!$M$3))</f>
        <v>6217.470336534926</v>
      </c>
      <c r="BL33" s="24">
        <f>EchelleFPAparam!$S$3/('crmcfgWLEN.txt'!$U33+C$53)*(SIN(EchelleFPAparam!$T$3-EchelleFPAparam!$M$3/2)+SIN('Standard Settings'!$F28+EchelleFPAparam!$M$3))</f>
        <v>5595.7233028814344</v>
      </c>
      <c r="BM33" s="24">
        <f>EchelleFPAparam!$S$3/('crmcfgWLEN.txt'!$U33+D$53)*(SIN(EchelleFPAparam!$T$3-EchelleFPAparam!$M$3/2)+SIN('Standard Settings'!$F28+EchelleFPAparam!$M$3))</f>
        <v>5087.0211844376672</v>
      </c>
      <c r="BN33" s="24">
        <f>EchelleFPAparam!$S$3/('crmcfgWLEN.txt'!$U33+E$53)*(SIN(EchelleFPAparam!$T$3-EchelleFPAparam!$M$3/2)+SIN('Standard Settings'!$F28+EchelleFPAparam!$M$3))</f>
        <v>4663.1027524011943</v>
      </c>
      <c r="BO33" s="24">
        <f>EchelleFPAparam!$S$3/('crmcfgWLEN.txt'!$U33+F$53)*(SIN(EchelleFPAparam!$T$3-EchelleFPAparam!$M$3/2)+SIN('Standard Settings'!$F28+EchelleFPAparam!$M$3))</f>
        <v>4304.4025406780256</v>
      </c>
      <c r="BP33" s="24">
        <f>EchelleFPAparam!$S$3/('crmcfgWLEN.txt'!$U33+G$53)*(SIN(EchelleFPAparam!$T$3-EchelleFPAparam!$M$3/2)+SIN('Standard Settings'!$F28+EchelleFPAparam!$M$3))</f>
        <v>3996.9452163438809</v>
      </c>
      <c r="BQ33" s="24">
        <f>EchelleFPAparam!$S$3/('crmcfgWLEN.txt'!$U33+H$53)*(SIN(EchelleFPAparam!$T$3-EchelleFPAparam!$M$3/2)+SIN('Standard Settings'!$F28+EchelleFPAparam!$M$3))</f>
        <v>3730.4822019209555</v>
      </c>
      <c r="BR33" s="24">
        <f>EchelleFPAparam!$S$3/('crmcfgWLEN.txt'!$U33+I$53)*(SIN(EchelleFPAparam!$T$3-EchelleFPAparam!$M$3/2)+SIN('Standard Settings'!$F28+EchelleFPAparam!$M$3))</f>
        <v>3497.3270643008959</v>
      </c>
      <c r="BS33" s="24">
        <f>EchelleFPAparam!$S$3/('crmcfgWLEN.txt'!$U33+J$53)*(SIN(EchelleFPAparam!$T$3-EchelleFPAparam!$M$3/2)+SIN('Standard Settings'!$F28+EchelleFPAparam!$M$3))</f>
        <v>3291.6019428714317</v>
      </c>
      <c r="BT33" s="24">
        <f>EchelleFPAparam!$S$3/('crmcfgWLEN.txt'!$U33+K$53)*(SIN(EchelleFPAparam!$T$3-EchelleFPAparam!$M$3/2)+SIN('Standard Settings'!$F28+EchelleFPAparam!$M$3))</f>
        <v>3108.735168267463</v>
      </c>
      <c r="BU33" s="25">
        <f t="shared" si="33"/>
        <v>5987.1936574040028</v>
      </c>
      <c r="BV33" s="25">
        <f t="shared" si="2"/>
        <v>5402.7673269200059</v>
      </c>
      <c r="BW33" s="25">
        <f t="shared" si="3"/>
        <v>4922.9237268751622</v>
      </c>
      <c r="BX33" s="25">
        <f t="shared" si="4"/>
        <v>4521.7966083890369</v>
      </c>
      <c r="BY33" s="25">
        <f t="shared" si="5"/>
        <v>4181.4196109443674</v>
      </c>
      <c r="BZ33" s="25">
        <f t="shared" si="6"/>
        <v>3888.9196699562085</v>
      </c>
      <c r="CA33" s="25">
        <f t="shared" si="7"/>
        <v>3634.8288121281103</v>
      </c>
      <c r="CB33" s="25">
        <f t="shared" si="8"/>
        <v>3412.0264041959958</v>
      </c>
      <c r="CC33" s="25">
        <f t="shared" si="9"/>
        <v>3215.0530604790729</v>
      </c>
      <c r="CD33" s="25">
        <f t="shared" si="10"/>
        <v>3039.6521645281859</v>
      </c>
      <c r="CE33" s="25">
        <f t="shared" si="34"/>
        <v>6466.1691499963235</v>
      </c>
      <c r="CF33" s="25">
        <f t="shared" si="11"/>
        <v>5802.9723140992646</v>
      </c>
      <c r="CG33" s="25">
        <f t="shared" si="12"/>
        <v>5262.4357080389664</v>
      </c>
      <c r="CH33" s="25">
        <f t="shared" si="13"/>
        <v>4813.5254218334903</v>
      </c>
      <c r="CI33" s="25">
        <f t="shared" si="14"/>
        <v>4434.8389813046324</v>
      </c>
      <c r="CJ33" s="25">
        <f t="shared" si="15"/>
        <v>4111.1436510965632</v>
      </c>
      <c r="CK33" s="25">
        <f t="shared" si="16"/>
        <v>3831.3060452161162</v>
      </c>
      <c r="CL33" s="25">
        <f t="shared" si="17"/>
        <v>3587.0021172316879</v>
      </c>
      <c r="CM33" s="25">
        <f t="shared" si="18"/>
        <v>3371.8849170878079</v>
      </c>
      <c r="CN33" s="25">
        <f t="shared" si="19"/>
        <v>3181.0313349713574</v>
      </c>
      <c r="CO33" s="26">
        <f>(EchelleFPAparam!$S$3/($U33+B$53)*COS((AG33-EchelleFPAparam!$AE29)*EchelleFPAparam!$C$3/EchelleFPAparam!$E$3))*(SIN('Standard Settings'!$F28)+SIN('Standard Settings'!$F28+EchelleFPAparam!$M$3+(EchelleFPAparam!$F$3*EchelleFPAparam!$B$6)*COS(EchelleFPAparam!$AC$3)-(AG33-1024)*SIN(EchelleFPAparam!$AC$3)*EchelleFPAparam!$C$3/EchelleFPAparam!$E$3))</f>
        <v>6090.5866160867836</v>
      </c>
      <c r="CP33" s="26">
        <f>(EchelleFPAparam!$S$3/($U33+C$53)*COS((AH33-EchelleFPAparam!$AE29)*EchelleFPAparam!$C$3/EchelleFPAparam!$E$3))*(SIN('Standard Settings'!$F28)+SIN('Standard Settings'!$F28+EchelleFPAparam!$M$3+(EchelleFPAparam!$F$3*EchelleFPAparam!$B$6)*COS(EchelleFPAparam!$AC$3)-(AH33-1024)*SIN(EchelleFPAparam!$AC$3)*EchelleFPAparam!$C$3/EchelleFPAparam!$E$3))</f>
        <v>5481.8191940763445</v>
      </c>
      <c r="CQ33" s="26">
        <f>(EchelleFPAparam!$S$3/($U33+D$53)*COS((AI33-EchelleFPAparam!$AE29)*EchelleFPAparam!$C$3/EchelleFPAparam!$E$3))*(SIN('Standard Settings'!$F28)+SIN('Standard Settings'!$F28+EchelleFPAparam!$M$3+(EchelleFPAparam!$F$3*EchelleFPAparam!$B$6)*COS(EchelleFPAparam!$AC$3)-(AI33-1024)*SIN(EchelleFPAparam!$AC$3)*EchelleFPAparam!$C$3/EchelleFPAparam!$E$3))</f>
        <v>4983.8795069202442</v>
      </c>
      <c r="CR33" s="26">
        <f>(EchelleFPAparam!$S$3/($U33+E$53)*COS((AJ33-EchelleFPAparam!$AE29)*EchelleFPAparam!$C$3/EchelleFPAparam!$E$3))*(SIN('Standard Settings'!$F28)+SIN('Standard Settings'!$F28+EchelleFPAparam!$M$3+(EchelleFPAparam!$F$3*EchelleFPAparam!$B$6)*COS(EchelleFPAparam!$AC$3)-(AJ33-1024)*SIN(EchelleFPAparam!$AC$3)*EchelleFPAparam!$C$3/EchelleFPAparam!$E$3))</f>
        <v>4568.7694003130773</v>
      </c>
      <c r="CS33" s="26">
        <f>(EchelleFPAparam!$S$3/($U33+F$53)*COS((AK33-EchelleFPAparam!$AE29)*EchelleFPAparam!$C$3/EchelleFPAparam!$E$3))*(SIN('Standard Settings'!$F28)+SIN('Standard Settings'!$F28+EchelleFPAparam!$M$3+(EchelleFPAparam!$F$3*EchelleFPAparam!$B$6)*COS(EchelleFPAparam!$AC$3)-(AK33-1024)*SIN(EchelleFPAparam!$AC$3)*EchelleFPAparam!$C$3/EchelleFPAparam!$E$3))</f>
        <v>4217.4224074457197</v>
      </c>
      <c r="CT33" s="26">
        <f>(EchelleFPAparam!$S$3/($U33+G$53)*COS((AL33-EchelleFPAparam!$AE29)*EchelleFPAparam!$C$3/EchelleFPAparam!$E$3))*(SIN('Standard Settings'!$F28)+SIN('Standard Settings'!$F28+EchelleFPAparam!$M$3+(EchelleFPAparam!$F$3*EchelleFPAparam!$B$6)*COS(EchelleFPAparam!$AC$3)-(AL33-1024)*SIN(EchelleFPAparam!$AC$3)*EchelleFPAparam!$C$3/EchelleFPAparam!$E$3))</f>
        <v>3916.2142564737028</v>
      </c>
      <c r="CU33" s="26">
        <f>(EchelleFPAparam!$S$3/($U33+H$53)*COS((AM33-EchelleFPAparam!$AE29)*EchelleFPAparam!$C$3/EchelleFPAparam!$E$3))*(SIN('Standard Settings'!$F28)+SIN('Standard Settings'!$F28+EchelleFPAparam!$M$3+(EchelleFPAparam!$F$3*EchelleFPAparam!$B$6)*COS(EchelleFPAparam!$AC$3)-(AM33-1024)*SIN(EchelleFPAparam!$AC$3)*EchelleFPAparam!$C$3/EchelleFPAparam!$E$3))</f>
        <v>3655.1285691553385</v>
      </c>
      <c r="CV33" s="26">
        <f>(EchelleFPAparam!$S$3/($U33+I$53)*COS((AN33-EchelleFPAparam!$AE29)*EchelleFPAparam!$C$3/EchelleFPAparam!$E$3))*(SIN('Standard Settings'!$F28)+SIN('Standard Settings'!$F28+EchelleFPAparam!$M$3+(EchelleFPAparam!$F$3*EchelleFPAparam!$B$6)*COS(EchelleFPAparam!$AC$3)-(AN33-1024)*SIN(EchelleFPAparam!$AC$3)*EchelleFPAparam!$C$3/EchelleFPAparam!$E$3))</f>
        <v>3426.6601728966716</v>
      </c>
      <c r="CW33" s="26">
        <f>(EchelleFPAparam!$S$3/($U33+J$53)*COS((AO33-EchelleFPAparam!$AE29)*EchelleFPAparam!$C$3/EchelleFPAparam!$E$3))*(SIN('Standard Settings'!$F28)+SIN('Standard Settings'!$F28+EchelleFPAparam!$M$3+(EchelleFPAparam!$F$3*EchelleFPAparam!$B$6)*COS(EchelleFPAparam!$AC$3)-(AO33-1024)*SIN(EchelleFPAparam!$AC$3)*EchelleFPAparam!$C$3/EchelleFPAparam!$E$3))</f>
        <v>3224.4282085165328</v>
      </c>
      <c r="CX33" s="26">
        <f>(EchelleFPAparam!$S$3/($U33+K$53)*COS((AP33-EchelleFPAparam!$AE29)*EchelleFPAparam!$C$3/EchelleFPAparam!$E$3))*(SIN('Standard Settings'!$F28)+SIN('Standard Settings'!$F28+EchelleFPAparam!$M$3+(EchelleFPAparam!$F$3*EchelleFPAparam!$B$6)*COS(EchelleFPAparam!$AC$3)-(AP33-1024)*SIN(EchelleFPAparam!$AC$3)*EchelleFPAparam!$C$3/EchelleFPAparam!$E$3))</f>
        <v>3045.2933080433918</v>
      </c>
      <c r="CY33" s="26">
        <f>(EchelleFPAparam!$S$3/($U33+B$53)*COS((AG33-EchelleFPAparam!$AE29)*EchelleFPAparam!$C$3/EchelleFPAparam!$E$3))*(SIN('Standard Settings'!$F28)+SIN('Standard Settings'!$F28+EchelleFPAparam!$M$3+EchelleFPAparam!$G$3*EchelleFPAparam!$B$6*COS(EchelleFPAparam!$AC$3)-(AG33-1024)*SIN(EchelleFPAparam!$AC$3)*EchelleFPAparam!$C$3/EchelleFPAparam!$E$3))</f>
        <v>6135.6025406799608</v>
      </c>
      <c r="CZ33" s="26">
        <f>(EchelleFPAparam!$S$3/($U33+C$53)*COS((AH33-EchelleFPAparam!$AE29)*EchelleFPAparam!$C$3/EchelleFPAparam!$E$3))*(SIN('Standard Settings'!$F28)+SIN('Standard Settings'!$F28+EchelleFPAparam!$M$3+EchelleFPAparam!$G$3*EchelleFPAparam!$B$6*COS(EchelleFPAparam!$AC$3)-(AH33-1024)*SIN(EchelleFPAparam!$AC$3)*EchelleFPAparam!$C$3/EchelleFPAparam!$E$3))</f>
        <v>5522.3305154133886</v>
      </c>
      <c r="DA33" s="26">
        <f>(EchelleFPAparam!$S$3/($U33+D$53)*COS((AI33-EchelleFPAparam!$AE29)*EchelleFPAparam!$C$3/EchelleFPAparam!$E$3))*(SIN('Standard Settings'!$F28)+SIN('Standard Settings'!$F28+EchelleFPAparam!$M$3+EchelleFPAparam!$G$3*EchelleFPAparam!$B$6*COS(EchelleFPAparam!$AC$3)-(AI33-1024)*SIN(EchelleFPAparam!$AC$3)*EchelleFPAparam!$C$3/EchelleFPAparam!$E$3))</f>
        <v>5020.7018516977805</v>
      </c>
      <c r="DB33" s="26">
        <f>(EchelleFPAparam!$S$3/($U33+E$53)*COS((AJ33-EchelleFPAparam!$AE29)*EchelleFPAparam!$C$3/EchelleFPAparam!$E$3))*(SIN('Standard Settings'!$F28)+SIN('Standard Settings'!$F28+EchelleFPAparam!$M$3+EchelleFPAparam!$G$3*EchelleFPAparam!$B$6*COS(EchelleFPAparam!$AC$3)-(AJ33-1024)*SIN(EchelleFPAparam!$AC$3)*EchelleFPAparam!$C$3/EchelleFPAparam!$E$3))</f>
        <v>4602.517729632078</v>
      </c>
      <c r="DC33" s="26">
        <f>(EchelleFPAparam!$S$3/($U33+F$53)*COS((AK33-EchelleFPAparam!$AE29)*EchelleFPAparam!$C$3/EchelleFPAparam!$E$3))*(SIN('Standard Settings'!$F28)+SIN('Standard Settings'!$F28+EchelleFPAparam!$M$3+EchelleFPAparam!$G$3*EchelleFPAparam!$B$6*COS(EchelleFPAparam!$AC$3)-(AK33-1024)*SIN(EchelleFPAparam!$AC$3)*EchelleFPAparam!$C$3/EchelleFPAparam!$E$3))</f>
        <v>4248.5701211980559</v>
      </c>
      <c r="DD33" s="26">
        <f>(EchelleFPAparam!$S$3/($U33+G$53)*COS((AL33-EchelleFPAparam!$AE29)*EchelleFPAparam!$C$3/EchelleFPAparam!$E$3))*(SIN('Standard Settings'!$F28)+SIN('Standard Settings'!$F28+EchelleFPAparam!$M$3+EchelleFPAparam!$G$3*EchelleFPAparam!$B$6*COS(EchelleFPAparam!$AC$3)-(AL33-1024)*SIN(EchelleFPAparam!$AC$3)*EchelleFPAparam!$C$3/EchelleFPAparam!$E$3))</f>
        <v>3945.1327891189358</v>
      </c>
      <c r="DE33" s="26">
        <f>(EchelleFPAparam!$S$3/($U33+H$53)*COS((AM33-EchelleFPAparam!$AE29)*EchelleFPAparam!$C$3/EchelleFPAparam!$E$3))*(SIN('Standard Settings'!$F28)+SIN('Standard Settings'!$F28+EchelleFPAparam!$M$3+EchelleFPAparam!$G$3*EchelleFPAparam!$B$6*COS(EchelleFPAparam!$AC$3)-(AM33-1024)*SIN(EchelleFPAparam!$AC$3)*EchelleFPAparam!$C$3/EchelleFPAparam!$E$3))</f>
        <v>3682.1155821771681</v>
      </c>
      <c r="DF33" s="26">
        <f>(EchelleFPAparam!$S$3/($U33+I$53)*COS((AN33-EchelleFPAparam!$AE29)*EchelleFPAparam!$C$3/EchelleFPAparam!$E$3))*(SIN('Standard Settings'!$F28)+SIN('Standard Settings'!$F28+EchelleFPAparam!$M$3+EchelleFPAparam!$G$3*EchelleFPAparam!$B$6*COS(EchelleFPAparam!$AC$3)-(AN33-1024)*SIN(EchelleFPAparam!$AC$3)*EchelleFPAparam!$C$3/EchelleFPAparam!$E$3))</f>
        <v>3451.9577155307538</v>
      </c>
      <c r="DG33" s="26">
        <f>(EchelleFPAparam!$S$3/($U33+J$53)*COS((AO33-EchelleFPAparam!$AE29)*EchelleFPAparam!$C$3/EchelleFPAparam!$E$3))*(SIN('Standard Settings'!$F28)+SIN('Standard Settings'!$F28+EchelleFPAparam!$M$3+EchelleFPAparam!$G$3*EchelleFPAparam!$B$6*COS(EchelleFPAparam!$AC$3)-(AO33-1024)*SIN(EchelleFPAparam!$AC$3)*EchelleFPAparam!$C$3/EchelleFPAparam!$E$3))</f>
        <v>3248.2601685952736</v>
      </c>
      <c r="DH33" s="26">
        <f>(EchelleFPAparam!$S$3/($U33+K$53)*COS((AP33-EchelleFPAparam!$AE29)*EchelleFPAparam!$C$3/EchelleFPAparam!$E$3))*(SIN('Standard Settings'!$F28)+SIN('Standard Settings'!$F28+EchelleFPAparam!$M$3+EchelleFPAparam!$G$3*EchelleFPAparam!$B$6*COS(EchelleFPAparam!$AC$3)-(AP33-1024)*SIN(EchelleFPAparam!$AC$3)*EchelleFPAparam!$C$3/EchelleFPAparam!$E$3))</f>
        <v>3067.8012703399804</v>
      </c>
      <c r="DI33" s="26">
        <f>(EchelleFPAparam!$S$3/($U33+B$53)*COS((AQ33-EchelleFPAparam!$AE29)*EchelleFPAparam!$C$3/EchelleFPAparam!$E$3))*(SIN('Standard Settings'!$F28)+SIN('Standard Settings'!$F28+EchelleFPAparam!$M$3+EchelleFPAparam!$H$3*EchelleFPAparam!$B$6*COS(EchelleFPAparam!$AC$3)-(AQ33-1024)*SIN(EchelleFPAparam!$AC$3)*EchelleFPAparam!$C$3/EchelleFPAparam!$E$3))</f>
        <v>6138.7030100520024</v>
      </c>
      <c r="DJ33" s="26">
        <f>(EchelleFPAparam!$S$3/($U33+C$53)*COS((AR33-EchelleFPAparam!$AE29)*EchelleFPAparam!$C$3/EchelleFPAparam!$E$3))*(SIN('Standard Settings'!$F28)+SIN('Standard Settings'!$F28+EchelleFPAparam!$M$3+EchelleFPAparam!$H$3*EchelleFPAparam!$B$6*COS(EchelleFPAparam!$AC$3)-(AR33-1024)*SIN(EchelleFPAparam!$AC$3)*EchelleFPAparam!$C$3/EchelleFPAparam!$E$3))</f>
        <v>5525.1351837705124</v>
      </c>
      <c r="DK33" s="26">
        <f>(EchelleFPAparam!$S$3/($U33+D$53)*COS((AS33-EchelleFPAparam!$AE29)*EchelleFPAparam!$C$3/EchelleFPAparam!$E$3))*(SIN('Standard Settings'!$F28)+SIN('Standard Settings'!$F28+EchelleFPAparam!$M$3+EchelleFPAparam!$H$3*EchelleFPAparam!$B$6*COS(EchelleFPAparam!$AC$3)-(AS33-1024)*SIN(EchelleFPAparam!$AC$3)*EchelleFPAparam!$C$3/EchelleFPAparam!$E$3))</f>
        <v>5023.2518040869409</v>
      </c>
      <c r="DL33" s="26">
        <f>(EchelleFPAparam!$S$3/($U33+E$53)*COS((AT33-EchelleFPAparam!$AE29)*EchelleFPAparam!$C$3/EchelleFPAparam!$E$3))*(SIN('Standard Settings'!$F28)+SIN('Standard Settings'!$F28+EchelleFPAparam!$M$3+EchelleFPAparam!$H$3*EchelleFPAparam!$B$6*COS(EchelleFPAparam!$AC$3)-(AT33-1024)*SIN(EchelleFPAparam!$AC$3)*EchelleFPAparam!$C$3/EchelleFPAparam!$E$3))</f>
        <v>4604.8511557811289</v>
      </c>
      <c r="DM33" s="26">
        <f>(EchelleFPAparam!$S$3/($U33+F$53)*COS((AU33-EchelleFPAparam!$AE29)*EchelleFPAparam!$C$3/EchelleFPAparam!$E$3))*(SIN('Standard Settings'!$F28)+SIN('Standard Settings'!$F28+EchelleFPAparam!$M$3+EchelleFPAparam!$H$3*EchelleFPAparam!$B$6*COS(EchelleFPAparam!$AC$3)-(AU33-1024)*SIN(EchelleFPAparam!$AC$3)*EchelleFPAparam!$C$3/EchelleFPAparam!$E$3))</f>
        <v>4250.7212260522656</v>
      </c>
      <c r="DN33" s="26">
        <f>(EchelleFPAparam!$S$3/($U33+G$53)*COS((AV33-EchelleFPAparam!$AE29)*EchelleFPAparam!$C$3/EchelleFPAparam!$E$3))*(SIN('Standard Settings'!$F28)+SIN('Standard Settings'!$F28+EchelleFPAparam!$M$3+EchelleFPAparam!$H$3*EchelleFPAparam!$B$6*COS(EchelleFPAparam!$AC$3)-(AV33-1024)*SIN(EchelleFPAparam!$AC$3)*EchelleFPAparam!$C$3/EchelleFPAparam!$E$3))</f>
        <v>3947.1250619529919</v>
      </c>
      <c r="DO33" s="26">
        <f>(EchelleFPAparam!$S$3/($U33+H$53)*COS((AW33-EchelleFPAparam!$AE29)*EchelleFPAparam!$C$3/EchelleFPAparam!$E$3))*(SIN('Standard Settings'!$F28)+SIN('Standard Settings'!$F28+EchelleFPAparam!$M$3+EchelleFPAparam!$H$3*EchelleFPAparam!$B$6*COS(EchelleFPAparam!$AC$3)-(AW33-1024)*SIN(EchelleFPAparam!$AC$3)*EchelleFPAparam!$C$3/EchelleFPAparam!$E$3))</f>
        <v>3683.9713768414654</v>
      </c>
      <c r="DP33" s="26">
        <f>(EchelleFPAparam!$S$3/($U33+I$53)*COS((AX33-EchelleFPAparam!$AE29)*EchelleFPAparam!$C$3/EchelleFPAparam!$E$3))*(SIN('Standard Settings'!$F28)+SIN('Standard Settings'!$F28+EchelleFPAparam!$M$3+EchelleFPAparam!$H$3*EchelleFPAparam!$B$6*COS(EchelleFPAparam!$AC$3)-(AX33-1024)*SIN(EchelleFPAparam!$AC$3)*EchelleFPAparam!$C$3/EchelleFPAparam!$E$3))</f>
        <v>3453.697487259898</v>
      </c>
      <c r="DQ33" s="26">
        <f>(EchelleFPAparam!$S$3/($U33+J$53)*COS((AY33-EchelleFPAparam!$AE29)*EchelleFPAparam!$C$3/EchelleFPAparam!$E$3))*(SIN('Standard Settings'!$F28)+SIN('Standard Settings'!$F28+EchelleFPAparam!$M$3+EchelleFPAparam!$H$3*EchelleFPAparam!$B$6*COS(EchelleFPAparam!$AC$3)-(AY33-1024)*SIN(EchelleFPAparam!$AC$3)*EchelleFPAparam!$C$3/EchelleFPAparam!$E$3))</f>
        <v>3249.9015935569428</v>
      </c>
      <c r="DR33" s="26">
        <f>(EchelleFPAparam!$S$3/($U33+K$53)*COS((AZ33-EchelleFPAparam!$AE29)*EchelleFPAparam!$C$3/EchelleFPAparam!$E$3))*(SIN('Standard Settings'!$F28)+SIN('Standard Settings'!$F28+EchelleFPAparam!$M$3+EchelleFPAparam!$H$3*EchelleFPAparam!$B$6*COS(EchelleFPAparam!$AC$3)-(AZ33-1024)*SIN(EchelleFPAparam!$AC$3)*EchelleFPAparam!$C$3/EchelleFPAparam!$E$3))</f>
        <v>3069.3515050260012</v>
      </c>
      <c r="DS33" s="26">
        <f>(EchelleFPAparam!$S$3/($U33+B$53)*COS((AQ33-EchelleFPAparam!$AE29)*EchelleFPAparam!$C$3/EchelleFPAparam!$E$3))*(SIN('Standard Settings'!$F28)+SIN('Standard Settings'!$F28+EchelleFPAparam!$M$3+EchelleFPAparam!$I$3*EchelleFPAparam!$B$6*COS(EchelleFPAparam!$AC$3)-(AQ33-1024)*SIN(EchelleFPAparam!$AC$3)*EchelleFPAparam!$C$3/EchelleFPAparam!$E$3))</f>
        <v>6181.7664005031293</v>
      </c>
      <c r="DT33" s="26">
        <f>(EchelleFPAparam!$S$3/($U33+C$53)*COS((AR33-EchelleFPAparam!$AE29)*EchelleFPAparam!$C$3/EchelleFPAparam!$E$3))*(SIN('Standard Settings'!$F28)+SIN('Standard Settings'!$F28+EchelleFPAparam!$M$3+EchelleFPAparam!$I$3*EchelleFPAparam!$B$6*COS(EchelleFPAparam!$AC$3)-(AR33-1024)*SIN(EchelleFPAparam!$AC$3)*EchelleFPAparam!$C$3/EchelleFPAparam!$E$3))</f>
        <v>5563.8889187601926</v>
      </c>
      <c r="DU33" s="26">
        <f>(EchelleFPAparam!$S$3/($U33+D$53)*COS((AS33-EchelleFPAparam!$AE29)*EchelleFPAparam!$C$3/EchelleFPAparam!$E$3))*(SIN('Standard Settings'!$F28)+SIN('Standard Settings'!$F28+EchelleFPAparam!$M$3+EchelleFPAparam!$I$3*EchelleFPAparam!$B$6*COS(EchelleFPAparam!$AC$3)-(AS33-1024)*SIN(EchelleFPAparam!$AC$3)*EchelleFPAparam!$C$3/EchelleFPAparam!$E$3))</f>
        <v>5058.4760256129239</v>
      </c>
      <c r="DV33" s="26">
        <f>(EchelleFPAparam!$S$3/($U33+E$53)*COS((AT33-EchelleFPAparam!$AE29)*EchelleFPAparam!$C$3/EchelleFPAparam!$E$3))*(SIN('Standard Settings'!$F28)+SIN('Standard Settings'!$F28+EchelleFPAparam!$M$3+EchelleFPAparam!$I$3*EchelleFPAparam!$B$6*COS(EchelleFPAparam!$AC$3)-(AT33-1024)*SIN(EchelleFPAparam!$AC$3)*EchelleFPAparam!$C$3/EchelleFPAparam!$E$3))</f>
        <v>4637.1343503226062</v>
      </c>
      <c r="DW33" s="26">
        <f>(EchelleFPAparam!$S$3/($U33+F$53)*COS((AU33-EchelleFPAparam!$AE29)*EchelleFPAparam!$C$3/EchelleFPAparam!$E$3))*(SIN('Standard Settings'!$F28)+SIN('Standard Settings'!$F28+EchelleFPAparam!$M$3+EchelleFPAparam!$I$3*EchelleFPAparam!$B$6*COS(EchelleFPAparam!$AC$3)-(AU33-1024)*SIN(EchelleFPAparam!$AC$3)*EchelleFPAparam!$C$3/EchelleFPAparam!$E$3))</f>
        <v>4280.516285696729</v>
      </c>
      <c r="DX33" s="26">
        <f>(EchelleFPAparam!$S$3/($U33+G$53)*COS((AV33-EchelleFPAparam!$AE29)*EchelleFPAparam!$C$3/EchelleFPAparam!$E$3))*(SIN('Standard Settings'!$F28)+SIN('Standard Settings'!$F28+EchelleFPAparam!$M$3+EchelleFPAparam!$I$3*EchelleFPAparam!$B$6*COS(EchelleFPAparam!$AC$3)-(AV33-1024)*SIN(EchelleFPAparam!$AC$3)*EchelleFPAparam!$C$3/EchelleFPAparam!$E$3))</f>
        <v>3974.7875485675922</v>
      </c>
      <c r="DY33" s="26">
        <f>(EchelleFPAparam!$S$3/($U33+H$53)*COS((AW33-EchelleFPAparam!$AE29)*EchelleFPAparam!$C$3/EchelleFPAparam!$E$3))*(SIN('Standard Settings'!$F28)+SIN('Standard Settings'!$F28+EchelleFPAparam!$M$3+EchelleFPAparam!$I$3*EchelleFPAparam!$B$6*COS(EchelleFPAparam!$AC$3)-(AW33-1024)*SIN(EchelleFPAparam!$AC$3)*EchelleFPAparam!$C$3/EchelleFPAparam!$E$3))</f>
        <v>3709.7860116168108</v>
      </c>
      <c r="DZ33" s="26">
        <f>(EchelleFPAparam!$S$3/($U33+I$53)*COS((AX33-EchelleFPAparam!$AE29)*EchelleFPAparam!$C$3/EchelleFPAparam!$E$3))*(SIN('Standard Settings'!$F28)+SIN('Standard Settings'!$F28+EchelleFPAparam!$M$3+EchelleFPAparam!$I$3*EchelleFPAparam!$B$6*COS(EchelleFPAparam!$AC$3)-(AX33-1024)*SIN(EchelleFPAparam!$AC$3)*EchelleFPAparam!$C$3/EchelleFPAparam!$E$3))</f>
        <v>3477.8961083106642</v>
      </c>
      <c r="EA33" s="26">
        <f>(EchelleFPAparam!$S$3/($U33+J$53)*COS((AY33-EchelleFPAparam!$AE29)*EchelleFPAparam!$C$3/EchelleFPAparam!$E$3))*(SIN('Standard Settings'!$F28)+SIN('Standard Settings'!$F28+EchelleFPAparam!$M$3+EchelleFPAparam!$I$3*EchelleFPAparam!$B$6*COS(EchelleFPAparam!$AC$3)-(AY33-1024)*SIN(EchelleFPAparam!$AC$3)*EchelleFPAparam!$C$3/EchelleFPAparam!$E$3))</f>
        <v>3272.699859089892</v>
      </c>
      <c r="EB33" s="26">
        <f>(EchelleFPAparam!$S$3/($U33+K$53)*COS((AZ33-EchelleFPAparam!$AE29)*EchelleFPAparam!$C$3/EchelleFPAparam!$E$3))*(SIN('Standard Settings'!$F28)+SIN('Standard Settings'!$F28+EchelleFPAparam!$M$3+EchelleFPAparam!$I$3*EchelleFPAparam!$B$6*COS(EchelleFPAparam!$AC$3)-(AZ33-1024)*SIN(EchelleFPAparam!$AC$3)*EchelleFPAparam!$C$3/EchelleFPAparam!$E$3))</f>
        <v>3090.8832002515646</v>
      </c>
      <c r="EC33" s="26">
        <f>(EchelleFPAparam!$S$3/($U33+B$53)*COS((BA33-EchelleFPAparam!$AE29)*EchelleFPAparam!$C$3/EchelleFPAparam!$E$3))*(SIN('Standard Settings'!$F28)+SIN('Standard Settings'!$F28+EchelleFPAparam!$M$3+EchelleFPAparam!$J$3*EchelleFPAparam!$B$6*COS(EchelleFPAparam!$AC$3)-(BA33-1024)*SIN(EchelleFPAparam!$AC$3)*EchelleFPAparam!$C$3/EchelleFPAparam!$E$3))</f>
        <v>6184.8138246926646</v>
      </c>
      <c r="ED33" s="26">
        <f>(EchelleFPAparam!$S$3/($U33+C$53)*COS((BB33-EchelleFPAparam!$AE29)*EchelleFPAparam!$C$3/EchelleFPAparam!$E$3))*(SIN('Standard Settings'!$F28)+SIN('Standard Settings'!$F28+EchelleFPAparam!$M$3+EchelleFPAparam!$J$3*EchelleFPAparam!$B$6*COS(EchelleFPAparam!$AC$3)-(BB33-1024)*SIN(EchelleFPAparam!$AC$3)*EchelleFPAparam!$C$3/EchelleFPAparam!$E$3))</f>
        <v>5566.6736047261165</v>
      </c>
      <c r="EE33" s="26">
        <f>(EchelleFPAparam!$S$3/($U33+D$53)*COS((BC33-EchelleFPAparam!$AE29)*EchelleFPAparam!$C$3/EchelleFPAparam!$E$3))*(SIN('Standard Settings'!$F28)+SIN('Standard Settings'!$F28+EchelleFPAparam!$M$3+EchelleFPAparam!$J$3*EchelleFPAparam!$B$6*COS(EchelleFPAparam!$AC$3)-(BC33-1024)*SIN(EchelleFPAparam!$AC$3)*EchelleFPAparam!$C$3/EchelleFPAparam!$E$3))</f>
        <v>5060.9815188379462</v>
      </c>
      <c r="EF33" s="26">
        <f>(EchelleFPAparam!$S$3/($U33+E$53)*COS((BD33-EchelleFPAparam!$AE29)*EchelleFPAparam!$C$3/EchelleFPAparam!$E$3))*(SIN('Standard Settings'!$F28)+SIN('Standard Settings'!$F28+EchelleFPAparam!$M$3+EchelleFPAparam!$J$3*EchelleFPAparam!$B$6*COS(EchelleFPAparam!$AC$3)-(BD33-1024)*SIN(EchelleFPAparam!$AC$3)*EchelleFPAparam!$C$3/EchelleFPAparam!$E$3))</f>
        <v>4639.4271369767357</v>
      </c>
      <c r="EG33" s="26">
        <f>(EchelleFPAparam!$S$3/($U33+F$53)*COS((BE33-EchelleFPAparam!$AE29)*EchelleFPAparam!$C$3/EchelleFPAparam!$E$3))*(SIN('Standard Settings'!$F28)+SIN('Standard Settings'!$F28+EchelleFPAparam!$M$3+EchelleFPAparam!$J$3*EchelleFPAparam!$B$6*COS(EchelleFPAparam!$AC$3)-(BE33-1024)*SIN(EchelleFPAparam!$AC$3)*EchelleFPAparam!$C$3/EchelleFPAparam!$E$3))</f>
        <v>4282.6292146522783</v>
      </c>
      <c r="EH33" s="26">
        <f>(EchelleFPAparam!$S$3/($U33+G$53)*COS((BF33-EchelleFPAparam!$AE29)*EchelleFPAparam!$C$3/EchelleFPAparam!$E$3))*(SIN('Standard Settings'!$F28)+SIN('Standard Settings'!$F28+EchelleFPAparam!$M$3+EchelleFPAparam!$J$3*EchelleFPAparam!$B$6*COS(EchelleFPAparam!$AC$3)-(BF33-1024)*SIN(EchelleFPAparam!$AC$3)*EchelleFPAparam!$C$3/EchelleFPAparam!$E$3))</f>
        <v>3976.7448020901843</v>
      </c>
      <c r="EI33" s="26">
        <f>(EchelleFPAparam!$S$3/($U33+H$53)*COS((BG33-EchelleFPAparam!$AE29)*EchelleFPAparam!$C$3/EchelleFPAparam!$E$3))*(SIN('Standard Settings'!$F28)+SIN('Standard Settings'!$F28+EchelleFPAparam!$M$3+EchelleFPAparam!$J$3*EchelleFPAparam!$B$6*COS(EchelleFPAparam!$AC$3)-(BG33-1024)*SIN(EchelleFPAparam!$AC$3)*EchelleFPAparam!$C$3/EchelleFPAparam!$E$3))</f>
        <v>3711.6089282967096</v>
      </c>
      <c r="EJ33" s="26">
        <f>(EchelleFPAparam!$S$3/($U33+I$53)*COS((BH33-EchelleFPAparam!$AE29)*EchelleFPAparam!$C$3/EchelleFPAparam!$E$3))*(SIN('Standard Settings'!$F28)+SIN('Standard Settings'!$F28+EchelleFPAparam!$M$3+EchelleFPAparam!$J$3*EchelleFPAparam!$B$6*COS(EchelleFPAparam!$AC$3)-(BH33-1024)*SIN(EchelleFPAparam!$AC$3)*EchelleFPAparam!$C$3/EchelleFPAparam!$E$3))</f>
        <v>3479.607197468762</v>
      </c>
      <c r="EK33" s="26">
        <f>(EchelleFPAparam!$S$3/($U33+J$53)*COS((BI33-EchelleFPAparam!$AE29)*EchelleFPAparam!$C$3/EchelleFPAparam!$E$3))*(SIN('Standard Settings'!$F28)+SIN('Standard Settings'!$F28+EchelleFPAparam!$M$3+EchelleFPAparam!$J$3*EchelleFPAparam!$B$6*COS(EchelleFPAparam!$AC$3)-(BI33-1024)*SIN(EchelleFPAparam!$AC$3)*EchelleFPAparam!$C$3/EchelleFPAparam!$E$3))</f>
        <v>3274.3132013078816</v>
      </c>
      <c r="EL33" s="26">
        <f>(EchelleFPAparam!$S$3/($U33+K$53)*COS((BJ33-EchelleFPAparam!$AE29)*EchelleFPAparam!$C$3/EchelleFPAparam!$E$3))*(SIN('Standard Settings'!$F28)+SIN('Standard Settings'!$F28+EchelleFPAparam!$M$3+EchelleFPAparam!$J$3*EchelleFPAparam!$B$6*COS(EchelleFPAparam!$AC$3)-(BJ33-1024)*SIN(EchelleFPAparam!$AC$3)*EchelleFPAparam!$C$3/EchelleFPAparam!$E$3))</f>
        <v>3092.4069123463323</v>
      </c>
      <c r="EM33" s="26">
        <f>(EchelleFPAparam!$S$3/($U33+B$53)*COS((BA33-EchelleFPAparam!$AE29)*EchelleFPAparam!$C$3/EchelleFPAparam!$E$3))*(SIN('Standard Settings'!$F28)+SIN('Standard Settings'!$F28+EchelleFPAparam!$M$3+EchelleFPAparam!$K$3*EchelleFPAparam!$B$6*COS(EchelleFPAparam!$AC$3)-(BA33-1024)*SIN(EchelleFPAparam!$AC$3)*EchelleFPAparam!$C$3/EchelleFPAparam!$E$3))</f>
        <v>6225.8909857297031</v>
      </c>
      <c r="EN33" s="26">
        <f>(EchelleFPAparam!$S$3/($U33+C$53)*COS((BB33-EchelleFPAparam!$AE29)*EchelleFPAparam!$C$3/EchelleFPAparam!$E$3))*(SIN('Standard Settings'!$F28)+SIN('Standard Settings'!$F28+EchelleFPAparam!$M$3+EchelleFPAparam!$K$3*EchelleFPAparam!$B$6*COS(EchelleFPAparam!$AC$3)-(BB33-1024)*SIN(EchelleFPAparam!$AC$3)*EchelleFPAparam!$C$3/EchelleFPAparam!$E$3))</f>
        <v>5603.6390385617315</v>
      </c>
      <c r="EO33" s="26">
        <f>(EchelleFPAparam!$S$3/($U33+D$53)*COS((BC33-EchelleFPAparam!$AE29)*EchelleFPAparam!$C$3/EchelleFPAparam!$E$3))*(SIN('Standard Settings'!$F28)+SIN('Standard Settings'!$F28+EchelleFPAparam!$M$3+EchelleFPAparam!$K$3*EchelleFPAparam!$B$6*COS(EchelleFPAparam!$AC$3)-(BC33-1024)*SIN(EchelleFPAparam!$AC$3)*EchelleFPAparam!$C$3/EchelleFPAparam!$E$3))</f>
        <v>5094.5800483074945</v>
      </c>
      <c r="EP33" s="26">
        <f>(EchelleFPAparam!$S$3/($U33+E$53)*COS((BD33-EchelleFPAparam!$AE29)*EchelleFPAparam!$C$3/EchelleFPAparam!$E$3))*(SIN('Standard Settings'!$F28)+SIN('Standard Settings'!$F28+EchelleFPAparam!$M$3+EchelleFPAparam!$K$3*EchelleFPAparam!$B$6*COS(EchelleFPAparam!$AC$3)-(BD33-1024)*SIN(EchelleFPAparam!$AC$3)*EchelleFPAparam!$C$3/EchelleFPAparam!$E$3))</f>
        <v>4670.2199256087715</v>
      </c>
      <c r="EQ33" s="26">
        <f>(EchelleFPAparam!$S$3/($U33+F$53)*COS((BE33-EchelleFPAparam!$AE29)*EchelleFPAparam!$C$3/EchelleFPAparam!$E$3))*(SIN('Standard Settings'!$F28)+SIN('Standard Settings'!$F28+EchelleFPAparam!$M$3+EchelleFPAparam!$K$3*EchelleFPAparam!$B$6*COS(EchelleFPAparam!$AC$3)-(BE33-1024)*SIN(EchelleFPAparam!$AC$3)*EchelleFPAparam!$C$3/EchelleFPAparam!$E$3))</f>
        <v>4311.0483228777139</v>
      </c>
      <c r="ER33" s="26">
        <f>(EchelleFPAparam!$S$3/($U33+G$53)*COS((BF33-EchelleFPAparam!$AE29)*EchelleFPAparam!$C$3/EchelleFPAparam!$E$3))*(SIN('Standard Settings'!$F28)+SIN('Standard Settings'!$F28+EchelleFPAparam!$M$3+EchelleFPAparam!$K$3*EchelleFPAparam!$B$6*COS(EchelleFPAparam!$AC$3)-(BF33-1024)*SIN(EchelleFPAparam!$AC$3)*EchelleFPAparam!$C$3/EchelleFPAparam!$E$3))</f>
        <v>4003.1295808375521</v>
      </c>
      <c r="ES33" s="26">
        <f>(EchelleFPAparam!$S$3/($U33+H$53)*COS((BG33-EchelleFPAparam!$AE29)*EchelleFPAparam!$C$3/EchelleFPAparam!$E$3))*(SIN('Standard Settings'!$F28)+SIN('Standard Settings'!$F28+EchelleFPAparam!$M$3+EchelleFPAparam!$K$3*EchelleFPAparam!$B$6*COS(EchelleFPAparam!$AC$3)-(BG33-1024)*SIN(EchelleFPAparam!$AC$3)*EchelleFPAparam!$C$3/EchelleFPAparam!$E$3))</f>
        <v>3736.2309668896992</v>
      </c>
      <c r="ET33" s="26">
        <f>(EchelleFPAparam!$S$3/($U33+I$53)*COS((BH33-EchelleFPAparam!$AE29)*EchelleFPAparam!$C$3/EchelleFPAparam!$E$3))*(SIN('Standard Settings'!$F28)+SIN('Standard Settings'!$F28+EchelleFPAparam!$M$3+EchelleFPAparam!$K$3*EchelleFPAparam!$B$6*COS(EchelleFPAparam!$AC$3)-(BH33-1024)*SIN(EchelleFPAparam!$AC$3)*EchelleFPAparam!$C$3/EchelleFPAparam!$E$3))</f>
        <v>3502.6880714241634</v>
      </c>
      <c r="EU33" s="26">
        <f>(EchelleFPAparam!$S$3/($U33+J$53)*COS((BI33-EchelleFPAparam!$AE29)*EchelleFPAparam!$C$3/EchelleFPAparam!$E$3))*(SIN('Standard Settings'!$F28)+SIN('Standard Settings'!$F28+EchelleFPAparam!$M$3+EchelleFPAparam!$K$3*EchelleFPAparam!$B$6*COS(EchelleFPAparam!$AC$3)-(BI33-1024)*SIN(EchelleFPAparam!$AC$3)*EchelleFPAparam!$C$3/EchelleFPAparam!$E$3))</f>
        <v>3296.0599336216073</v>
      </c>
      <c r="EV33" s="26">
        <f>(EchelleFPAparam!$S$3/($U33+K$53)*COS((BJ33-EchelleFPAparam!$AE29)*EchelleFPAparam!$C$3/EchelleFPAparam!$E$3))*(SIN('Standard Settings'!$F28)+SIN('Standard Settings'!$F28+EchelleFPAparam!$M$3+EchelleFPAparam!$K$3*EchelleFPAparam!$B$6*COS(EchelleFPAparam!$AC$3)-(BJ33-1024)*SIN(EchelleFPAparam!$AC$3)*EchelleFPAparam!$C$3/EchelleFPAparam!$E$3))</f>
        <v>3112.9454928648515</v>
      </c>
      <c r="EW33" s="60">
        <f t="shared" si="40"/>
        <v>3426.6601728966716</v>
      </c>
      <c r="EX33" s="60">
        <f t="shared" si="41"/>
        <v>5603.6390385617315</v>
      </c>
      <c r="EY33" s="90">
        <v>0.39</v>
      </c>
      <c r="EZ33" s="90">
        <v>0.36</v>
      </c>
      <c r="FA33" s="50">
        <v>30000</v>
      </c>
      <c r="FB33" s="95">
        <v>1000</v>
      </c>
      <c r="FC33" s="95">
        <v>1000</v>
      </c>
      <c r="FD33" s="50">
        <v>4500</v>
      </c>
      <c r="FE33" s="50">
        <v>3950</v>
      </c>
      <c r="FF33" s="50">
        <v>5000</v>
      </c>
      <c r="FG33" s="95">
        <v>1000</v>
      </c>
      <c r="FH33" s="95">
        <f t="shared" si="27"/>
        <v>250</v>
      </c>
      <c r="FI33" s="95">
        <f t="shared" si="28"/>
        <v>250</v>
      </c>
      <c r="FJ33" s="50">
        <f t="shared" si="29"/>
        <v>1125</v>
      </c>
      <c r="FK33" s="50">
        <f t="shared" si="30"/>
        <v>987.5</v>
      </c>
      <c r="FL33" s="50">
        <f t="shared" si="31"/>
        <v>1250</v>
      </c>
      <c r="FM33" s="95">
        <f t="shared" si="32"/>
        <v>250</v>
      </c>
      <c r="FN33" s="50">
        <v>500</v>
      </c>
      <c r="FO33" s="91">
        <f>1/(F33*EchelleFPAparam!$Q$3)</f>
        <v>-2613.5241226400276</v>
      </c>
      <c r="FP33" s="91">
        <f t="shared" si="22"/>
        <v>-38.022513240382615</v>
      </c>
      <c r="FQ33" s="50">
        <v>-999999</v>
      </c>
      <c r="FR33" s="50">
        <v>-999999</v>
      </c>
      <c r="FS33" s="90">
        <v>1</v>
      </c>
      <c r="FT33" s="90">
        <v>1167.9870000000001</v>
      </c>
      <c r="FU33" s="90">
        <v>1553.78</v>
      </c>
      <c r="FV33" s="50">
        <v>-999999</v>
      </c>
      <c r="FW33" s="50">
        <v>-999999</v>
      </c>
      <c r="FX33" s="50">
        <v>-999999</v>
      </c>
      <c r="FY33" s="90">
        <v>3</v>
      </c>
      <c r="FZ33" s="90">
        <v>590.54</v>
      </c>
      <c r="GA33" s="90">
        <v>1846.1279999999999</v>
      </c>
      <c r="GB33" s="50">
        <v>-999999</v>
      </c>
      <c r="GC33" s="50">
        <v>-999999</v>
      </c>
      <c r="GD33" s="50">
        <v>-999999</v>
      </c>
      <c r="GE33" s="90">
        <v>3</v>
      </c>
      <c r="GF33" s="90">
        <v>1881.3589999999999</v>
      </c>
      <c r="GG33" s="90">
        <v>1620.3910000000001</v>
      </c>
      <c r="GH33" s="50">
        <v>-999999</v>
      </c>
      <c r="GI33" s="50">
        <v>-999999</v>
      </c>
      <c r="GJ33" s="50">
        <v>-999999</v>
      </c>
      <c r="GK33" s="50">
        <v>-999999</v>
      </c>
      <c r="GL33" s="50">
        <v>-999999</v>
      </c>
      <c r="GM33" s="50">
        <v>-999999</v>
      </c>
      <c r="GN33" s="50">
        <v>-999999</v>
      </c>
      <c r="GO33" s="50">
        <v>-999999</v>
      </c>
      <c r="GP33" s="50">
        <v>-999999</v>
      </c>
      <c r="GQ33" s="50">
        <v>-999999</v>
      </c>
      <c r="GR33" s="50">
        <v>-999999</v>
      </c>
      <c r="GS33" s="50">
        <v>-999999</v>
      </c>
      <c r="GT33" s="50">
        <v>-999999</v>
      </c>
      <c r="GU33" s="50">
        <v>-999999</v>
      </c>
      <c r="GV33" s="50">
        <v>-999999</v>
      </c>
      <c r="GW33" s="50">
        <v>-999999</v>
      </c>
      <c r="GX33" s="50">
        <v>-999999</v>
      </c>
      <c r="GY33" s="50">
        <v>-999999</v>
      </c>
      <c r="GZ33" s="50">
        <v>-999999</v>
      </c>
      <c r="HA33" s="50">
        <v>-999999</v>
      </c>
      <c r="HB33" s="50">
        <v>-999999</v>
      </c>
      <c r="HC33" s="50">
        <v>-999999</v>
      </c>
      <c r="HD33" s="50">
        <v>-999999</v>
      </c>
      <c r="HE33" s="50">
        <v>-999999</v>
      </c>
      <c r="HF33" s="50">
        <v>-999999</v>
      </c>
      <c r="HG33" s="50">
        <v>-999999</v>
      </c>
      <c r="HH33" s="50">
        <v>-999999</v>
      </c>
      <c r="HI33" s="50">
        <v>-999999</v>
      </c>
      <c r="HJ33" s="50">
        <v>-999999</v>
      </c>
      <c r="HK33" s="50">
        <v>-999999</v>
      </c>
      <c r="HL33" s="50">
        <v>-999999</v>
      </c>
      <c r="HM33" s="50">
        <v>-999999</v>
      </c>
      <c r="HN33" s="50">
        <v>-999999</v>
      </c>
      <c r="HO33" s="50">
        <v>-999999</v>
      </c>
      <c r="HP33" s="50">
        <v>-999999</v>
      </c>
      <c r="HQ33" s="50">
        <v>-999999</v>
      </c>
      <c r="HR33" s="50">
        <v>-999999</v>
      </c>
      <c r="HS33" s="50">
        <v>-999999</v>
      </c>
      <c r="HT33" s="50">
        <v>-999999</v>
      </c>
      <c r="HU33" s="50">
        <v>-999999</v>
      </c>
      <c r="HV33" s="50">
        <v>-999999</v>
      </c>
      <c r="HW33" s="50">
        <v>-999999</v>
      </c>
      <c r="HX33" s="50">
        <v>-999999</v>
      </c>
      <c r="HY33" s="50"/>
      <c r="HZ33" s="50"/>
      <c r="IA33" s="50"/>
      <c r="IB33" s="50"/>
      <c r="IC33" s="50"/>
      <c r="ID33" s="50"/>
      <c r="IE33" s="50"/>
      <c r="IF33" s="50"/>
      <c r="IG33" s="50"/>
      <c r="IH33" s="50"/>
      <c r="II33" s="50"/>
      <c r="IJ33" s="50"/>
      <c r="IK33" s="50"/>
      <c r="IL33" s="50"/>
      <c r="IM33" s="50"/>
      <c r="IN33" s="50"/>
      <c r="IO33" s="50"/>
      <c r="IP33" s="50"/>
      <c r="IQ33" s="50"/>
      <c r="IR33" s="50"/>
      <c r="IS33" s="50"/>
      <c r="IT33" s="50"/>
      <c r="IU33" s="50"/>
      <c r="IV33" s="50"/>
      <c r="IW33" s="50"/>
      <c r="IX33" s="50"/>
      <c r="IY33" s="50"/>
      <c r="IZ33" s="50"/>
      <c r="JA33" s="50"/>
      <c r="JB33" s="50"/>
      <c r="JC33" s="50"/>
      <c r="JD33" s="50"/>
      <c r="JE33" s="50"/>
      <c r="JF33" s="50"/>
      <c r="JG33" s="50"/>
      <c r="JH33" s="50"/>
      <c r="JI33" s="50"/>
      <c r="JJ33" s="50"/>
      <c r="JK33" s="50"/>
      <c r="JL33" s="50"/>
      <c r="JM33" s="50"/>
      <c r="JN33" s="50"/>
      <c r="JO33" s="50"/>
      <c r="JP33" s="50"/>
      <c r="JQ33" s="50"/>
      <c r="JR33" s="50"/>
      <c r="JS33" s="50"/>
      <c r="JT33" s="50"/>
      <c r="JU33" s="50"/>
      <c r="JV33" s="50"/>
      <c r="JW33" s="52">
        <f t="shared" si="23"/>
        <v>2761.1766738479669</v>
      </c>
      <c r="JX33" s="27">
        <f t="shared" si="24"/>
        <v>293208.55785613967</v>
      </c>
      <c r="JY33" s="107">
        <f>JW33*EchelleFPAparam!$Q$3</f>
        <v>-2.6300207818401884E-2</v>
      </c>
      <c r="KA33" s="19"/>
      <c r="KB33" s="19"/>
      <c r="KC33" s="19"/>
      <c r="KD33" s="19"/>
      <c r="KE33" s="19"/>
      <c r="KF33" s="19"/>
      <c r="KG33" s="19"/>
      <c r="KH33" s="19"/>
      <c r="KI33" s="19"/>
      <c r="KJ33" s="19"/>
      <c r="KK33" s="19"/>
      <c r="KL33" s="19"/>
      <c r="KM33" s="19"/>
      <c r="KW33" s="19"/>
      <c r="KX33" s="19"/>
      <c r="KY33" s="19"/>
      <c r="KZ33" s="19"/>
      <c r="LA33" s="19"/>
      <c r="LB33" s="19"/>
      <c r="LC33" s="19"/>
      <c r="LD33" s="19"/>
      <c r="LE33" s="19"/>
      <c r="LF33" s="19"/>
    </row>
    <row r="34" spans="1:318" x14ac:dyDescent="0.2">
      <c r="A34" s="53">
        <f t="shared" si="35"/>
        <v>28</v>
      </c>
      <c r="B34" s="96">
        <f t="shared" si="0"/>
        <v>4210.9883334692731</v>
      </c>
      <c r="C34" s="27" t="str">
        <f>'Standard Settings'!B29</f>
        <v>M/8/9</v>
      </c>
      <c r="D34" s="27">
        <f>'Standard Settings'!H29</f>
        <v>13</v>
      </c>
      <c r="E34" s="19">
        <f t="shared" si="1"/>
        <v>1.5131594371530444E-2</v>
      </c>
      <c r="F34" s="18">
        <f>((EchelleFPAparam!$S$3/('crmcfgWLEN.txt'!$U34+F$53))*(SIN('Standard Settings'!$F29+0.0005)+SIN('Standard Settings'!$F29+0.0005+EchelleFPAparam!$M$3))-(EchelleFPAparam!$S$3/('crmcfgWLEN.txt'!$U34+F$53))*(SIN('Standard Settings'!$F29-0.0005)+SIN('Standard Settings'!$F29-0.0005+EchelleFPAparam!$M$3)))*1000*EchelleFPAparam!$O$3/180</f>
        <v>41.892342473280721</v>
      </c>
      <c r="G34" s="20" t="str">
        <f>'Standard Settings'!C29</f>
        <v>M</v>
      </c>
      <c r="H34" s="46"/>
      <c r="I34" s="59" t="s">
        <v>361</v>
      </c>
      <c r="J34" s="57"/>
      <c r="K34" s="27" t="str">
        <f>'Standard Settings'!$D29</f>
        <v>LM</v>
      </c>
      <c r="L34" s="46"/>
      <c r="M34" s="12">
        <v>2.5</v>
      </c>
      <c r="N34" s="12">
        <v>2.5</v>
      </c>
      <c r="O34" s="47" t="s">
        <v>384</v>
      </c>
      <c r="P34" s="47" t="s">
        <v>384</v>
      </c>
      <c r="Q34" s="27">
        <f>'Standard Settings'!$E29</f>
        <v>61.920450000000002</v>
      </c>
      <c r="R34" s="106">
        <f>'Standard Settings'!$J29</f>
        <v>890000</v>
      </c>
      <c r="S34" s="21">
        <f>'Standard Settings'!$G29</f>
        <v>10</v>
      </c>
      <c r="T34" s="21">
        <f>'Standard Settings'!$I29</f>
        <v>16</v>
      </c>
      <c r="U34" s="22">
        <f t="shared" si="25"/>
        <v>9</v>
      </c>
      <c r="V34" s="22">
        <f t="shared" si="26"/>
        <v>18</v>
      </c>
      <c r="W34" s="23">
        <f>IF(AND($U34-$S34+B$53&gt;=0,$U34-$T34+B$53&lt;=0),(EchelleFPAparam!$S$3/('crmcfgWLEN.txt'!$U34+B$53))*(SIN('Standard Settings'!$F29)+SIN('Standard Settings'!$F29+EchelleFPAparam!$M$3)),-1)</f>
        <v>-1</v>
      </c>
      <c r="X34" s="23">
        <f>IF(AND($U34-$S34+C$53&gt;=0,$U34-$T34+C$53&lt;=0),(EchelleFPAparam!$S$3/('crmcfgWLEN.txt'!$U34+C$53))*(SIN('Standard Settings'!$F29)+SIN('Standard Settings'!$F29+EchelleFPAparam!$M$3)),-1)</f>
        <v>5474.2848335100553</v>
      </c>
      <c r="Y34" s="23">
        <f>IF(AND($U34-$S34+D$53&gt;=0,$U34-$T34+D$53&lt;=0),(EchelleFPAparam!$S$3/('crmcfgWLEN.txt'!$U34+D$53))*(SIN('Standard Settings'!$F29)+SIN('Standard Settings'!$F29+EchelleFPAparam!$M$3)),-1)</f>
        <v>4976.6225759182325</v>
      </c>
      <c r="Z34" s="23">
        <f>IF(AND($U34-$S34+E$53&gt;=0,$U34-$T34+E$53&lt;=0),(EchelleFPAparam!$S$3/('crmcfgWLEN.txt'!$U34+E$53))*(SIN('Standard Settings'!$F29)+SIN('Standard Settings'!$F29+EchelleFPAparam!$M$3)),-1)</f>
        <v>4561.9040279250457</v>
      </c>
      <c r="AA34" s="23">
        <f>IF(AND($U34-$S34+F$53&gt;=0,$U34-$T34+F$53&lt;=0),(EchelleFPAparam!$S$3/('crmcfgWLEN.txt'!$U34+F$53))*(SIN('Standard Settings'!$F29)+SIN('Standard Settings'!$F29+EchelleFPAparam!$M$3)),-1)</f>
        <v>4210.9883334692731</v>
      </c>
      <c r="AB34" s="23">
        <f>IF(AND($U34-$S34+G$53&gt;=0,$U34-$T34+G$53&lt;=0),(EchelleFPAparam!$S$3/('crmcfgWLEN.txt'!$U34+G$53))*(SIN('Standard Settings'!$F29)+SIN('Standard Settings'!$F29+EchelleFPAparam!$M$3)),-1)</f>
        <v>3910.2034525071822</v>
      </c>
      <c r="AC34" s="23">
        <f>IF(AND($U34-$S34+H$53&gt;=0,$U34-$T34+H$53&lt;=0),(EchelleFPAparam!$S$3/('crmcfgWLEN.txt'!$U34+H$53))*(SIN('Standard Settings'!$F29)+SIN('Standard Settings'!$F29+EchelleFPAparam!$M$3)),-1)</f>
        <v>3649.5232223400367</v>
      </c>
      <c r="AD34" s="23">
        <f>IF(AND($U34-$S34+I$53&gt;=0,$U34-$T34+I$53&lt;=0),(EchelleFPAparam!$S$3/('crmcfgWLEN.txt'!$U34+I$53))*(SIN('Standard Settings'!$F29)+SIN('Standard Settings'!$F29+EchelleFPAparam!$M$3)),-1)</f>
        <v>3421.4280209437843</v>
      </c>
      <c r="AE34" s="23">
        <f>IF(AND($U34-$S34+J$53&gt;=0,$U34-$T34+J$53&lt;=0),(EchelleFPAparam!$S$3/('crmcfgWLEN.txt'!$U34+J$53))*(SIN('Standard Settings'!$F29)+SIN('Standard Settings'!$F29+EchelleFPAparam!$M$3)),-1)</f>
        <v>-1</v>
      </c>
      <c r="AF34" s="23">
        <f>IF(AND($U34-$S34+K$53&gt;=0,$U34-$T34+K$53&lt;=0),(EchelleFPAparam!$S$3/('crmcfgWLEN.txt'!$U34+K$53))*(SIN('Standard Settings'!$F29)+SIN('Standard Settings'!$F29+EchelleFPAparam!$M$3)),-1)</f>
        <v>-1</v>
      </c>
      <c r="AG34" s="159">
        <v>-100.1</v>
      </c>
      <c r="AH34" s="157">
        <v>197.06266941450301</v>
      </c>
      <c r="AI34" s="157">
        <v>644.55656020017398</v>
      </c>
      <c r="AJ34" s="157">
        <v>1018.35727593429</v>
      </c>
      <c r="AK34" s="157">
        <v>1335.6514856875001</v>
      </c>
      <c r="AL34" s="157">
        <v>1608.2654074741299</v>
      </c>
      <c r="AM34" s="157">
        <v>1845.2809592292299</v>
      </c>
      <c r="AN34" s="159">
        <v>-100.1</v>
      </c>
      <c r="AO34" s="159">
        <v>-100.1</v>
      </c>
      <c r="AP34" s="159">
        <v>-100.1</v>
      </c>
      <c r="AQ34" s="160">
        <v>-100.1</v>
      </c>
      <c r="AR34" s="157">
        <v>211.76711353473999</v>
      </c>
      <c r="AS34" s="157">
        <v>662.47323889601796</v>
      </c>
      <c r="AT34" s="157">
        <v>1039.20136530217</v>
      </c>
      <c r="AU34" s="157">
        <v>1357.92144660843</v>
      </c>
      <c r="AV34" s="157">
        <v>1632.9159597263799</v>
      </c>
      <c r="AW34" s="157">
        <v>1871.87254754798</v>
      </c>
      <c r="AX34" s="160">
        <v>-100.1</v>
      </c>
      <c r="AY34" s="160">
        <v>-100.1</v>
      </c>
      <c r="AZ34" s="160">
        <v>-100.1</v>
      </c>
      <c r="BA34" s="161">
        <v>-100.1</v>
      </c>
      <c r="BB34" s="157">
        <v>225.41917317622699</v>
      </c>
      <c r="BC34" s="157">
        <v>679.95802817691299</v>
      </c>
      <c r="BD34" s="157">
        <v>1059.7704082591899</v>
      </c>
      <c r="BE34" s="157">
        <v>1376.61532729347</v>
      </c>
      <c r="BF34" s="157">
        <v>1658.2830145636501</v>
      </c>
      <c r="BG34" s="157">
        <v>1899.00609881424</v>
      </c>
      <c r="BH34" s="161">
        <v>-100.1</v>
      </c>
      <c r="BI34" s="161">
        <v>-100.1</v>
      </c>
      <c r="BJ34" s="161">
        <v>-100.1</v>
      </c>
      <c r="BK34" s="24">
        <f>EchelleFPAparam!$S$3/('crmcfgWLEN.txt'!$U34+B$53)*(SIN(EchelleFPAparam!$T$3-EchelleFPAparam!$M$3/2)+SIN('Standard Settings'!$F29+EchelleFPAparam!$M$3))</f>
        <v>6175.9573943747655</v>
      </c>
      <c r="BL34" s="24">
        <f>EchelleFPAparam!$S$3/('crmcfgWLEN.txt'!$U34+C$53)*(SIN(EchelleFPAparam!$T$3-EchelleFPAparam!$M$3/2)+SIN('Standard Settings'!$F29+EchelleFPAparam!$M$3))</f>
        <v>5558.3616549372891</v>
      </c>
      <c r="BM34" s="24">
        <f>EchelleFPAparam!$S$3/('crmcfgWLEN.txt'!$U34+D$53)*(SIN(EchelleFPAparam!$T$3-EchelleFPAparam!$M$3/2)+SIN('Standard Settings'!$F29+EchelleFPAparam!$M$3))</f>
        <v>5053.0560499429903</v>
      </c>
      <c r="BN34" s="24">
        <f>EchelleFPAparam!$S$3/('crmcfgWLEN.txt'!$U34+E$53)*(SIN(EchelleFPAparam!$T$3-EchelleFPAparam!$M$3/2)+SIN('Standard Settings'!$F29+EchelleFPAparam!$M$3))</f>
        <v>4631.9680457810737</v>
      </c>
      <c r="BO34" s="24">
        <f>EchelleFPAparam!$S$3/('crmcfgWLEN.txt'!$U34+F$53)*(SIN(EchelleFPAparam!$T$3-EchelleFPAparam!$M$3/2)+SIN('Standard Settings'!$F29+EchelleFPAparam!$M$3))</f>
        <v>4275.6628114902223</v>
      </c>
      <c r="BP34" s="24">
        <f>EchelleFPAparam!$S$3/('crmcfgWLEN.txt'!$U34+G$53)*(SIN(EchelleFPAparam!$T$3-EchelleFPAparam!$M$3/2)+SIN('Standard Settings'!$F29+EchelleFPAparam!$M$3))</f>
        <v>3970.2583249552063</v>
      </c>
      <c r="BQ34" s="24">
        <f>EchelleFPAparam!$S$3/('crmcfgWLEN.txt'!$U34+H$53)*(SIN(EchelleFPAparam!$T$3-EchelleFPAparam!$M$3/2)+SIN('Standard Settings'!$F29+EchelleFPAparam!$M$3))</f>
        <v>3705.5744366248591</v>
      </c>
      <c r="BR34" s="24">
        <f>EchelleFPAparam!$S$3/('crmcfgWLEN.txt'!$U34+I$53)*(SIN(EchelleFPAparam!$T$3-EchelleFPAparam!$M$3/2)+SIN('Standard Settings'!$F29+EchelleFPAparam!$M$3))</f>
        <v>3473.9760343358057</v>
      </c>
      <c r="BS34" s="24">
        <f>EchelleFPAparam!$S$3/('crmcfgWLEN.txt'!$U34+J$53)*(SIN(EchelleFPAparam!$T$3-EchelleFPAparam!$M$3/2)+SIN('Standard Settings'!$F29+EchelleFPAparam!$M$3))</f>
        <v>3269.6245029042875</v>
      </c>
      <c r="BT34" s="24">
        <f>EchelleFPAparam!$S$3/('crmcfgWLEN.txt'!$U34+K$53)*(SIN(EchelleFPAparam!$T$3-EchelleFPAparam!$M$3/2)+SIN('Standard Settings'!$F29+EchelleFPAparam!$M$3))</f>
        <v>3087.9786971873827</v>
      </c>
      <c r="BU34" s="25">
        <f t="shared" si="33"/>
        <v>5947.2182316201443</v>
      </c>
      <c r="BV34" s="25">
        <f t="shared" si="2"/>
        <v>5366.6940116635897</v>
      </c>
      <c r="BW34" s="25">
        <f t="shared" si="3"/>
        <v>4890.0542418803134</v>
      </c>
      <c r="BX34" s="25">
        <f t="shared" si="4"/>
        <v>4491.6053777271018</v>
      </c>
      <c r="BY34" s="25">
        <f t="shared" si="5"/>
        <v>4153.5010168762155</v>
      </c>
      <c r="BZ34" s="25">
        <f t="shared" si="6"/>
        <v>3862.9540459023629</v>
      </c>
      <c r="CA34" s="25">
        <f t="shared" si="7"/>
        <v>3610.5597074806319</v>
      </c>
      <c r="CB34" s="25">
        <f t="shared" si="8"/>
        <v>3389.2449115471272</v>
      </c>
      <c r="CC34" s="25">
        <f t="shared" si="9"/>
        <v>3193.5867237669781</v>
      </c>
      <c r="CD34" s="25">
        <f t="shared" si="10"/>
        <v>3019.3569483609963</v>
      </c>
      <c r="CE34" s="25">
        <f t="shared" si="34"/>
        <v>6422.9956901497562</v>
      </c>
      <c r="CF34" s="25">
        <f t="shared" si="11"/>
        <v>5764.2269014164476</v>
      </c>
      <c r="CG34" s="25">
        <f t="shared" si="12"/>
        <v>5227.2993620099905</v>
      </c>
      <c r="CH34" s="25">
        <f t="shared" si="13"/>
        <v>4781.3863698385276</v>
      </c>
      <c r="CI34" s="25">
        <f t="shared" si="14"/>
        <v>4405.2283512323502</v>
      </c>
      <c r="CJ34" s="25">
        <f t="shared" si="15"/>
        <v>4083.694277096783</v>
      </c>
      <c r="CK34" s="25">
        <f t="shared" si="16"/>
        <v>3805.7250970741793</v>
      </c>
      <c r="CL34" s="25">
        <f t="shared" si="17"/>
        <v>3563.0523429085183</v>
      </c>
      <c r="CM34" s="25">
        <f t="shared" si="18"/>
        <v>3349.371441999514</v>
      </c>
      <c r="CN34" s="25">
        <f t="shared" si="19"/>
        <v>3159.792155261508</v>
      </c>
      <c r="CO34" s="26">
        <f>(EchelleFPAparam!$S$3/($U34+B$53)*COS((AG34-EchelleFPAparam!$AE30)*EchelleFPAparam!$C$3/EchelleFPAparam!$E$3))*(SIN('Standard Settings'!$F29)+SIN('Standard Settings'!$F29+EchelleFPAparam!$M$3+(EchelleFPAparam!$F$3*EchelleFPAparam!$B$6)*COS(EchelleFPAparam!$AC$3)-(AG34-1024)*SIN(EchelleFPAparam!$AC$3)*EchelleFPAparam!$C$3/EchelleFPAparam!$E$3))</f>
        <v>6008.8551311228875</v>
      </c>
      <c r="CP34" s="26">
        <f>(EchelleFPAparam!$S$3/($U34+C$53)*COS((AH34-EchelleFPAparam!$AE30)*EchelleFPAparam!$C$3/EchelleFPAparam!$E$3))*(SIN('Standard Settings'!$F29)+SIN('Standard Settings'!$F29+EchelleFPAparam!$M$3+(EchelleFPAparam!$F$3*EchelleFPAparam!$B$6)*COS(EchelleFPAparam!$AC$3)-(AH34-1024)*SIN(EchelleFPAparam!$AC$3)*EchelleFPAparam!$C$3/EchelleFPAparam!$E$3))</f>
        <v>5408.3390100192719</v>
      </c>
      <c r="CQ34" s="26">
        <f>(EchelleFPAparam!$S$3/($U34+D$53)*COS((AI34-EchelleFPAparam!$AE30)*EchelleFPAparam!$C$3/EchelleFPAparam!$E$3))*(SIN('Standard Settings'!$F29)+SIN('Standard Settings'!$F29+EchelleFPAparam!$M$3+(EchelleFPAparam!$F$3*EchelleFPAparam!$B$6)*COS(EchelleFPAparam!$AC$3)-(AI34-1024)*SIN(EchelleFPAparam!$AC$3)*EchelleFPAparam!$C$3/EchelleFPAparam!$E$3))</f>
        <v>4917.0614061331589</v>
      </c>
      <c r="CR34" s="26">
        <f>(EchelleFPAparam!$S$3/($U34+E$53)*COS((AJ34-EchelleFPAparam!$AE30)*EchelleFPAparam!$C$3/EchelleFPAparam!$E$3))*(SIN('Standard Settings'!$F29)+SIN('Standard Settings'!$F29+EchelleFPAparam!$M$3+(EchelleFPAparam!$F$3*EchelleFPAparam!$B$6)*COS(EchelleFPAparam!$AC$3)-(AJ34-1024)*SIN(EchelleFPAparam!$AC$3)*EchelleFPAparam!$C$3/EchelleFPAparam!$E$3))</f>
        <v>4507.506519521</v>
      </c>
      <c r="CS34" s="26">
        <f>(EchelleFPAparam!$S$3/($U34+F$53)*COS((AK34-EchelleFPAparam!$AE30)*EchelleFPAparam!$C$3/EchelleFPAparam!$E$3))*(SIN('Standard Settings'!$F29)+SIN('Standard Settings'!$F29+EchelleFPAparam!$M$3+(EchelleFPAparam!$F$3*EchelleFPAparam!$B$6)*COS(EchelleFPAparam!$AC$3)-(AK34-1024)*SIN(EchelleFPAparam!$AC$3)*EchelleFPAparam!$C$3/EchelleFPAparam!$E$3))</f>
        <v>4160.8674669965812</v>
      </c>
      <c r="CT34" s="26">
        <f>(EchelleFPAparam!$S$3/($U34+G$53)*COS((AL34-EchelleFPAparam!$AE30)*EchelleFPAparam!$C$3/EchelleFPAparam!$E$3))*(SIN('Standard Settings'!$F29)+SIN('Standard Settings'!$F29+EchelleFPAparam!$M$3+(EchelleFPAparam!$F$3*EchelleFPAparam!$B$6)*COS(EchelleFPAparam!$AC$3)-(AL34-1024)*SIN(EchelleFPAparam!$AC$3)*EchelleFPAparam!$C$3/EchelleFPAparam!$E$3))</f>
        <v>3863.6921768537582</v>
      </c>
      <c r="CU34" s="26">
        <f>(EchelleFPAparam!$S$3/($U34+H$53)*COS((AM34-EchelleFPAparam!$AE30)*EchelleFPAparam!$C$3/EchelleFPAparam!$E$3))*(SIN('Standard Settings'!$F29)+SIN('Standard Settings'!$F29+EchelleFPAparam!$M$3+(EchelleFPAparam!$F$3*EchelleFPAparam!$B$6)*COS(EchelleFPAparam!$AC$3)-(AM34-1024)*SIN(EchelleFPAparam!$AC$3)*EchelleFPAparam!$C$3/EchelleFPAparam!$E$3))</f>
        <v>3606.1057819519524</v>
      </c>
      <c r="CV34" s="26">
        <f>(EchelleFPAparam!$S$3/($U34+I$53)*COS((AN34-EchelleFPAparam!$AE30)*EchelleFPAparam!$C$3/EchelleFPAparam!$E$3))*(SIN('Standard Settings'!$F29)+SIN('Standard Settings'!$F29+EchelleFPAparam!$M$3+(EchelleFPAparam!$F$3*EchelleFPAparam!$B$6)*COS(EchelleFPAparam!$AC$3)-(AN34-1024)*SIN(EchelleFPAparam!$AC$3)*EchelleFPAparam!$C$3/EchelleFPAparam!$E$3))</f>
        <v>3379.9810112566242</v>
      </c>
      <c r="CW34" s="26">
        <f>(EchelleFPAparam!$S$3/($U34+J$53)*COS((AO34-EchelleFPAparam!$AE30)*EchelleFPAparam!$C$3/EchelleFPAparam!$E$3))*(SIN('Standard Settings'!$F29)+SIN('Standard Settings'!$F29+EchelleFPAparam!$M$3+(EchelleFPAparam!$F$3*EchelleFPAparam!$B$6)*COS(EchelleFPAparam!$AC$3)-(AO34-1024)*SIN(EchelleFPAparam!$AC$3)*EchelleFPAparam!$C$3/EchelleFPAparam!$E$3))</f>
        <v>3181.1585988297638</v>
      </c>
      <c r="CX34" s="26">
        <f>(EchelleFPAparam!$S$3/($U34+K$53)*COS((AP34-EchelleFPAparam!$AE30)*EchelleFPAparam!$C$3/EchelleFPAparam!$E$3))*(SIN('Standard Settings'!$F29)+SIN('Standard Settings'!$F29+EchelleFPAparam!$M$3+(EchelleFPAparam!$F$3*EchelleFPAparam!$B$6)*COS(EchelleFPAparam!$AC$3)-(AP34-1024)*SIN(EchelleFPAparam!$AC$3)*EchelleFPAparam!$C$3/EchelleFPAparam!$E$3))</f>
        <v>3004.4275655614438</v>
      </c>
      <c r="CY34" s="26">
        <f>(EchelleFPAparam!$S$3/($U34+B$53)*COS((AG34-EchelleFPAparam!$AE30)*EchelleFPAparam!$C$3/EchelleFPAparam!$E$3))*(SIN('Standard Settings'!$F29)+SIN('Standard Settings'!$F29+EchelleFPAparam!$M$3+EchelleFPAparam!$G$3*EchelleFPAparam!$B$6*COS(EchelleFPAparam!$AC$3)-(AG34-1024)*SIN(EchelleFPAparam!$AC$3)*EchelleFPAparam!$C$3/EchelleFPAparam!$E$3))</f>
        <v>6055.569661694647</v>
      </c>
      <c r="CZ34" s="26">
        <f>(EchelleFPAparam!$S$3/($U34+C$53)*COS((AH34-EchelleFPAparam!$AE30)*EchelleFPAparam!$C$3/EchelleFPAparam!$E$3))*(SIN('Standard Settings'!$F29)+SIN('Standard Settings'!$F29+EchelleFPAparam!$M$3+EchelleFPAparam!$G$3*EchelleFPAparam!$B$6*COS(EchelleFPAparam!$AC$3)-(AH34-1024)*SIN(EchelleFPAparam!$AC$3)*EchelleFPAparam!$C$3/EchelleFPAparam!$E$3))</f>
        <v>5450.3782997776125</v>
      </c>
      <c r="DA34" s="26">
        <f>(EchelleFPAparam!$S$3/($U34+D$53)*COS((AI34-EchelleFPAparam!$AE30)*EchelleFPAparam!$C$3/EchelleFPAparam!$E$3))*(SIN('Standard Settings'!$F29)+SIN('Standard Settings'!$F29+EchelleFPAparam!$M$3+EchelleFPAparam!$G$3*EchelleFPAparam!$B$6*COS(EchelleFPAparam!$AC$3)-(AI34-1024)*SIN(EchelleFPAparam!$AC$3)*EchelleFPAparam!$C$3/EchelleFPAparam!$E$3))</f>
        <v>4955.2728533216095</v>
      </c>
      <c r="DB34" s="26">
        <f>(EchelleFPAparam!$S$3/($U34+E$53)*COS((AJ34-EchelleFPAparam!$AE30)*EchelleFPAparam!$C$3/EchelleFPAparam!$E$3))*(SIN('Standard Settings'!$F29)+SIN('Standard Settings'!$F29+EchelleFPAparam!$M$3+EchelleFPAparam!$G$3*EchelleFPAparam!$B$6*COS(EchelleFPAparam!$AC$3)-(AJ34-1024)*SIN(EchelleFPAparam!$AC$3)*EchelleFPAparam!$C$3/EchelleFPAparam!$E$3))</f>
        <v>4542.5282543541098</v>
      </c>
      <c r="DC34" s="26">
        <f>(EchelleFPAparam!$S$3/($U34+F$53)*COS((AK34-EchelleFPAparam!$AE30)*EchelleFPAparam!$C$3/EchelleFPAparam!$E$3))*(SIN('Standard Settings'!$F29)+SIN('Standard Settings'!$F29+EchelleFPAparam!$M$3+EchelleFPAparam!$G$3*EchelleFPAparam!$B$6*COS(EchelleFPAparam!$AC$3)-(AK34-1024)*SIN(EchelleFPAparam!$AC$3)*EchelleFPAparam!$C$3/EchelleFPAparam!$E$3))</f>
        <v>4193.1904688359309</v>
      </c>
      <c r="DD34" s="26">
        <f>(EchelleFPAparam!$S$3/($U34+G$53)*COS((AL34-EchelleFPAparam!$AE30)*EchelleFPAparam!$C$3/EchelleFPAparam!$E$3))*(SIN('Standard Settings'!$F29)+SIN('Standard Settings'!$F29+EchelleFPAparam!$M$3+EchelleFPAparam!$G$3*EchelleFPAparam!$B$6*COS(EchelleFPAparam!$AC$3)-(AL34-1024)*SIN(EchelleFPAparam!$AC$3)*EchelleFPAparam!$C$3/EchelleFPAparam!$E$3))</f>
        <v>3893.7022583861535</v>
      </c>
      <c r="DE34" s="26">
        <f>(EchelleFPAparam!$S$3/($U34+H$53)*COS((AM34-EchelleFPAparam!$AE30)*EchelleFPAparam!$C$3/EchelleFPAparam!$E$3))*(SIN('Standard Settings'!$F29)+SIN('Standard Settings'!$F29+EchelleFPAparam!$M$3+EchelleFPAparam!$G$3*EchelleFPAparam!$B$6*COS(EchelleFPAparam!$AC$3)-(AM34-1024)*SIN(EchelleFPAparam!$AC$3)*EchelleFPAparam!$C$3/EchelleFPAparam!$E$3))</f>
        <v>3634.1115966835018</v>
      </c>
      <c r="DF34" s="26">
        <f>(EchelleFPAparam!$S$3/($U34+I$53)*COS((AN34-EchelleFPAparam!$AE30)*EchelleFPAparam!$C$3/EchelleFPAparam!$E$3))*(SIN('Standard Settings'!$F29)+SIN('Standard Settings'!$F29+EchelleFPAparam!$M$3+EchelleFPAparam!$G$3*EchelleFPAparam!$B$6*COS(EchelleFPAparam!$AC$3)-(AN34-1024)*SIN(EchelleFPAparam!$AC$3)*EchelleFPAparam!$C$3/EchelleFPAparam!$E$3))</f>
        <v>3406.2579347032388</v>
      </c>
      <c r="DG34" s="26">
        <f>(EchelleFPAparam!$S$3/($U34+J$53)*COS((AO34-EchelleFPAparam!$AE30)*EchelleFPAparam!$C$3/EchelleFPAparam!$E$3))*(SIN('Standard Settings'!$F29)+SIN('Standard Settings'!$F29+EchelleFPAparam!$M$3+EchelleFPAparam!$G$3*EchelleFPAparam!$B$6*COS(EchelleFPAparam!$AC$3)-(AO34-1024)*SIN(EchelleFPAparam!$AC$3)*EchelleFPAparam!$C$3/EchelleFPAparam!$E$3))</f>
        <v>3205.8898208971659</v>
      </c>
      <c r="DH34" s="26">
        <f>(EchelleFPAparam!$S$3/($U34+K$53)*COS((AP34-EchelleFPAparam!$AE30)*EchelleFPAparam!$C$3/EchelleFPAparam!$E$3))*(SIN('Standard Settings'!$F29)+SIN('Standard Settings'!$F29+EchelleFPAparam!$M$3+EchelleFPAparam!$G$3*EchelleFPAparam!$B$6*COS(EchelleFPAparam!$AC$3)-(AP34-1024)*SIN(EchelleFPAparam!$AC$3)*EchelleFPAparam!$C$3/EchelleFPAparam!$E$3))</f>
        <v>3027.7848308473235</v>
      </c>
      <c r="DI34" s="26">
        <f>(EchelleFPAparam!$S$3/($U34+B$53)*COS((AQ34-EchelleFPAparam!$AE30)*EchelleFPAparam!$C$3/EchelleFPAparam!$E$3))*(SIN('Standard Settings'!$F29)+SIN('Standard Settings'!$F29+EchelleFPAparam!$M$3+EchelleFPAparam!$H$3*EchelleFPAparam!$B$6*COS(EchelleFPAparam!$AC$3)-(AQ34-1024)*SIN(EchelleFPAparam!$AC$3)*EchelleFPAparam!$C$3/EchelleFPAparam!$E$3))</f>
        <v>6058.7906852340966</v>
      </c>
      <c r="DJ34" s="26">
        <f>(EchelleFPAparam!$S$3/($U34+C$53)*COS((AR34-EchelleFPAparam!$AE30)*EchelleFPAparam!$C$3/EchelleFPAparam!$E$3))*(SIN('Standard Settings'!$F29)+SIN('Standard Settings'!$F29+EchelleFPAparam!$M$3+EchelleFPAparam!$H$3*EchelleFPAparam!$B$6*COS(EchelleFPAparam!$AC$3)-(AR34-1024)*SIN(EchelleFPAparam!$AC$3)*EchelleFPAparam!$C$3/EchelleFPAparam!$E$3))</f>
        <v>5453.2932539373096</v>
      </c>
      <c r="DK34" s="26">
        <f>(EchelleFPAparam!$S$3/($U34+D$53)*COS((AS34-EchelleFPAparam!$AE30)*EchelleFPAparam!$C$3/EchelleFPAparam!$E$3))*(SIN('Standard Settings'!$F29)+SIN('Standard Settings'!$F29+EchelleFPAparam!$M$3+EchelleFPAparam!$H$3*EchelleFPAparam!$B$6*COS(EchelleFPAparam!$AC$3)-(AS34-1024)*SIN(EchelleFPAparam!$AC$3)*EchelleFPAparam!$C$3/EchelleFPAparam!$E$3))</f>
        <v>4957.9199599806734</v>
      </c>
      <c r="DL34" s="26">
        <f>(EchelleFPAparam!$S$3/($U34+E$53)*COS((AT34-EchelleFPAparam!$AE30)*EchelleFPAparam!$C$3/EchelleFPAparam!$E$3))*(SIN('Standard Settings'!$F29)+SIN('Standard Settings'!$F29+EchelleFPAparam!$M$3+EchelleFPAparam!$H$3*EchelleFPAparam!$B$6*COS(EchelleFPAparam!$AC$3)-(AT34-1024)*SIN(EchelleFPAparam!$AC$3)*EchelleFPAparam!$C$3/EchelleFPAparam!$E$3))</f>
        <v>4544.9512016168246</v>
      </c>
      <c r="DM34" s="26">
        <f>(EchelleFPAparam!$S$3/($U34+F$53)*COS((AU34-EchelleFPAparam!$AE30)*EchelleFPAparam!$C$3/EchelleFPAparam!$E$3))*(SIN('Standard Settings'!$F29)+SIN('Standard Settings'!$F29+EchelleFPAparam!$M$3+EchelleFPAparam!$H$3*EchelleFPAparam!$B$6*COS(EchelleFPAparam!$AC$3)-(AU34-1024)*SIN(EchelleFPAparam!$AC$3)*EchelleFPAparam!$C$3/EchelleFPAparam!$E$3))</f>
        <v>4195.4230036584477</v>
      </c>
      <c r="DN34" s="26">
        <f>(EchelleFPAparam!$S$3/($U34+G$53)*COS((AV34-EchelleFPAparam!$AE30)*EchelleFPAparam!$C$3/EchelleFPAparam!$E$3))*(SIN('Standard Settings'!$F29)+SIN('Standard Settings'!$F29+EchelleFPAparam!$M$3+EchelleFPAparam!$H$3*EchelleFPAparam!$B$6*COS(EchelleFPAparam!$AC$3)-(AV34-1024)*SIN(EchelleFPAparam!$AC$3)*EchelleFPAparam!$C$3/EchelleFPAparam!$E$3))</f>
        <v>3895.7716899442325</v>
      </c>
      <c r="DO34" s="26">
        <f>(EchelleFPAparam!$S$3/($U34+H$53)*COS((AW34-EchelleFPAparam!$AE30)*EchelleFPAparam!$C$3/EchelleFPAparam!$E$3))*(SIN('Standard Settings'!$F29)+SIN('Standard Settings'!$F29+EchelleFPAparam!$M$3+EchelleFPAparam!$H$3*EchelleFPAparam!$B$6*COS(EchelleFPAparam!$AC$3)-(AW34-1024)*SIN(EchelleFPAparam!$AC$3)*EchelleFPAparam!$C$3/EchelleFPAparam!$E$3))</f>
        <v>3636.039567956615</v>
      </c>
      <c r="DP34" s="26">
        <f>(EchelleFPAparam!$S$3/($U34+I$53)*COS((AX34-EchelleFPAparam!$AE30)*EchelleFPAparam!$C$3/EchelleFPAparam!$E$3))*(SIN('Standard Settings'!$F29)+SIN('Standard Settings'!$F29+EchelleFPAparam!$M$3+EchelleFPAparam!$H$3*EchelleFPAparam!$B$6*COS(EchelleFPAparam!$AC$3)-(AX34-1024)*SIN(EchelleFPAparam!$AC$3)*EchelleFPAparam!$C$3/EchelleFPAparam!$E$3))</f>
        <v>3408.0697604441793</v>
      </c>
      <c r="DQ34" s="26">
        <f>(EchelleFPAparam!$S$3/($U34+J$53)*COS((AY34-EchelleFPAparam!$AE30)*EchelleFPAparam!$C$3/EchelleFPAparam!$E$3))*(SIN('Standard Settings'!$F29)+SIN('Standard Settings'!$F29+EchelleFPAparam!$M$3+EchelleFPAparam!$H$3*EchelleFPAparam!$B$6*COS(EchelleFPAparam!$AC$3)-(AY34-1024)*SIN(EchelleFPAparam!$AC$3)*EchelleFPAparam!$C$3/EchelleFPAparam!$E$3))</f>
        <v>3207.5950686533452</v>
      </c>
      <c r="DR34" s="26">
        <f>(EchelleFPAparam!$S$3/($U34+K$53)*COS((AZ34-EchelleFPAparam!$AE30)*EchelleFPAparam!$C$3/EchelleFPAparam!$E$3))*(SIN('Standard Settings'!$F29)+SIN('Standard Settings'!$F29+EchelleFPAparam!$M$3+EchelleFPAparam!$H$3*EchelleFPAparam!$B$6*COS(EchelleFPAparam!$AC$3)-(AZ34-1024)*SIN(EchelleFPAparam!$AC$3)*EchelleFPAparam!$C$3/EchelleFPAparam!$E$3))</f>
        <v>3029.3953426170483</v>
      </c>
      <c r="DS34" s="26">
        <f>(EchelleFPAparam!$S$3/($U34+B$53)*COS((AQ34-EchelleFPAparam!$AE30)*EchelleFPAparam!$C$3/EchelleFPAparam!$E$3))*(SIN('Standard Settings'!$F29)+SIN('Standard Settings'!$F29+EchelleFPAparam!$M$3+EchelleFPAparam!$I$3*EchelleFPAparam!$B$6*COS(EchelleFPAparam!$AC$3)-(AQ34-1024)*SIN(EchelleFPAparam!$AC$3)*EchelleFPAparam!$C$3/EchelleFPAparam!$E$3))</f>
        <v>6103.5802184194627</v>
      </c>
      <c r="DT34" s="26">
        <f>(EchelleFPAparam!$S$3/($U34+C$53)*COS((AR34-EchelleFPAparam!$AE30)*EchelleFPAparam!$C$3/EchelleFPAparam!$E$3))*(SIN('Standard Settings'!$F29)+SIN('Standard Settings'!$F29+EchelleFPAparam!$M$3+EchelleFPAparam!$I$3*EchelleFPAparam!$B$6*COS(EchelleFPAparam!$AC$3)-(AR34-1024)*SIN(EchelleFPAparam!$AC$3)*EchelleFPAparam!$C$3/EchelleFPAparam!$E$3))</f>
        <v>5493.5996744796676</v>
      </c>
      <c r="DU34" s="26">
        <f>(EchelleFPAparam!$S$3/($U34+D$53)*COS((AS34-EchelleFPAparam!$AE30)*EchelleFPAparam!$C$3/EchelleFPAparam!$E$3))*(SIN('Standard Settings'!$F29)+SIN('Standard Settings'!$F29+EchelleFPAparam!$M$3+EchelleFPAparam!$I$3*EchelleFPAparam!$B$6*COS(EchelleFPAparam!$AC$3)-(AS34-1024)*SIN(EchelleFPAparam!$AC$3)*EchelleFPAparam!$C$3/EchelleFPAparam!$E$3))</f>
        <v>4994.5558023776584</v>
      </c>
      <c r="DV34" s="26">
        <f>(EchelleFPAparam!$S$3/($U34+E$53)*COS((AT34-EchelleFPAparam!$AE30)*EchelleFPAparam!$C$3/EchelleFPAparam!$E$3))*(SIN('Standard Settings'!$F29)+SIN('Standard Settings'!$F29+EchelleFPAparam!$M$3+EchelleFPAparam!$I$3*EchelleFPAparam!$B$6*COS(EchelleFPAparam!$AC$3)-(AT34-1024)*SIN(EchelleFPAparam!$AC$3)*EchelleFPAparam!$C$3/EchelleFPAparam!$E$3))</f>
        <v>4578.5284430258489</v>
      </c>
      <c r="DW34" s="26">
        <f>(EchelleFPAparam!$S$3/($U34+F$53)*COS((AU34-EchelleFPAparam!$AE30)*EchelleFPAparam!$C$3/EchelleFPAparam!$E$3))*(SIN('Standard Settings'!$F29)+SIN('Standard Settings'!$F29+EchelleFPAparam!$M$3+EchelleFPAparam!$I$3*EchelleFPAparam!$B$6*COS(EchelleFPAparam!$AC$3)-(AU34-1024)*SIN(EchelleFPAparam!$AC$3)*EchelleFPAparam!$C$3/EchelleFPAparam!$E$3))</f>
        <v>4226.412508931342</v>
      </c>
      <c r="DX34" s="26">
        <f>(EchelleFPAparam!$S$3/($U34+G$53)*COS((AV34-EchelleFPAparam!$AE30)*EchelleFPAparam!$C$3/EchelleFPAparam!$E$3))*(SIN('Standard Settings'!$F29)+SIN('Standard Settings'!$F29+EchelleFPAparam!$M$3+EchelleFPAparam!$I$3*EchelleFPAparam!$B$6*COS(EchelleFPAparam!$AC$3)-(AV34-1024)*SIN(EchelleFPAparam!$AC$3)*EchelleFPAparam!$C$3/EchelleFPAparam!$E$3))</f>
        <v>3924.5434232343437</v>
      </c>
      <c r="DY34" s="26">
        <f>(EchelleFPAparam!$S$3/($U34+H$53)*COS((AW34-EchelleFPAparam!$AE30)*EchelleFPAparam!$C$3/EchelleFPAparam!$E$3))*(SIN('Standard Settings'!$F29)+SIN('Standard Settings'!$F29+EchelleFPAparam!$M$3+EchelleFPAparam!$I$3*EchelleFPAparam!$B$6*COS(EchelleFPAparam!$AC$3)-(AW34-1024)*SIN(EchelleFPAparam!$AC$3)*EchelleFPAparam!$C$3/EchelleFPAparam!$E$3))</f>
        <v>3662.8895165972554</v>
      </c>
      <c r="DZ34" s="26">
        <f>(EchelleFPAparam!$S$3/($U34+I$53)*COS((AX34-EchelleFPAparam!$AE30)*EchelleFPAparam!$C$3/EchelleFPAparam!$E$3))*(SIN('Standard Settings'!$F29)+SIN('Standard Settings'!$F29+EchelleFPAparam!$M$3+EchelleFPAparam!$I$3*EchelleFPAparam!$B$6*COS(EchelleFPAparam!$AC$3)-(AX34-1024)*SIN(EchelleFPAparam!$AC$3)*EchelleFPAparam!$C$3/EchelleFPAparam!$E$3))</f>
        <v>3433.2638728609477</v>
      </c>
      <c r="EA34" s="26">
        <f>(EchelleFPAparam!$S$3/($U34+J$53)*COS((AY34-EchelleFPAparam!$AE30)*EchelleFPAparam!$C$3/EchelleFPAparam!$E$3))*(SIN('Standard Settings'!$F29)+SIN('Standard Settings'!$F29+EchelleFPAparam!$M$3+EchelleFPAparam!$I$3*EchelleFPAparam!$B$6*COS(EchelleFPAparam!$AC$3)-(AY34-1024)*SIN(EchelleFPAparam!$AC$3)*EchelleFPAparam!$C$3/EchelleFPAparam!$E$3))</f>
        <v>3231.3071744573626</v>
      </c>
      <c r="EB34" s="26">
        <f>(EchelleFPAparam!$S$3/($U34+K$53)*COS((AZ34-EchelleFPAparam!$AE30)*EchelleFPAparam!$C$3/EchelleFPAparam!$E$3))*(SIN('Standard Settings'!$F29)+SIN('Standard Settings'!$F29+EchelleFPAparam!$M$3+EchelleFPAparam!$I$3*EchelleFPAparam!$B$6*COS(EchelleFPAparam!$AC$3)-(AZ34-1024)*SIN(EchelleFPAparam!$AC$3)*EchelleFPAparam!$C$3/EchelleFPAparam!$E$3))</f>
        <v>3051.7901092097313</v>
      </c>
      <c r="EC34" s="26">
        <f>(EchelleFPAparam!$S$3/($U34+B$53)*COS((BA34-EchelleFPAparam!$AE30)*EchelleFPAparam!$C$3/EchelleFPAparam!$E$3))*(SIN('Standard Settings'!$F29)+SIN('Standard Settings'!$F29+EchelleFPAparam!$M$3+EchelleFPAparam!$J$3*EchelleFPAparam!$B$6*COS(EchelleFPAparam!$AC$3)-(BA34-1024)*SIN(EchelleFPAparam!$AC$3)*EchelleFPAparam!$C$3/EchelleFPAparam!$E$3))</f>
        <v>6106.7536340717315</v>
      </c>
      <c r="ED34" s="26">
        <f>(EchelleFPAparam!$S$3/($U34+C$53)*COS((BB34-EchelleFPAparam!$AE30)*EchelleFPAparam!$C$3/EchelleFPAparam!$E$3))*(SIN('Standard Settings'!$F29)+SIN('Standard Settings'!$F29+EchelleFPAparam!$M$3+EchelleFPAparam!$J$3*EchelleFPAparam!$B$6*COS(EchelleFPAparam!$AC$3)-(BB34-1024)*SIN(EchelleFPAparam!$AC$3)*EchelleFPAparam!$C$3/EchelleFPAparam!$E$3))</f>
        <v>5496.4702208529079</v>
      </c>
      <c r="EE34" s="26">
        <f>(EchelleFPAparam!$S$3/($U34+D$53)*COS((BC34-EchelleFPAparam!$AE30)*EchelleFPAparam!$C$3/EchelleFPAparam!$E$3))*(SIN('Standard Settings'!$F29)+SIN('Standard Settings'!$F29+EchelleFPAparam!$M$3+EchelleFPAparam!$J$3*EchelleFPAparam!$B$6*COS(EchelleFPAparam!$AC$3)-(BC34-1024)*SIN(EchelleFPAparam!$AC$3)*EchelleFPAparam!$C$3/EchelleFPAparam!$E$3))</f>
        <v>4997.1630892826433</v>
      </c>
      <c r="EF34" s="26">
        <f>(EchelleFPAparam!$S$3/($U34+E$53)*COS((BD34-EchelleFPAparam!$AE30)*EchelleFPAparam!$C$3/EchelleFPAparam!$E$3))*(SIN('Standard Settings'!$F29)+SIN('Standard Settings'!$F29+EchelleFPAparam!$M$3+EchelleFPAparam!$J$3*EchelleFPAparam!$B$6*COS(EchelleFPAparam!$AC$3)-(BD34-1024)*SIN(EchelleFPAparam!$AC$3)*EchelleFPAparam!$C$3/EchelleFPAparam!$E$3))</f>
        <v>4580.914869004434</v>
      </c>
      <c r="EG34" s="26">
        <f>(EchelleFPAparam!$S$3/($U34+F$53)*COS((BE34-EchelleFPAparam!$AE30)*EchelleFPAparam!$C$3/EchelleFPAparam!$E$3))*(SIN('Standard Settings'!$F29)+SIN('Standard Settings'!$F29+EchelleFPAparam!$M$3+EchelleFPAparam!$J$3*EchelleFPAparam!$B$6*COS(EchelleFPAparam!$AC$3)-(BE34-1024)*SIN(EchelleFPAparam!$AC$3)*EchelleFPAparam!$C$3/EchelleFPAparam!$E$3))</f>
        <v>4228.6108196364148</v>
      </c>
      <c r="EH34" s="26">
        <f>(EchelleFPAparam!$S$3/($U34+G$53)*COS((BF34-EchelleFPAparam!$AE30)*EchelleFPAparam!$C$3/EchelleFPAparam!$E$3))*(SIN('Standard Settings'!$F29)+SIN('Standard Settings'!$F29+EchelleFPAparam!$M$3+EchelleFPAparam!$J$3*EchelleFPAparam!$B$6*COS(EchelleFPAparam!$AC$3)-(BF34-1024)*SIN(EchelleFPAparam!$AC$3)*EchelleFPAparam!$C$3/EchelleFPAparam!$E$3))</f>
        <v>3926.5813669569193</v>
      </c>
      <c r="EI34" s="26">
        <f>(EchelleFPAparam!$S$3/($U34+H$53)*COS((BG34-EchelleFPAparam!$AE30)*EchelleFPAparam!$C$3/EchelleFPAparam!$E$3))*(SIN('Standard Settings'!$F29)+SIN('Standard Settings'!$F29+EchelleFPAparam!$M$3+EchelleFPAparam!$J$3*EchelleFPAparam!$B$6*COS(EchelleFPAparam!$AC$3)-(BG34-1024)*SIN(EchelleFPAparam!$AC$3)*EchelleFPAparam!$C$3/EchelleFPAparam!$E$3))</f>
        <v>3664.7879149414948</v>
      </c>
      <c r="EJ34" s="26">
        <f>(EchelleFPAparam!$S$3/($U34+I$53)*COS((BH34-EchelleFPAparam!$AE30)*EchelleFPAparam!$C$3/EchelleFPAparam!$E$3))*(SIN('Standard Settings'!$F29)+SIN('Standard Settings'!$F29+EchelleFPAparam!$M$3+EchelleFPAparam!$J$3*EchelleFPAparam!$B$6*COS(EchelleFPAparam!$AC$3)-(BH34-1024)*SIN(EchelleFPAparam!$AC$3)*EchelleFPAparam!$C$3/EchelleFPAparam!$E$3))</f>
        <v>3435.0489191653487</v>
      </c>
      <c r="EK34" s="26">
        <f>(EchelleFPAparam!$S$3/($U34+J$53)*COS((BI34-EchelleFPAparam!$AE30)*EchelleFPAparam!$C$3/EchelleFPAparam!$E$3))*(SIN('Standard Settings'!$F29)+SIN('Standard Settings'!$F29+EchelleFPAparam!$M$3+EchelleFPAparam!$J$3*EchelleFPAparam!$B$6*COS(EchelleFPAparam!$AC$3)-(BI34-1024)*SIN(EchelleFPAparam!$AC$3)*EchelleFPAparam!$C$3/EchelleFPAparam!$E$3))</f>
        <v>3232.9872180379757</v>
      </c>
      <c r="EL34" s="26">
        <f>(EchelleFPAparam!$S$3/($U34+K$53)*COS((BJ34-EchelleFPAparam!$AE30)*EchelleFPAparam!$C$3/EchelleFPAparam!$E$3))*(SIN('Standard Settings'!$F29)+SIN('Standard Settings'!$F29+EchelleFPAparam!$M$3+EchelleFPAparam!$J$3*EchelleFPAparam!$B$6*COS(EchelleFPAparam!$AC$3)-(BJ34-1024)*SIN(EchelleFPAparam!$AC$3)*EchelleFPAparam!$C$3/EchelleFPAparam!$E$3))</f>
        <v>3053.3768170358658</v>
      </c>
      <c r="EM34" s="26">
        <f>(EchelleFPAparam!$S$3/($U34+B$53)*COS((BA34-EchelleFPAparam!$AE30)*EchelleFPAparam!$C$3/EchelleFPAparam!$E$3))*(SIN('Standard Settings'!$F29)+SIN('Standard Settings'!$F29+EchelleFPAparam!$M$3+EchelleFPAparam!$K$3*EchelleFPAparam!$B$6*COS(EchelleFPAparam!$AC$3)-(BA34-1024)*SIN(EchelleFPAparam!$AC$3)*EchelleFPAparam!$C$3/EchelleFPAparam!$E$3))</f>
        <v>6149.5833250166743</v>
      </c>
      <c r="EN34" s="26">
        <f>(EchelleFPAparam!$S$3/($U34+C$53)*COS((BB34-EchelleFPAparam!$AE30)*EchelleFPAparam!$C$3/EchelleFPAparam!$E$3))*(SIN('Standard Settings'!$F29)+SIN('Standard Settings'!$F29+EchelleFPAparam!$M$3+EchelleFPAparam!$K$3*EchelleFPAparam!$B$6*COS(EchelleFPAparam!$AC$3)-(BB34-1024)*SIN(EchelleFPAparam!$AC$3)*EchelleFPAparam!$C$3/EchelleFPAparam!$E$3))</f>
        <v>5535.0124139115851</v>
      </c>
      <c r="EO34" s="26">
        <f>(EchelleFPAparam!$S$3/($U34+D$53)*COS((BC34-EchelleFPAparam!$AE30)*EchelleFPAparam!$C$3/EchelleFPAparam!$E$3))*(SIN('Standard Settings'!$F29)+SIN('Standard Settings'!$F29+EchelleFPAparam!$M$3+EchelleFPAparam!$K$3*EchelleFPAparam!$B$6*COS(EchelleFPAparam!$AC$3)-(BC34-1024)*SIN(EchelleFPAparam!$AC$3)*EchelleFPAparam!$C$3/EchelleFPAparam!$E$3))</f>
        <v>5032.1948162233912</v>
      </c>
      <c r="EP34" s="26">
        <f>(EchelleFPAparam!$S$3/($U34+E$53)*COS((BD34-EchelleFPAparam!$AE30)*EchelleFPAparam!$C$3/EchelleFPAparam!$E$3))*(SIN('Standard Settings'!$F29)+SIN('Standard Settings'!$F29+EchelleFPAparam!$M$3+EchelleFPAparam!$K$3*EchelleFPAparam!$B$6*COS(EchelleFPAparam!$AC$3)-(BD34-1024)*SIN(EchelleFPAparam!$AC$3)*EchelleFPAparam!$C$3/EchelleFPAparam!$E$3))</f>
        <v>4613.0214849215199</v>
      </c>
      <c r="EQ34" s="26">
        <f>(EchelleFPAparam!$S$3/($U34+F$53)*COS((BE34-EchelleFPAparam!$AE30)*EchelleFPAparam!$C$3/EchelleFPAparam!$E$3))*(SIN('Standard Settings'!$F29)+SIN('Standard Settings'!$F29+EchelleFPAparam!$M$3+EchelleFPAparam!$K$3*EchelleFPAparam!$B$6*COS(EchelleFPAparam!$AC$3)-(BE34-1024)*SIN(EchelleFPAparam!$AC$3)*EchelleFPAparam!$C$3/EchelleFPAparam!$E$3))</f>
        <v>4258.2427654431904</v>
      </c>
      <c r="ER34" s="26">
        <f>(EchelleFPAparam!$S$3/($U34+G$53)*COS((BF34-EchelleFPAparam!$AE30)*EchelleFPAparam!$C$3/EchelleFPAparam!$E$3))*(SIN('Standard Settings'!$F29)+SIN('Standard Settings'!$F29+EchelleFPAparam!$M$3+EchelleFPAparam!$K$3*EchelleFPAparam!$B$6*COS(EchelleFPAparam!$AC$3)-(BF34-1024)*SIN(EchelleFPAparam!$AC$3)*EchelleFPAparam!$C$3/EchelleFPAparam!$E$3))</f>
        <v>3954.0923464720531</v>
      </c>
      <c r="ES34" s="26">
        <f>(EchelleFPAparam!$S$3/($U34+H$53)*COS((BG34-EchelleFPAparam!$AE30)*EchelleFPAparam!$C$3/EchelleFPAparam!$E$3))*(SIN('Standard Settings'!$F29)+SIN('Standard Settings'!$F29+EchelleFPAparam!$M$3+EchelleFPAparam!$K$3*EchelleFPAparam!$B$6*COS(EchelleFPAparam!$AC$3)-(BG34-1024)*SIN(EchelleFPAparam!$AC$3)*EchelleFPAparam!$C$3/EchelleFPAparam!$E$3))</f>
        <v>3690.4610916669562</v>
      </c>
      <c r="ET34" s="26">
        <f>(EchelleFPAparam!$S$3/($U34+I$53)*COS((BH34-EchelleFPAparam!$AE30)*EchelleFPAparam!$C$3/EchelleFPAparam!$E$3))*(SIN('Standard Settings'!$F29)+SIN('Standard Settings'!$F29+EchelleFPAparam!$M$3+EchelleFPAparam!$K$3*EchelleFPAparam!$B$6*COS(EchelleFPAparam!$AC$3)-(BH34-1024)*SIN(EchelleFPAparam!$AC$3)*EchelleFPAparam!$C$3/EchelleFPAparam!$E$3))</f>
        <v>3459.1406203218794</v>
      </c>
      <c r="EU34" s="26">
        <f>(EchelleFPAparam!$S$3/($U34+J$53)*COS((BI34-EchelleFPAparam!$AE30)*EchelleFPAparam!$C$3/EchelleFPAparam!$E$3))*(SIN('Standard Settings'!$F29)+SIN('Standard Settings'!$F29+EchelleFPAparam!$M$3+EchelleFPAparam!$K$3*EchelleFPAparam!$B$6*COS(EchelleFPAparam!$AC$3)-(BI34-1024)*SIN(EchelleFPAparam!$AC$3)*EchelleFPAparam!$C$3/EchelleFPAparam!$E$3))</f>
        <v>3255.6617603029454</v>
      </c>
      <c r="EV34" s="26">
        <f>(EchelleFPAparam!$S$3/($U34+K$53)*COS((BJ34-EchelleFPAparam!$AE30)*EchelleFPAparam!$C$3/EchelleFPAparam!$E$3))*(SIN('Standard Settings'!$F29)+SIN('Standard Settings'!$F29+EchelleFPAparam!$M$3+EchelleFPAparam!$K$3*EchelleFPAparam!$B$6*COS(EchelleFPAparam!$AC$3)-(BJ34-1024)*SIN(EchelleFPAparam!$AC$3)*EchelleFPAparam!$C$3/EchelleFPAparam!$E$3))</f>
        <v>3074.7916625083371</v>
      </c>
      <c r="EW34" s="60">
        <f t="shared" si="40"/>
        <v>3379.9810112566242</v>
      </c>
      <c r="EX34" s="60">
        <f t="shared" si="41"/>
        <v>5535.0124139115851</v>
      </c>
      <c r="EY34" s="90">
        <v>0.39</v>
      </c>
      <c r="EZ34" s="90">
        <v>0.36</v>
      </c>
      <c r="FA34" s="50">
        <v>30000</v>
      </c>
      <c r="FB34" s="95">
        <v>1000</v>
      </c>
      <c r="FC34" s="95">
        <v>1000</v>
      </c>
      <c r="FD34" s="50">
        <v>4500</v>
      </c>
      <c r="FE34" s="50">
        <v>4400</v>
      </c>
      <c r="FF34" s="50">
        <v>5000</v>
      </c>
      <c r="FG34" s="95">
        <v>1000</v>
      </c>
      <c r="FH34" s="95">
        <f t="shared" si="27"/>
        <v>250</v>
      </c>
      <c r="FI34" s="95">
        <f t="shared" si="28"/>
        <v>250</v>
      </c>
      <c r="FJ34" s="50">
        <f t="shared" si="29"/>
        <v>1125</v>
      </c>
      <c r="FK34" s="50">
        <f t="shared" si="30"/>
        <v>1100</v>
      </c>
      <c r="FL34" s="50">
        <f t="shared" si="31"/>
        <v>1250</v>
      </c>
      <c r="FM34" s="95">
        <f t="shared" si="32"/>
        <v>250</v>
      </c>
      <c r="FN34" s="50">
        <v>500</v>
      </c>
      <c r="FO34" s="91">
        <f>1/(F34*EchelleFPAparam!$Q$3)</f>
        <v>-2506.1113903425535</v>
      </c>
      <c r="FP34" s="91">
        <f t="shared" si="22"/>
        <v>-37.921461008535715</v>
      </c>
      <c r="FQ34" s="50">
        <v>-999999</v>
      </c>
      <c r="FR34" s="50">
        <v>-999999</v>
      </c>
      <c r="FS34" s="90">
        <v>1</v>
      </c>
      <c r="FT34" s="90">
        <v>1172.8440000000001</v>
      </c>
      <c r="FU34" s="90">
        <v>1846.278</v>
      </c>
      <c r="FV34" s="50">
        <v>-999999</v>
      </c>
      <c r="FW34" s="50">
        <v>-999999</v>
      </c>
      <c r="FX34" s="50">
        <v>-999999</v>
      </c>
      <c r="FY34" s="90">
        <v>2</v>
      </c>
      <c r="FZ34" s="90">
        <v>1000.678</v>
      </c>
      <c r="GA34" s="90">
        <v>1872.01</v>
      </c>
      <c r="GB34" s="50">
        <v>-999999</v>
      </c>
      <c r="GC34" s="50">
        <v>-999999</v>
      </c>
      <c r="GD34" s="50">
        <v>-999999</v>
      </c>
      <c r="GE34" s="90">
        <v>3</v>
      </c>
      <c r="GF34" s="90">
        <v>446.34</v>
      </c>
      <c r="GG34" s="90">
        <v>1648.114</v>
      </c>
      <c r="GH34" s="50">
        <v>-999999</v>
      </c>
      <c r="GI34" s="50">
        <v>-999999</v>
      </c>
      <c r="GJ34" s="50">
        <v>-999999</v>
      </c>
      <c r="GK34" s="50">
        <v>-999999</v>
      </c>
      <c r="GL34" s="50">
        <v>-999999</v>
      </c>
      <c r="GM34" s="50">
        <v>-999999</v>
      </c>
      <c r="GN34" s="50">
        <v>-999999</v>
      </c>
      <c r="GO34" s="50">
        <v>-999999</v>
      </c>
      <c r="GP34" s="50">
        <v>-999999</v>
      </c>
      <c r="GQ34" s="50">
        <v>-999999</v>
      </c>
      <c r="GR34" s="50">
        <v>-999999</v>
      </c>
      <c r="GS34" s="50">
        <v>-999999</v>
      </c>
      <c r="GT34" s="50">
        <v>-999999</v>
      </c>
      <c r="GU34" s="50">
        <v>-999999</v>
      </c>
      <c r="GV34" s="50">
        <v>-999999</v>
      </c>
      <c r="GW34" s="50">
        <v>-999999</v>
      </c>
      <c r="GX34" s="50">
        <v>-999999</v>
      </c>
      <c r="GY34" s="50">
        <v>-999999</v>
      </c>
      <c r="GZ34" s="50">
        <v>-999999</v>
      </c>
      <c r="HA34" s="50">
        <v>-999999</v>
      </c>
      <c r="HB34" s="50">
        <v>-999999</v>
      </c>
      <c r="HC34" s="50">
        <v>-999999</v>
      </c>
      <c r="HD34" s="50">
        <v>-999999</v>
      </c>
      <c r="HE34" s="50">
        <v>-999999</v>
      </c>
      <c r="HF34" s="50">
        <v>-999999</v>
      </c>
      <c r="HG34" s="50">
        <v>-999999</v>
      </c>
      <c r="HH34" s="50">
        <v>-999999</v>
      </c>
      <c r="HI34" s="50">
        <v>-999999</v>
      </c>
      <c r="HJ34" s="50">
        <v>-999999</v>
      </c>
      <c r="HK34" s="50">
        <v>-999999</v>
      </c>
      <c r="HL34" s="50">
        <v>-999999</v>
      </c>
      <c r="HM34" s="50">
        <v>-999999</v>
      </c>
      <c r="HN34" s="50">
        <v>-999999</v>
      </c>
      <c r="HO34" s="50">
        <v>-999999</v>
      </c>
      <c r="HP34" s="50">
        <v>-999999</v>
      </c>
      <c r="HQ34" s="50">
        <v>-999999</v>
      </c>
      <c r="HR34" s="50">
        <v>-999999</v>
      </c>
      <c r="HS34" s="50">
        <v>-999999</v>
      </c>
      <c r="HT34" s="50">
        <v>-999999</v>
      </c>
      <c r="HU34" s="50">
        <v>-999999</v>
      </c>
      <c r="HV34" s="50">
        <v>-999999</v>
      </c>
      <c r="HW34" s="50">
        <v>-999999</v>
      </c>
      <c r="HX34" s="50">
        <v>-999999</v>
      </c>
      <c r="HY34" s="50"/>
      <c r="HZ34" s="50"/>
      <c r="IA34" s="50"/>
      <c r="IB34" s="50"/>
      <c r="IC34" s="50"/>
      <c r="ID34" s="50"/>
      <c r="IE34" s="50"/>
      <c r="IF34" s="50"/>
      <c r="IG34" s="50"/>
      <c r="IH34" s="50"/>
      <c r="II34" s="50"/>
      <c r="IJ34" s="50"/>
      <c r="IK34" s="50"/>
      <c r="IL34" s="50"/>
      <c r="IM34" s="50"/>
      <c r="IN34" s="50"/>
      <c r="IO34" s="50"/>
      <c r="IP34" s="50"/>
      <c r="IQ34" s="50"/>
      <c r="IR34" s="50"/>
      <c r="IS34" s="50"/>
      <c r="IT34" s="50"/>
      <c r="IU34" s="50"/>
      <c r="IV34" s="50"/>
      <c r="IW34" s="50"/>
      <c r="IX34" s="50"/>
      <c r="IY34" s="50"/>
      <c r="IZ34" s="50"/>
      <c r="JA34" s="50"/>
      <c r="JB34" s="50"/>
      <c r="JC34" s="50"/>
      <c r="JD34" s="50"/>
      <c r="JE34" s="50"/>
      <c r="JF34" s="50"/>
      <c r="JG34" s="50"/>
      <c r="JH34" s="50"/>
      <c r="JI34" s="50"/>
      <c r="JJ34" s="50"/>
      <c r="JK34" s="50"/>
      <c r="JL34" s="50"/>
      <c r="JM34" s="50"/>
      <c r="JN34" s="50"/>
      <c r="JO34" s="50"/>
      <c r="JP34" s="50"/>
      <c r="JQ34" s="50"/>
      <c r="JR34" s="50"/>
      <c r="JS34" s="50"/>
      <c r="JT34" s="50"/>
      <c r="JU34" s="50"/>
      <c r="JV34" s="50"/>
      <c r="JW34" s="52">
        <f t="shared" si="23"/>
        <v>2768.5345935587379</v>
      </c>
      <c r="JX34" s="27">
        <f t="shared" si="24"/>
        <v>278291.11923539912</v>
      </c>
      <c r="JY34" s="107">
        <f>JW34*EchelleFPAparam!$Q$3</f>
        <v>-2.6370292003646979E-2</v>
      </c>
      <c r="KA34" s="19"/>
      <c r="KB34" s="19"/>
      <c r="KC34" s="19"/>
      <c r="KD34" s="19"/>
      <c r="KE34" s="19"/>
      <c r="KF34" s="19"/>
      <c r="KG34" s="19"/>
      <c r="KH34" s="19"/>
      <c r="KI34" s="19"/>
      <c r="KJ34" s="19"/>
      <c r="KK34" s="19"/>
      <c r="KL34" s="19"/>
      <c r="KM34" s="19"/>
      <c r="KW34" s="19"/>
      <c r="KX34" s="19"/>
      <c r="KY34" s="19"/>
      <c r="KZ34" s="19"/>
      <c r="LA34" s="19"/>
      <c r="LB34" s="19"/>
      <c r="LC34" s="19"/>
      <c r="LD34" s="19"/>
      <c r="LE34" s="19"/>
      <c r="LF34" s="19"/>
    </row>
    <row r="35" spans="1:318" x14ac:dyDescent="0.2">
      <c r="A35" s="53">
        <f t="shared" si="35"/>
        <v>29</v>
      </c>
      <c r="B35" s="96">
        <f t="shared" si="0"/>
        <v>4186.8377781092722</v>
      </c>
      <c r="C35" s="27" t="str">
        <f>'Standard Settings'!B30</f>
        <v>M/9/9</v>
      </c>
      <c r="D35" s="27">
        <f>'Standard Settings'!H30</f>
        <v>13</v>
      </c>
      <c r="E35" s="19">
        <f t="shared" si="1"/>
        <v>1.5377128553283992E-2</v>
      </c>
      <c r="F35" s="18">
        <f>((EchelleFPAparam!$S$3/('crmcfgWLEN.txt'!$U35+F$53))*(SIN('Standard Settings'!$F30+0.0005)+SIN('Standard Settings'!$F30+0.0005+EchelleFPAparam!$M$3))-(EchelleFPAparam!$S$3/('crmcfgWLEN.txt'!$U35+F$53))*(SIN('Standard Settings'!$F30-0.0005)+SIN('Standard Settings'!$F30-0.0005+EchelleFPAparam!$M$3)))*1000*EchelleFPAparam!$O$3/180</f>
        <v>42.623332492890356</v>
      </c>
      <c r="G35" s="20" t="str">
        <f>'Standard Settings'!C30</f>
        <v>M</v>
      </c>
      <c r="H35" s="46"/>
      <c r="I35" s="59" t="s">
        <v>361</v>
      </c>
      <c r="J35" s="57"/>
      <c r="K35" s="27" t="str">
        <f>'Standard Settings'!$D30</f>
        <v>LM</v>
      </c>
      <c r="L35" s="46"/>
      <c r="M35" s="12">
        <v>2.5</v>
      </c>
      <c r="N35" s="12">
        <v>2.5</v>
      </c>
      <c r="O35" s="47" t="s">
        <v>384</v>
      </c>
      <c r="P35" s="47" t="s">
        <v>384</v>
      </c>
      <c r="Q35" s="27">
        <f>'Standard Settings'!$E30</f>
        <v>61.348950000000002</v>
      </c>
      <c r="R35" s="106">
        <f>'Standard Settings'!$J30</f>
        <v>950000</v>
      </c>
      <c r="S35" s="21">
        <f>'Standard Settings'!$G30</f>
        <v>10</v>
      </c>
      <c r="T35" s="21">
        <f>'Standard Settings'!$I30</f>
        <v>16</v>
      </c>
      <c r="U35" s="22">
        <f t="shared" si="25"/>
        <v>9</v>
      </c>
      <c r="V35" s="22">
        <f t="shared" si="26"/>
        <v>18</v>
      </c>
      <c r="W35" s="23">
        <f>IF(AND($U35-$S35+B$53&gt;=0,$U35-$T35+B$53&lt;=0),(EchelleFPAparam!$S$3/('crmcfgWLEN.txt'!$U35+B$53))*(SIN('Standard Settings'!$F30)+SIN('Standard Settings'!$F30+EchelleFPAparam!$M$3)),-1)</f>
        <v>-1</v>
      </c>
      <c r="X35" s="23">
        <f>IF(AND($U35-$S35+C$53&gt;=0,$U35-$T35+C$53&lt;=0),(EchelleFPAparam!$S$3/('crmcfgWLEN.txt'!$U35+C$53))*(SIN('Standard Settings'!$F30)+SIN('Standard Settings'!$F30+EchelleFPAparam!$M$3)),-1)</f>
        <v>5442.8891115420538</v>
      </c>
      <c r="Y35" s="23">
        <f>IF(AND($U35-$S35+D$53&gt;=0,$U35-$T35+D$53&lt;=0),(EchelleFPAparam!$S$3/('crmcfgWLEN.txt'!$U35+D$53))*(SIN('Standard Settings'!$F30)+SIN('Standard Settings'!$F30+EchelleFPAparam!$M$3)),-1)</f>
        <v>4948.0810104927759</v>
      </c>
      <c r="Z35" s="23">
        <f>IF(AND($U35-$S35+E$53&gt;=0,$U35-$T35+E$53&lt;=0),(EchelleFPAparam!$S$3/('crmcfgWLEN.txt'!$U35+E$53))*(SIN('Standard Settings'!$F30)+SIN('Standard Settings'!$F30+EchelleFPAparam!$M$3)),-1)</f>
        <v>4535.7409262850442</v>
      </c>
      <c r="AA35" s="23">
        <f>IF(AND($U35-$S35+F$53&gt;=0,$U35-$T35+F$53&lt;=0),(EchelleFPAparam!$S$3/('crmcfgWLEN.txt'!$U35+F$53))*(SIN('Standard Settings'!$F30)+SIN('Standard Settings'!$F30+EchelleFPAparam!$M$3)),-1)</f>
        <v>4186.8377781092722</v>
      </c>
      <c r="AB35" s="23">
        <f>IF(AND($U35-$S35+G$53&gt;=0,$U35-$T35+G$53&lt;=0),(EchelleFPAparam!$S$3/('crmcfgWLEN.txt'!$U35+G$53))*(SIN('Standard Settings'!$F30)+SIN('Standard Settings'!$F30+EchelleFPAparam!$M$3)),-1)</f>
        <v>3887.7779368157521</v>
      </c>
      <c r="AC35" s="23">
        <f>IF(AND($U35-$S35+H$53&gt;=0,$U35-$T35+H$53&lt;=0),(EchelleFPAparam!$S$3/('crmcfgWLEN.txt'!$U35+H$53))*(SIN('Standard Settings'!$F30)+SIN('Standard Settings'!$F30+EchelleFPAparam!$M$3)),-1)</f>
        <v>3628.5927410280351</v>
      </c>
      <c r="AD35" s="23">
        <f>IF(AND($U35-$S35+I$53&gt;=0,$U35-$T35+I$53&lt;=0),(EchelleFPAparam!$S$3/('crmcfgWLEN.txt'!$U35+I$53))*(SIN('Standard Settings'!$F30)+SIN('Standard Settings'!$F30+EchelleFPAparam!$M$3)),-1)</f>
        <v>3401.8056947137834</v>
      </c>
      <c r="AE35" s="23">
        <f>IF(AND($U35-$S35+J$53&gt;=0,$U35-$T35+J$53&lt;=0),(EchelleFPAparam!$S$3/('crmcfgWLEN.txt'!$U35+J$53))*(SIN('Standard Settings'!$F30)+SIN('Standard Settings'!$F30+EchelleFPAparam!$M$3)),-1)</f>
        <v>-1</v>
      </c>
      <c r="AF35" s="23">
        <f>IF(AND($U35-$S35+K$53&gt;=0,$U35-$T35+K$53&lt;=0),(EchelleFPAparam!$S$3/('crmcfgWLEN.txt'!$U35+K$53))*(SIN('Standard Settings'!$F30)+SIN('Standard Settings'!$F30+EchelleFPAparam!$M$3)),-1)</f>
        <v>-1</v>
      </c>
      <c r="AG35" s="159">
        <v>-100.1</v>
      </c>
      <c r="AH35" s="157">
        <v>227.49924631592799</v>
      </c>
      <c r="AI35" s="157">
        <v>672.44876687425699</v>
      </c>
      <c r="AJ35" s="157">
        <v>1044.20309683203</v>
      </c>
      <c r="AK35" s="157">
        <v>1359.6565255294099</v>
      </c>
      <c r="AL35" s="157">
        <v>1630.7787394073</v>
      </c>
      <c r="AM35" s="157">
        <v>1866.495605328</v>
      </c>
      <c r="AN35" s="159">
        <v>-100.1</v>
      </c>
      <c r="AO35" s="159">
        <v>-100.1</v>
      </c>
      <c r="AP35" s="159">
        <v>-100.1</v>
      </c>
      <c r="AQ35" s="160">
        <v>-100.1</v>
      </c>
      <c r="AR35" s="157">
        <v>241.61998770971101</v>
      </c>
      <c r="AS35" s="157">
        <v>689.95087974760099</v>
      </c>
      <c r="AT35" s="157">
        <v>1064.40556174376</v>
      </c>
      <c r="AU35" s="157">
        <v>1382.1778412717799</v>
      </c>
      <c r="AV35" s="157">
        <v>1655.1718450230101</v>
      </c>
      <c r="AW35" s="157">
        <v>1892.61319544047</v>
      </c>
      <c r="AX35" s="160">
        <v>-100.1</v>
      </c>
      <c r="AY35" s="160">
        <v>-100.1</v>
      </c>
      <c r="AZ35" s="160">
        <v>-100.1</v>
      </c>
      <c r="BA35" s="161">
        <v>-100.1</v>
      </c>
      <c r="BB35" s="157">
        <v>254.89757790828901</v>
      </c>
      <c r="BC35" s="157">
        <v>706.96394299511701</v>
      </c>
      <c r="BD35" s="157">
        <v>1084.68920992942</v>
      </c>
      <c r="BE35" s="157">
        <v>1397.8870545648399</v>
      </c>
      <c r="BF35" s="157">
        <v>1679.9698111980599</v>
      </c>
      <c r="BG35" s="157">
        <v>1919.2700416115999</v>
      </c>
      <c r="BH35" s="161">
        <v>-100.1</v>
      </c>
      <c r="BI35" s="161">
        <v>-100.1</v>
      </c>
      <c r="BJ35" s="161">
        <v>-100.1</v>
      </c>
      <c r="BK35" s="24">
        <f>EchelleFPAparam!$S$3/('crmcfgWLEN.txt'!$U35+B$53)*(SIN(EchelleFPAparam!$T$3-EchelleFPAparam!$M$3/2)+SIN('Standard Settings'!$F30+EchelleFPAparam!$M$3))</f>
        <v>6157.6685581361944</v>
      </c>
      <c r="BL35" s="24">
        <f>EchelleFPAparam!$S$3/('crmcfgWLEN.txt'!$U35+C$53)*(SIN(EchelleFPAparam!$T$3-EchelleFPAparam!$M$3/2)+SIN('Standard Settings'!$F30+EchelleFPAparam!$M$3))</f>
        <v>5541.9017023225751</v>
      </c>
      <c r="BM35" s="24">
        <f>EchelleFPAparam!$S$3/('crmcfgWLEN.txt'!$U35+D$53)*(SIN(EchelleFPAparam!$T$3-EchelleFPAparam!$M$3/2)+SIN('Standard Settings'!$F30+EchelleFPAparam!$M$3))</f>
        <v>5038.0924566568874</v>
      </c>
      <c r="BN35" s="24">
        <f>EchelleFPAparam!$S$3/('crmcfgWLEN.txt'!$U35+E$53)*(SIN(EchelleFPAparam!$T$3-EchelleFPAparam!$M$3/2)+SIN('Standard Settings'!$F30+EchelleFPAparam!$M$3))</f>
        <v>4618.2514186021463</v>
      </c>
      <c r="BO35" s="24">
        <f>EchelleFPAparam!$S$3/('crmcfgWLEN.txt'!$U35+F$53)*(SIN(EchelleFPAparam!$T$3-EchelleFPAparam!$M$3/2)+SIN('Standard Settings'!$F30+EchelleFPAparam!$M$3))</f>
        <v>4263.0013094789047</v>
      </c>
      <c r="BP35" s="24">
        <f>EchelleFPAparam!$S$3/('crmcfgWLEN.txt'!$U35+G$53)*(SIN(EchelleFPAparam!$T$3-EchelleFPAparam!$M$3/2)+SIN('Standard Settings'!$F30+EchelleFPAparam!$M$3))</f>
        <v>3958.5012159446965</v>
      </c>
      <c r="BQ35" s="24">
        <f>EchelleFPAparam!$S$3/('crmcfgWLEN.txt'!$U35+H$53)*(SIN(EchelleFPAparam!$T$3-EchelleFPAparam!$M$3/2)+SIN('Standard Settings'!$F30+EchelleFPAparam!$M$3))</f>
        <v>3694.6011348817165</v>
      </c>
      <c r="BR35" s="24">
        <f>EchelleFPAparam!$S$3/('crmcfgWLEN.txt'!$U35+I$53)*(SIN(EchelleFPAparam!$T$3-EchelleFPAparam!$M$3/2)+SIN('Standard Settings'!$F30+EchelleFPAparam!$M$3))</f>
        <v>3463.6885639516095</v>
      </c>
      <c r="BS35" s="24">
        <f>EchelleFPAparam!$S$3/('crmcfgWLEN.txt'!$U35+J$53)*(SIN(EchelleFPAparam!$T$3-EchelleFPAparam!$M$3/2)+SIN('Standard Settings'!$F30+EchelleFPAparam!$M$3))</f>
        <v>3259.9421778368092</v>
      </c>
      <c r="BT35" s="24">
        <f>EchelleFPAparam!$S$3/('crmcfgWLEN.txt'!$U35+K$53)*(SIN(EchelleFPAparam!$T$3-EchelleFPAparam!$M$3/2)+SIN('Standard Settings'!$F30+EchelleFPAparam!$M$3))</f>
        <v>3078.8342790680972</v>
      </c>
      <c r="BU35" s="25">
        <f t="shared" si="33"/>
        <v>5929.6067596867051</v>
      </c>
      <c r="BV35" s="25">
        <f t="shared" si="2"/>
        <v>5350.8016436217968</v>
      </c>
      <c r="BW35" s="25">
        <f t="shared" si="3"/>
        <v>4875.5733451518263</v>
      </c>
      <c r="BX35" s="25">
        <f t="shared" si="4"/>
        <v>4478.3044059172325</v>
      </c>
      <c r="BY35" s="25">
        <f t="shared" si="5"/>
        <v>4141.2012720652219</v>
      </c>
      <c r="BZ35" s="25">
        <f t="shared" si="6"/>
        <v>3851.5146965948402</v>
      </c>
      <c r="CA35" s="25">
        <f t="shared" si="7"/>
        <v>3599.8677724488521</v>
      </c>
      <c r="CB35" s="25">
        <f t="shared" si="8"/>
        <v>3379.2083550747407</v>
      </c>
      <c r="CC35" s="25">
        <f t="shared" si="9"/>
        <v>3184.1295690499064</v>
      </c>
      <c r="CD35" s="25">
        <f t="shared" si="10"/>
        <v>3010.4157395332504</v>
      </c>
      <c r="CE35" s="25">
        <f t="shared" si="34"/>
        <v>6403.9753004616423</v>
      </c>
      <c r="CF35" s="25">
        <f t="shared" si="11"/>
        <v>5747.1573209271146</v>
      </c>
      <c r="CG35" s="25">
        <f t="shared" si="12"/>
        <v>5211.8197827485046</v>
      </c>
      <c r="CH35" s="25">
        <f t="shared" si="13"/>
        <v>4767.2272708151186</v>
      </c>
      <c r="CI35" s="25">
        <f t="shared" si="14"/>
        <v>4392.1831673419019</v>
      </c>
      <c r="CJ35" s="25">
        <f t="shared" si="15"/>
        <v>4071.6012506859729</v>
      </c>
      <c r="CK35" s="25">
        <f t="shared" si="16"/>
        <v>3794.4552196082491</v>
      </c>
      <c r="CL35" s="25">
        <f t="shared" si="17"/>
        <v>3552.5010912324196</v>
      </c>
      <c r="CM35" s="25">
        <f t="shared" si="18"/>
        <v>3339.4529626620974</v>
      </c>
      <c r="CN35" s="25">
        <f t="shared" si="19"/>
        <v>3150.4350762557274</v>
      </c>
      <c r="CO35" s="26">
        <f>(EchelleFPAparam!$S$3/($U35+B$53)*COS((AG35-EchelleFPAparam!$AE31)*EchelleFPAparam!$C$3/EchelleFPAparam!$E$3))*(SIN('Standard Settings'!$F30)+SIN('Standard Settings'!$F30+EchelleFPAparam!$M$3+(EchelleFPAparam!$F$3*EchelleFPAparam!$B$6)*COS(EchelleFPAparam!$AC$3)-(AG35-1024)*SIN(EchelleFPAparam!$AC$3)*EchelleFPAparam!$C$3/EchelleFPAparam!$E$3))</f>
        <v>5973.3589774895399</v>
      </c>
      <c r="CP35" s="26">
        <f>(EchelleFPAparam!$S$3/($U35+C$53)*COS((AH35-EchelleFPAparam!$AE31)*EchelleFPAparam!$C$3/EchelleFPAparam!$E$3))*(SIN('Standard Settings'!$F30)+SIN('Standard Settings'!$F30+EchelleFPAparam!$M$3+(EchelleFPAparam!$F$3*EchelleFPAparam!$B$6)*COS(EchelleFPAparam!$AC$3)-(AH35-1024)*SIN(EchelleFPAparam!$AC$3)*EchelleFPAparam!$C$3/EchelleFPAparam!$E$3))</f>
        <v>5376.1718957588446</v>
      </c>
      <c r="CQ35" s="26">
        <f>(EchelleFPAparam!$S$3/($U35+D$53)*COS((AI35-EchelleFPAparam!$AE31)*EchelleFPAparam!$C$3/EchelleFPAparam!$E$3))*(SIN('Standard Settings'!$F30)+SIN('Standard Settings'!$F30+EchelleFPAparam!$M$3+(EchelleFPAparam!$F$3*EchelleFPAparam!$B$6)*COS(EchelleFPAparam!$AC$3)-(AI35-1024)*SIN(EchelleFPAparam!$AC$3)*EchelleFPAparam!$C$3/EchelleFPAparam!$E$3))</f>
        <v>4887.4936562821113</v>
      </c>
      <c r="CR35" s="26">
        <f>(EchelleFPAparam!$S$3/($U35+E$53)*COS((AJ35-EchelleFPAparam!$AE31)*EchelleFPAparam!$C$3/EchelleFPAparam!$E$3))*(SIN('Standard Settings'!$F30)+SIN('Standard Settings'!$F30+EchelleFPAparam!$M$3+(EchelleFPAparam!$F$3*EchelleFPAparam!$B$6)*COS(EchelleFPAparam!$AC$3)-(AJ35-1024)*SIN(EchelleFPAparam!$AC$3)*EchelleFPAparam!$C$3/EchelleFPAparam!$E$3))</f>
        <v>4480.1556119678407</v>
      </c>
      <c r="CS35" s="26">
        <f>(EchelleFPAparam!$S$3/($U35+F$53)*COS((AK35-EchelleFPAparam!$AE31)*EchelleFPAparam!$C$3/EchelleFPAparam!$E$3))*(SIN('Standard Settings'!$F30)+SIN('Standard Settings'!$F30+EchelleFPAparam!$M$3+(EchelleFPAparam!$F$3*EchelleFPAparam!$B$6)*COS(EchelleFPAparam!$AC$3)-(AK35-1024)*SIN(EchelleFPAparam!$AC$3)*EchelleFPAparam!$C$3/EchelleFPAparam!$E$3))</f>
        <v>4135.4279585679888</v>
      </c>
      <c r="CT35" s="26">
        <f>(EchelleFPAparam!$S$3/($U35+G$53)*COS((AL35-EchelleFPAparam!$AE31)*EchelleFPAparam!$C$3/EchelleFPAparam!$E$3))*(SIN('Standard Settings'!$F30)+SIN('Standard Settings'!$F30+EchelleFPAparam!$M$3+(EchelleFPAparam!$F$3*EchelleFPAparam!$B$6)*COS(EchelleFPAparam!$AC$3)-(AL35-1024)*SIN(EchelleFPAparam!$AC$3)*EchelleFPAparam!$C$3/EchelleFPAparam!$E$3))</f>
        <v>3839.9169033042358</v>
      </c>
      <c r="CU35" s="26">
        <f>(EchelleFPAparam!$S$3/($U35+H$53)*COS((AM35-EchelleFPAparam!$AE31)*EchelleFPAparam!$C$3/EchelleFPAparam!$E$3))*(SIN('Standard Settings'!$F30)+SIN('Standard Settings'!$F30+EchelleFPAparam!$M$3+(EchelleFPAparam!$F$3*EchelleFPAparam!$B$6)*COS(EchelleFPAparam!$AC$3)-(AM35-1024)*SIN(EchelleFPAparam!$AC$3)*EchelleFPAparam!$C$3/EchelleFPAparam!$E$3))</f>
        <v>3583.7919968224046</v>
      </c>
      <c r="CV35" s="26">
        <f>(EchelleFPAparam!$S$3/($U35+I$53)*COS((AN35-EchelleFPAparam!$AE31)*EchelleFPAparam!$C$3/EchelleFPAparam!$E$3))*(SIN('Standard Settings'!$F30)+SIN('Standard Settings'!$F30+EchelleFPAparam!$M$3+(EchelleFPAparam!$F$3*EchelleFPAparam!$B$6)*COS(EchelleFPAparam!$AC$3)-(AN35-1024)*SIN(EchelleFPAparam!$AC$3)*EchelleFPAparam!$C$3/EchelleFPAparam!$E$3))</f>
        <v>3360.014424837866</v>
      </c>
      <c r="CW35" s="26">
        <f>(EchelleFPAparam!$S$3/($U35+J$53)*COS((AO35-EchelleFPAparam!$AE31)*EchelleFPAparam!$C$3/EchelleFPAparam!$E$3))*(SIN('Standard Settings'!$F30)+SIN('Standard Settings'!$F30+EchelleFPAparam!$M$3+(EchelleFPAparam!$F$3*EchelleFPAparam!$B$6)*COS(EchelleFPAparam!$AC$3)-(AO35-1024)*SIN(EchelleFPAparam!$AC$3)*EchelleFPAparam!$C$3/EchelleFPAparam!$E$3))</f>
        <v>3162.3665174944622</v>
      </c>
      <c r="CX35" s="26">
        <f>(EchelleFPAparam!$S$3/($U35+K$53)*COS((AP35-EchelleFPAparam!$AE31)*EchelleFPAparam!$C$3/EchelleFPAparam!$E$3))*(SIN('Standard Settings'!$F30)+SIN('Standard Settings'!$F30+EchelleFPAparam!$M$3+(EchelleFPAparam!$F$3*EchelleFPAparam!$B$6)*COS(EchelleFPAparam!$AC$3)-(AP35-1024)*SIN(EchelleFPAparam!$AC$3)*EchelleFPAparam!$C$3/EchelleFPAparam!$E$3))</f>
        <v>2986.67948874477</v>
      </c>
      <c r="CY35" s="26">
        <f>(EchelleFPAparam!$S$3/($U35+B$53)*COS((AG35-EchelleFPAparam!$AE31)*EchelleFPAparam!$C$3/EchelleFPAparam!$E$3))*(SIN('Standard Settings'!$F30)+SIN('Standard Settings'!$F30+EchelleFPAparam!$M$3+EchelleFPAparam!$G$3*EchelleFPAparam!$B$6*COS(EchelleFPAparam!$AC$3)-(AG35-1024)*SIN(EchelleFPAparam!$AC$3)*EchelleFPAparam!$C$3/EchelleFPAparam!$E$3))</f>
        <v>6020.7980033710483</v>
      </c>
      <c r="CZ35" s="26">
        <f>(EchelleFPAparam!$S$3/($U35+C$53)*COS((AH35-EchelleFPAparam!$AE31)*EchelleFPAparam!$C$3/EchelleFPAparam!$E$3))*(SIN('Standard Settings'!$F30)+SIN('Standard Settings'!$F30+EchelleFPAparam!$M$3+EchelleFPAparam!$G$3*EchelleFPAparam!$B$6*COS(EchelleFPAparam!$AC$3)-(AH35-1024)*SIN(EchelleFPAparam!$AC$3)*EchelleFPAparam!$C$3/EchelleFPAparam!$E$3))</f>
        <v>5418.8608518502615</v>
      </c>
      <c r="DA35" s="26">
        <f>(EchelleFPAparam!$S$3/($U35+D$53)*COS((AI35-EchelleFPAparam!$AE31)*EchelleFPAparam!$C$3/EchelleFPAparam!$E$3))*(SIN('Standard Settings'!$F30)+SIN('Standard Settings'!$F30+EchelleFPAparam!$M$3+EchelleFPAparam!$G$3*EchelleFPAparam!$B$6*COS(EchelleFPAparam!$AC$3)-(AI35-1024)*SIN(EchelleFPAparam!$AC$3)*EchelleFPAparam!$C$3/EchelleFPAparam!$E$3))</f>
        <v>4926.2932376922536</v>
      </c>
      <c r="DB35" s="26">
        <f>(EchelleFPAparam!$S$3/($U35+E$53)*COS((AJ35-EchelleFPAparam!$AE31)*EchelleFPAparam!$C$3/EchelleFPAparam!$E$3))*(SIN('Standard Settings'!$F30)+SIN('Standard Settings'!$F30+EchelleFPAparam!$M$3+EchelleFPAparam!$G$3*EchelleFPAparam!$B$6*COS(EchelleFPAparam!$AC$3)-(AJ35-1024)*SIN(EchelleFPAparam!$AC$3)*EchelleFPAparam!$C$3/EchelleFPAparam!$E$3))</f>
        <v>4515.7145734691267</v>
      </c>
      <c r="DC35" s="26">
        <f>(EchelleFPAparam!$S$3/($U35+F$53)*COS((AK35-EchelleFPAparam!$AE31)*EchelleFPAparam!$C$3/EchelleFPAparam!$E$3))*(SIN('Standard Settings'!$F30)+SIN('Standard Settings'!$F30+EchelleFPAparam!$M$3+EchelleFPAparam!$G$3*EchelleFPAparam!$B$6*COS(EchelleFPAparam!$AC$3)-(AK35-1024)*SIN(EchelleFPAparam!$AC$3)*EchelleFPAparam!$C$3/EchelleFPAparam!$E$3))</f>
        <v>4168.245376517868</v>
      </c>
      <c r="DD35" s="26">
        <f>(EchelleFPAparam!$S$3/($U35+G$53)*COS((AL35-EchelleFPAparam!$AE31)*EchelleFPAparam!$C$3/EchelleFPAparam!$E$3))*(SIN('Standard Settings'!$F30)+SIN('Standard Settings'!$F30+EchelleFPAparam!$M$3+EchelleFPAparam!$G$3*EchelleFPAparam!$B$6*COS(EchelleFPAparam!$AC$3)-(AL35-1024)*SIN(EchelleFPAparam!$AC$3)*EchelleFPAparam!$C$3/EchelleFPAparam!$E$3))</f>
        <v>3870.3848976929389</v>
      </c>
      <c r="DE35" s="26">
        <f>(EchelleFPAparam!$S$3/($U35+H$53)*COS((AM35-EchelleFPAparam!$AE31)*EchelleFPAparam!$C$3/EchelleFPAparam!$E$3))*(SIN('Standard Settings'!$F30)+SIN('Standard Settings'!$F30+EchelleFPAparam!$M$3+EchelleFPAparam!$G$3*EchelleFPAparam!$B$6*COS(EchelleFPAparam!$AC$3)-(AM35-1024)*SIN(EchelleFPAparam!$AC$3)*EchelleFPAparam!$C$3/EchelleFPAparam!$E$3))</f>
        <v>3612.2242322714342</v>
      </c>
      <c r="DF35" s="26">
        <f>(EchelleFPAparam!$S$3/($U35+I$53)*COS((AN35-EchelleFPAparam!$AE31)*EchelleFPAparam!$C$3/EchelleFPAparam!$E$3))*(SIN('Standard Settings'!$F30)+SIN('Standard Settings'!$F30+EchelleFPAparam!$M$3+EchelleFPAparam!$G$3*EchelleFPAparam!$B$6*COS(EchelleFPAparam!$AC$3)-(AN35-1024)*SIN(EchelleFPAparam!$AC$3)*EchelleFPAparam!$C$3/EchelleFPAparam!$E$3))</f>
        <v>3386.6988768962142</v>
      </c>
      <c r="DG35" s="26">
        <f>(EchelleFPAparam!$S$3/($U35+J$53)*COS((AO35-EchelleFPAparam!$AE31)*EchelleFPAparam!$C$3/EchelleFPAparam!$E$3))*(SIN('Standard Settings'!$F30)+SIN('Standard Settings'!$F30+EchelleFPAparam!$M$3+EchelleFPAparam!$G$3*EchelleFPAparam!$B$6*COS(EchelleFPAparam!$AC$3)-(AO35-1024)*SIN(EchelleFPAparam!$AC$3)*EchelleFPAparam!$C$3/EchelleFPAparam!$E$3))</f>
        <v>3187.4812959023193</v>
      </c>
      <c r="DH35" s="26">
        <f>(EchelleFPAparam!$S$3/($U35+K$53)*COS((AP35-EchelleFPAparam!$AE31)*EchelleFPAparam!$C$3/EchelleFPAparam!$E$3))*(SIN('Standard Settings'!$F30)+SIN('Standard Settings'!$F30+EchelleFPAparam!$M$3+EchelleFPAparam!$G$3*EchelleFPAparam!$B$6*COS(EchelleFPAparam!$AC$3)-(AP35-1024)*SIN(EchelleFPAparam!$AC$3)*EchelleFPAparam!$C$3/EchelleFPAparam!$E$3))</f>
        <v>3010.3990016855241</v>
      </c>
      <c r="DI35" s="26">
        <f>(EchelleFPAparam!$S$3/($U35+B$53)*COS((AQ35-EchelleFPAparam!$AE31)*EchelleFPAparam!$C$3/EchelleFPAparam!$E$3))*(SIN('Standard Settings'!$F30)+SIN('Standard Settings'!$F30+EchelleFPAparam!$M$3+EchelleFPAparam!$H$3*EchelleFPAparam!$B$6*COS(EchelleFPAparam!$AC$3)-(AQ35-1024)*SIN(EchelleFPAparam!$AC$3)*EchelleFPAparam!$C$3/EchelleFPAparam!$E$3))</f>
        <v>6024.070453362132</v>
      </c>
      <c r="DJ35" s="26">
        <f>(EchelleFPAparam!$S$3/($U35+C$53)*COS((AR35-EchelleFPAparam!$AE31)*EchelleFPAparam!$C$3/EchelleFPAparam!$E$3))*(SIN('Standard Settings'!$F30)+SIN('Standard Settings'!$F30+EchelleFPAparam!$M$3+EchelleFPAparam!$H$3*EchelleFPAparam!$B$6*COS(EchelleFPAparam!$AC$3)-(AR35-1024)*SIN(EchelleFPAparam!$AC$3)*EchelleFPAparam!$C$3/EchelleFPAparam!$E$3))</f>
        <v>5421.8098946174405</v>
      </c>
      <c r="DK35" s="26">
        <f>(EchelleFPAparam!$S$3/($U35+D$53)*COS((AS35-EchelleFPAparam!$AE31)*EchelleFPAparam!$C$3/EchelleFPAparam!$E$3))*(SIN('Standard Settings'!$F30)+SIN('Standard Settings'!$F30+EchelleFPAparam!$M$3+EchelleFPAparam!$H$3*EchelleFPAparam!$B$6*COS(EchelleFPAparam!$AC$3)-(AS35-1024)*SIN(EchelleFPAparam!$AC$3)*EchelleFPAparam!$C$3/EchelleFPAparam!$E$3))</f>
        <v>4928.9690481788102</v>
      </c>
      <c r="DL35" s="26">
        <f>(EchelleFPAparam!$S$3/($U35+E$53)*COS((AT35-EchelleFPAparam!$AE31)*EchelleFPAparam!$C$3/EchelleFPAparam!$E$3))*(SIN('Standard Settings'!$F30)+SIN('Standard Settings'!$F30+EchelleFPAparam!$M$3+EchelleFPAparam!$H$3*EchelleFPAparam!$B$6*COS(EchelleFPAparam!$AC$3)-(AT35-1024)*SIN(EchelleFPAparam!$AC$3)*EchelleFPAparam!$C$3/EchelleFPAparam!$E$3))</f>
        <v>4518.1619632177044</v>
      </c>
      <c r="DM35" s="26">
        <f>(EchelleFPAparam!$S$3/($U35+F$53)*COS((AU35-EchelleFPAparam!$AE31)*EchelleFPAparam!$C$3/EchelleFPAparam!$E$3))*(SIN('Standard Settings'!$F30)+SIN('Standard Settings'!$F30+EchelleFPAparam!$M$3+EchelleFPAparam!$H$3*EchelleFPAparam!$B$6*COS(EchelleFPAparam!$AC$3)-(AU35-1024)*SIN(EchelleFPAparam!$AC$3)*EchelleFPAparam!$C$3/EchelleFPAparam!$E$3))</f>
        <v>4170.4992654718053</v>
      </c>
      <c r="DN35" s="26">
        <f>(EchelleFPAparam!$S$3/($U35+G$53)*COS((AV35-EchelleFPAparam!$AE31)*EchelleFPAparam!$C$3/EchelleFPAparam!$E$3))*(SIN('Standard Settings'!$F30)+SIN('Standard Settings'!$F30+EchelleFPAparam!$M$3+EchelleFPAparam!$H$3*EchelleFPAparam!$B$6*COS(EchelleFPAparam!$AC$3)-(AV35-1024)*SIN(EchelleFPAparam!$AC$3)*EchelleFPAparam!$C$3/EchelleFPAparam!$E$3))</f>
        <v>3872.4730128913279</v>
      </c>
      <c r="DO35" s="26">
        <f>(EchelleFPAparam!$S$3/($U35+H$53)*COS((AW35-EchelleFPAparam!$AE31)*EchelleFPAparam!$C$3/EchelleFPAparam!$E$3))*(SIN('Standard Settings'!$F30)+SIN('Standard Settings'!$F30+EchelleFPAparam!$M$3+EchelleFPAparam!$H$3*EchelleFPAparam!$B$6*COS(EchelleFPAparam!$AC$3)-(AW35-1024)*SIN(EchelleFPAparam!$AC$3)*EchelleFPAparam!$C$3/EchelleFPAparam!$E$3))</f>
        <v>3614.1687559451511</v>
      </c>
      <c r="DP35" s="26">
        <f>(EchelleFPAparam!$S$3/($U35+I$53)*COS((AX35-EchelleFPAparam!$AE31)*EchelleFPAparam!$C$3/EchelleFPAparam!$E$3))*(SIN('Standard Settings'!$F30)+SIN('Standard Settings'!$F30+EchelleFPAparam!$M$3+EchelleFPAparam!$H$3*EchelleFPAparam!$B$6*COS(EchelleFPAparam!$AC$3)-(AX35-1024)*SIN(EchelleFPAparam!$AC$3)*EchelleFPAparam!$C$3/EchelleFPAparam!$E$3))</f>
        <v>3388.5396300161992</v>
      </c>
      <c r="DQ35" s="26">
        <f>(EchelleFPAparam!$S$3/($U35+J$53)*COS((AY35-EchelleFPAparam!$AE31)*EchelleFPAparam!$C$3/EchelleFPAparam!$E$3))*(SIN('Standard Settings'!$F30)+SIN('Standard Settings'!$F30+EchelleFPAparam!$M$3+EchelleFPAparam!$H$3*EchelleFPAparam!$B$6*COS(EchelleFPAparam!$AC$3)-(AY35-1024)*SIN(EchelleFPAparam!$AC$3)*EchelleFPAparam!$C$3/EchelleFPAparam!$E$3))</f>
        <v>3189.2137694270109</v>
      </c>
      <c r="DR35" s="26">
        <f>(EchelleFPAparam!$S$3/($U35+K$53)*COS((AZ35-EchelleFPAparam!$AE31)*EchelleFPAparam!$C$3/EchelleFPAparam!$E$3))*(SIN('Standard Settings'!$F30)+SIN('Standard Settings'!$F30+EchelleFPAparam!$M$3+EchelleFPAparam!$H$3*EchelleFPAparam!$B$6*COS(EchelleFPAparam!$AC$3)-(AZ35-1024)*SIN(EchelleFPAparam!$AC$3)*EchelleFPAparam!$C$3/EchelleFPAparam!$E$3))</f>
        <v>3012.035226681066</v>
      </c>
      <c r="DS35" s="26">
        <f>(EchelleFPAparam!$S$3/($U35+B$53)*COS((AQ35-EchelleFPAparam!$AE31)*EchelleFPAparam!$C$3/EchelleFPAparam!$E$3))*(SIN('Standard Settings'!$F30)+SIN('Standard Settings'!$F30+EchelleFPAparam!$M$3+EchelleFPAparam!$I$3*EchelleFPAparam!$B$6*COS(EchelleFPAparam!$AC$3)-(AQ35-1024)*SIN(EchelleFPAparam!$AC$3)*EchelleFPAparam!$C$3/EchelleFPAparam!$E$3))</f>
        <v>6069.5964334666842</v>
      </c>
      <c r="DT35" s="26">
        <f>(EchelleFPAparam!$S$3/($U35+C$53)*COS((AR35-EchelleFPAparam!$AE31)*EchelleFPAparam!$C$3/EchelleFPAparam!$E$3))*(SIN('Standard Settings'!$F30)+SIN('Standard Settings'!$F30+EchelleFPAparam!$M$3+EchelleFPAparam!$I$3*EchelleFPAparam!$B$6*COS(EchelleFPAparam!$AC$3)-(AR35-1024)*SIN(EchelleFPAparam!$AC$3)*EchelleFPAparam!$C$3/EchelleFPAparam!$E$3))</f>
        <v>5462.7767277598132</v>
      </c>
      <c r="DU35" s="26">
        <f>(EchelleFPAparam!$S$3/($U35+D$53)*COS((AS35-EchelleFPAparam!$AE31)*EchelleFPAparam!$C$3/EchelleFPAparam!$E$3))*(SIN('Standard Settings'!$F30)+SIN('Standard Settings'!$F30+EchelleFPAparam!$M$3+EchelleFPAparam!$I$3*EchelleFPAparam!$B$6*COS(EchelleFPAparam!$AC$3)-(AS35-1024)*SIN(EchelleFPAparam!$AC$3)*EchelleFPAparam!$C$3/EchelleFPAparam!$E$3))</f>
        <v>4966.2028777001515</v>
      </c>
      <c r="DV35" s="26">
        <f>(EchelleFPAparam!$S$3/($U35+E$53)*COS((AT35-EchelleFPAparam!$AE31)*EchelleFPAparam!$C$3/EchelleFPAparam!$E$3))*(SIN('Standard Settings'!$F30)+SIN('Standard Settings'!$F30+EchelleFPAparam!$M$3+EchelleFPAparam!$I$3*EchelleFPAparam!$B$6*COS(EchelleFPAparam!$AC$3)-(AT35-1024)*SIN(EchelleFPAparam!$AC$3)*EchelleFPAparam!$C$3/EchelleFPAparam!$E$3))</f>
        <v>4552.2855323353842</v>
      </c>
      <c r="DW35" s="26">
        <f>(EchelleFPAparam!$S$3/($U35+F$53)*COS((AU35-EchelleFPAparam!$AE31)*EchelleFPAparam!$C$3/EchelleFPAparam!$E$3))*(SIN('Standard Settings'!$F30)+SIN('Standard Settings'!$F30+EchelleFPAparam!$M$3+EchelleFPAparam!$I$3*EchelleFPAparam!$B$6*COS(EchelleFPAparam!$AC$3)-(AU35-1024)*SIN(EchelleFPAparam!$AC$3)*EchelleFPAparam!$C$3/EchelleFPAparam!$E$3))</f>
        <v>4201.9916247489309</v>
      </c>
      <c r="DX35" s="26">
        <f>(EchelleFPAparam!$S$3/($U35+G$53)*COS((AV35-EchelleFPAparam!$AE31)*EchelleFPAparam!$C$3/EchelleFPAparam!$E$3))*(SIN('Standard Settings'!$F30)+SIN('Standard Settings'!$F30+EchelleFPAparam!$M$3+EchelleFPAparam!$I$3*EchelleFPAparam!$B$6*COS(EchelleFPAparam!$AC$3)-(AV35-1024)*SIN(EchelleFPAparam!$AC$3)*EchelleFPAparam!$C$3/EchelleFPAparam!$E$3))</f>
        <v>3901.7105424236961</v>
      </c>
      <c r="DY35" s="26">
        <f>(EchelleFPAparam!$S$3/($U35+H$53)*COS((AW35-EchelleFPAparam!$AE31)*EchelleFPAparam!$C$3/EchelleFPAparam!$E$3))*(SIN('Standard Settings'!$F30)+SIN('Standard Settings'!$F30+EchelleFPAparam!$M$3+EchelleFPAparam!$I$3*EchelleFPAparam!$B$6*COS(EchelleFPAparam!$AC$3)-(AW35-1024)*SIN(EchelleFPAparam!$AC$3)*EchelleFPAparam!$C$3/EchelleFPAparam!$E$3))</f>
        <v>3641.4525189490682</v>
      </c>
      <c r="DZ35" s="26">
        <f>(EchelleFPAparam!$S$3/($U35+I$53)*COS((AX35-EchelleFPAparam!$AE31)*EchelleFPAparam!$C$3/EchelleFPAparam!$E$3))*(SIN('Standard Settings'!$F30)+SIN('Standard Settings'!$F30+EchelleFPAparam!$M$3+EchelleFPAparam!$I$3*EchelleFPAparam!$B$6*COS(EchelleFPAparam!$AC$3)-(AX35-1024)*SIN(EchelleFPAparam!$AC$3)*EchelleFPAparam!$C$3/EchelleFPAparam!$E$3))</f>
        <v>3414.14799382501</v>
      </c>
      <c r="EA35" s="26">
        <f>(EchelleFPAparam!$S$3/($U35+J$53)*COS((AY35-EchelleFPAparam!$AE31)*EchelleFPAparam!$C$3/EchelleFPAparam!$E$3))*(SIN('Standard Settings'!$F30)+SIN('Standard Settings'!$F30+EchelleFPAparam!$M$3+EchelleFPAparam!$I$3*EchelleFPAparam!$B$6*COS(EchelleFPAparam!$AC$3)-(AY35-1024)*SIN(EchelleFPAparam!$AC$3)*EchelleFPAparam!$C$3/EchelleFPAparam!$E$3))</f>
        <v>3213.3157588941267</v>
      </c>
      <c r="EB35" s="26">
        <f>(EchelleFPAparam!$S$3/($U35+K$53)*COS((AZ35-EchelleFPAparam!$AE31)*EchelleFPAparam!$C$3/EchelleFPAparam!$E$3))*(SIN('Standard Settings'!$F30)+SIN('Standard Settings'!$F30+EchelleFPAparam!$M$3+EchelleFPAparam!$I$3*EchelleFPAparam!$B$6*COS(EchelleFPAparam!$AC$3)-(AZ35-1024)*SIN(EchelleFPAparam!$AC$3)*EchelleFPAparam!$C$3/EchelleFPAparam!$E$3))</f>
        <v>3034.7982167333421</v>
      </c>
      <c r="EC35" s="26">
        <f>(EchelleFPAparam!$S$3/($U35+B$53)*COS((BA35-EchelleFPAparam!$AE31)*EchelleFPAparam!$C$3/EchelleFPAparam!$E$3))*(SIN('Standard Settings'!$F30)+SIN('Standard Settings'!$F30+EchelleFPAparam!$M$3+EchelleFPAparam!$J$3*EchelleFPAparam!$B$6*COS(EchelleFPAparam!$AC$3)-(BA35-1024)*SIN(EchelleFPAparam!$AC$3)*EchelleFPAparam!$C$3/EchelleFPAparam!$E$3))</f>
        <v>6072.8236098845873</v>
      </c>
      <c r="ED35" s="26">
        <f>(EchelleFPAparam!$S$3/($U35+C$53)*COS((BB35-EchelleFPAparam!$AE31)*EchelleFPAparam!$C$3/EchelleFPAparam!$E$3))*(SIN('Standard Settings'!$F30)+SIN('Standard Settings'!$F30+EchelleFPAparam!$M$3+EchelleFPAparam!$J$3*EchelleFPAparam!$B$6*COS(EchelleFPAparam!$AC$3)-(BB35-1024)*SIN(EchelleFPAparam!$AC$3)*EchelleFPAparam!$C$3/EchelleFPAparam!$E$3))</f>
        <v>5465.6843012526906</v>
      </c>
      <c r="EE35" s="26">
        <f>(EchelleFPAparam!$S$3/($U35+D$53)*COS((BC35-EchelleFPAparam!$AE31)*EchelleFPAparam!$C$3/EchelleFPAparam!$E$3))*(SIN('Standard Settings'!$F30)+SIN('Standard Settings'!$F30+EchelleFPAparam!$M$3+EchelleFPAparam!$J$3*EchelleFPAparam!$B$6*COS(EchelleFPAparam!$AC$3)-(BC35-1024)*SIN(EchelleFPAparam!$AC$3)*EchelleFPAparam!$C$3/EchelleFPAparam!$E$3))</f>
        <v>4968.8410133032057</v>
      </c>
      <c r="EF35" s="26">
        <f>(EchelleFPAparam!$S$3/($U35+E$53)*COS((BD35-EchelleFPAparam!$AE31)*EchelleFPAparam!$C$3/EchelleFPAparam!$E$3))*(SIN('Standard Settings'!$F30)+SIN('Standard Settings'!$F30+EchelleFPAparam!$M$3+EchelleFPAparam!$J$3*EchelleFPAparam!$B$6*COS(EchelleFPAparam!$AC$3)-(BD35-1024)*SIN(EchelleFPAparam!$AC$3)*EchelleFPAparam!$C$3/EchelleFPAparam!$E$3))</f>
        <v>4554.6981435729367</v>
      </c>
      <c r="EG35" s="26">
        <f>(EchelleFPAparam!$S$3/($U35+F$53)*COS((BE35-EchelleFPAparam!$AE31)*EchelleFPAparam!$C$3/EchelleFPAparam!$E$3))*(SIN('Standard Settings'!$F30)+SIN('Standard Settings'!$F30+EchelleFPAparam!$M$3+EchelleFPAparam!$J$3*EchelleFPAparam!$B$6*COS(EchelleFPAparam!$AC$3)-(BE35-1024)*SIN(EchelleFPAparam!$AC$3)*EchelleFPAparam!$C$3/EchelleFPAparam!$E$3))</f>
        <v>4204.2165392850566</v>
      </c>
      <c r="EH35" s="26">
        <f>(EchelleFPAparam!$S$3/($U35+G$53)*COS((BF35-EchelleFPAparam!$AE31)*EchelleFPAparam!$C$3/EchelleFPAparam!$E$3))*(SIN('Standard Settings'!$F30)+SIN('Standard Settings'!$F30+EchelleFPAparam!$M$3+EchelleFPAparam!$J$3*EchelleFPAparam!$B$6*COS(EchelleFPAparam!$AC$3)-(BF35-1024)*SIN(EchelleFPAparam!$AC$3)*EchelleFPAparam!$C$3/EchelleFPAparam!$E$3))</f>
        <v>3903.7683482450643</v>
      </c>
      <c r="EI35" s="26">
        <f>(EchelleFPAparam!$S$3/($U35+H$53)*COS((BG35-EchelleFPAparam!$AE31)*EchelleFPAparam!$C$3/EchelleFPAparam!$E$3))*(SIN('Standard Settings'!$F30)+SIN('Standard Settings'!$F30+EchelleFPAparam!$M$3+EchelleFPAparam!$J$3*EchelleFPAparam!$B$6*COS(EchelleFPAparam!$AC$3)-(BG35-1024)*SIN(EchelleFPAparam!$AC$3)*EchelleFPAparam!$C$3/EchelleFPAparam!$E$3))</f>
        <v>3643.3684947315796</v>
      </c>
      <c r="EJ35" s="26">
        <f>(EchelleFPAparam!$S$3/($U35+I$53)*COS((BH35-EchelleFPAparam!$AE31)*EchelleFPAparam!$C$3/EchelleFPAparam!$E$3))*(SIN('Standard Settings'!$F30)+SIN('Standard Settings'!$F30+EchelleFPAparam!$M$3+EchelleFPAparam!$J$3*EchelleFPAparam!$B$6*COS(EchelleFPAparam!$AC$3)-(BH35-1024)*SIN(EchelleFPAparam!$AC$3)*EchelleFPAparam!$C$3/EchelleFPAparam!$E$3))</f>
        <v>3415.96328056008</v>
      </c>
      <c r="EK35" s="26">
        <f>(EchelleFPAparam!$S$3/($U35+J$53)*COS((BI35-EchelleFPAparam!$AE31)*EchelleFPAparam!$C$3/EchelleFPAparam!$E$3))*(SIN('Standard Settings'!$F30)+SIN('Standard Settings'!$F30+EchelleFPAparam!$M$3+EchelleFPAparam!$J$3*EchelleFPAparam!$B$6*COS(EchelleFPAparam!$AC$3)-(BI35-1024)*SIN(EchelleFPAparam!$AC$3)*EchelleFPAparam!$C$3/EchelleFPAparam!$E$3))</f>
        <v>3215.0242640565457</v>
      </c>
      <c r="EL35" s="26">
        <f>(EchelleFPAparam!$S$3/($U35+K$53)*COS((BJ35-EchelleFPAparam!$AE31)*EchelleFPAparam!$C$3/EchelleFPAparam!$E$3))*(SIN('Standard Settings'!$F30)+SIN('Standard Settings'!$F30+EchelleFPAparam!$M$3+EchelleFPAparam!$J$3*EchelleFPAparam!$B$6*COS(EchelleFPAparam!$AC$3)-(BJ35-1024)*SIN(EchelleFPAparam!$AC$3)*EchelleFPAparam!$C$3/EchelleFPAparam!$E$3))</f>
        <v>3036.4118049422937</v>
      </c>
      <c r="EM35" s="26">
        <f>(EchelleFPAparam!$S$3/($U35+B$53)*COS((BA35-EchelleFPAparam!$AE31)*EchelleFPAparam!$C$3/EchelleFPAparam!$E$3))*(SIN('Standard Settings'!$F30)+SIN('Standard Settings'!$F30+EchelleFPAparam!$M$3+EchelleFPAparam!$K$3*EchelleFPAparam!$B$6*COS(EchelleFPAparam!$AC$3)-(BA35-1024)*SIN(EchelleFPAparam!$AC$3)*EchelleFPAparam!$C$3/EchelleFPAparam!$E$3))</f>
        <v>6116.4012092831199</v>
      </c>
      <c r="EN35" s="26">
        <f>(EchelleFPAparam!$S$3/($U35+C$53)*COS((BB35-EchelleFPAparam!$AE31)*EchelleFPAparam!$C$3/EchelleFPAparam!$E$3))*(SIN('Standard Settings'!$F30)+SIN('Standard Settings'!$F30+EchelleFPAparam!$M$3+EchelleFPAparam!$K$3*EchelleFPAparam!$B$6*COS(EchelleFPAparam!$AC$3)-(BB35-1024)*SIN(EchelleFPAparam!$AC$3)*EchelleFPAparam!$C$3/EchelleFPAparam!$E$3))</f>
        <v>5504.8972234791354</v>
      </c>
      <c r="EO35" s="26">
        <f>(EchelleFPAparam!$S$3/($U35+D$53)*COS((BC35-EchelleFPAparam!$AE31)*EchelleFPAparam!$C$3/EchelleFPAparam!$E$3))*(SIN('Standard Settings'!$F30)+SIN('Standard Settings'!$F30+EchelleFPAparam!$M$3+EchelleFPAparam!$K$3*EchelleFPAparam!$B$6*COS(EchelleFPAparam!$AC$3)-(BC35-1024)*SIN(EchelleFPAparam!$AC$3)*EchelleFPAparam!$C$3/EchelleFPAparam!$E$3))</f>
        <v>5004.4801946727985</v>
      </c>
      <c r="EP35" s="26">
        <f>(EchelleFPAparam!$S$3/($U35+E$53)*COS((BD35-EchelleFPAparam!$AE31)*EchelleFPAparam!$C$3/EchelleFPAparam!$E$3))*(SIN('Standard Settings'!$F30)+SIN('Standard Settings'!$F30+EchelleFPAparam!$M$3+EchelleFPAparam!$K$3*EchelleFPAparam!$B$6*COS(EchelleFPAparam!$AC$3)-(BD35-1024)*SIN(EchelleFPAparam!$AC$3)*EchelleFPAparam!$C$3/EchelleFPAparam!$E$3))</f>
        <v>4587.359828121811</v>
      </c>
      <c r="EQ35" s="26">
        <f>(EchelleFPAparam!$S$3/($U35+F$53)*COS((BE35-EchelleFPAparam!$AE31)*EchelleFPAparam!$C$3/EchelleFPAparam!$E$3))*(SIN('Standard Settings'!$F30)+SIN('Standard Settings'!$F30+EchelleFPAparam!$M$3+EchelleFPAparam!$K$3*EchelleFPAparam!$B$6*COS(EchelleFPAparam!$AC$3)-(BE35-1024)*SIN(EchelleFPAparam!$AC$3)*EchelleFPAparam!$C$3/EchelleFPAparam!$E$3))</f>
        <v>4234.3595342785893</v>
      </c>
      <c r="ER35" s="26">
        <f>(EchelleFPAparam!$S$3/($U35+G$53)*COS((BF35-EchelleFPAparam!$AE31)*EchelleFPAparam!$C$3/EchelleFPAparam!$E$3))*(SIN('Standard Settings'!$F30)+SIN('Standard Settings'!$F30+EchelleFPAparam!$M$3+EchelleFPAparam!$K$3*EchelleFPAparam!$B$6*COS(EchelleFPAparam!$AC$3)-(BF35-1024)*SIN(EchelleFPAparam!$AC$3)*EchelleFPAparam!$C$3/EchelleFPAparam!$E$3))</f>
        <v>3931.7527104571232</v>
      </c>
      <c r="ES35" s="26">
        <f>(EchelleFPAparam!$S$3/($U35+H$53)*COS((BG35-EchelleFPAparam!$AE31)*EchelleFPAparam!$C$3/EchelleFPAparam!$E$3))*(SIN('Standard Settings'!$F30)+SIN('Standard Settings'!$F30+EchelleFPAparam!$M$3+EchelleFPAparam!$K$3*EchelleFPAparam!$B$6*COS(EchelleFPAparam!$AC$3)-(BG35-1024)*SIN(EchelleFPAparam!$AC$3)*EchelleFPAparam!$C$3/EchelleFPAparam!$E$3))</f>
        <v>3669.4825984758691</v>
      </c>
      <c r="ET35" s="26">
        <f>(EchelleFPAparam!$S$3/($U35+I$53)*COS((BH35-EchelleFPAparam!$AE31)*EchelleFPAparam!$C$3/EchelleFPAparam!$E$3))*(SIN('Standard Settings'!$F30)+SIN('Standard Settings'!$F30+EchelleFPAparam!$M$3+EchelleFPAparam!$K$3*EchelleFPAparam!$B$6*COS(EchelleFPAparam!$AC$3)-(BH35-1024)*SIN(EchelleFPAparam!$AC$3)*EchelleFPAparam!$C$3/EchelleFPAparam!$E$3))</f>
        <v>3440.4756802217548</v>
      </c>
      <c r="EU35" s="26">
        <f>(EchelleFPAparam!$S$3/($U35+J$53)*COS((BI35-EchelleFPAparam!$AE31)*EchelleFPAparam!$C$3/EchelleFPAparam!$E$3))*(SIN('Standard Settings'!$F30)+SIN('Standard Settings'!$F30+EchelleFPAparam!$M$3+EchelleFPAparam!$K$3*EchelleFPAparam!$B$6*COS(EchelleFPAparam!$AC$3)-(BI35-1024)*SIN(EchelleFPAparam!$AC$3)*EchelleFPAparam!$C$3/EchelleFPAparam!$E$3))</f>
        <v>3238.0947578557689</v>
      </c>
      <c r="EV35" s="26">
        <f>(EchelleFPAparam!$S$3/($U35+K$53)*COS((BJ35-EchelleFPAparam!$AE31)*EchelleFPAparam!$C$3/EchelleFPAparam!$E$3))*(SIN('Standard Settings'!$F30)+SIN('Standard Settings'!$F30+EchelleFPAparam!$M$3+EchelleFPAparam!$K$3*EchelleFPAparam!$B$6*COS(EchelleFPAparam!$AC$3)-(BJ35-1024)*SIN(EchelleFPAparam!$AC$3)*EchelleFPAparam!$C$3/EchelleFPAparam!$E$3))</f>
        <v>3058.2006046415599</v>
      </c>
      <c r="EW35" s="60">
        <f t="shared" si="40"/>
        <v>3360.014424837866</v>
      </c>
      <c r="EX35" s="60">
        <f t="shared" si="41"/>
        <v>5504.8972234791354</v>
      </c>
      <c r="EY35" s="90">
        <v>0.39</v>
      </c>
      <c r="EZ35" s="90">
        <v>0.36</v>
      </c>
      <c r="FA35" s="50">
        <v>30000</v>
      </c>
      <c r="FB35" s="95">
        <v>1000</v>
      </c>
      <c r="FC35" s="95">
        <v>1000</v>
      </c>
      <c r="FD35" s="50">
        <v>4500</v>
      </c>
      <c r="FE35" s="50">
        <v>4500</v>
      </c>
      <c r="FF35" s="50">
        <v>5000</v>
      </c>
      <c r="FG35" s="95">
        <v>1000</v>
      </c>
      <c r="FH35" s="95">
        <f t="shared" si="27"/>
        <v>250</v>
      </c>
      <c r="FI35" s="95">
        <f t="shared" si="28"/>
        <v>250</v>
      </c>
      <c r="FJ35" s="50">
        <f t="shared" si="29"/>
        <v>1125</v>
      </c>
      <c r="FK35" s="50">
        <f t="shared" si="30"/>
        <v>1125</v>
      </c>
      <c r="FL35" s="50">
        <f t="shared" si="31"/>
        <v>1250</v>
      </c>
      <c r="FM35" s="95">
        <f t="shared" si="32"/>
        <v>250</v>
      </c>
      <c r="FN35" s="50">
        <v>500</v>
      </c>
      <c r="FO35" s="91">
        <f>1/(F35*EchelleFPAparam!$Q$3)</f>
        <v>-2463.1315877971751</v>
      </c>
      <c r="FP35" s="91">
        <f t="shared" si="22"/>
        <v>-37.875891069211676</v>
      </c>
      <c r="FQ35" s="50">
        <v>-999999</v>
      </c>
      <c r="FR35" s="50">
        <v>-999999</v>
      </c>
      <c r="FS35" s="90">
        <v>2</v>
      </c>
      <c r="FT35" s="90">
        <v>546.072</v>
      </c>
      <c r="FU35" s="90">
        <v>1884.567</v>
      </c>
      <c r="FV35" s="50">
        <v>-999999</v>
      </c>
      <c r="FW35" s="50">
        <v>-999999</v>
      </c>
      <c r="FX35" s="50">
        <v>-999999</v>
      </c>
      <c r="FY35" s="90">
        <v>2</v>
      </c>
      <c r="FZ35" s="90">
        <v>1716.5740000000001</v>
      </c>
      <c r="GA35" s="90">
        <v>1391.463</v>
      </c>
      <c r="GB35" s="50">
        <v>-999999</v>
      </c>
      <c r="GC35" s="50">
        <v>-999999</v>
      </c>
      <c r="GD35" s="50">
        <v>-999999</v>
      </c>
      <c r="GE35" s="50">
        <v>-999999</v>
      </c>
      <c r="GF35" s="50">
        <v>-999999</v>
      </c>
      <c r="GG35" s="50">
        <v>-999999</v>
      </c>
      <c r="GH35" s="50">
        <v>-999999</v>
      </c>
      <c r="GI35" s="50">
        <v>-999999</v>
      </c>
      <c r="GJ35" s="50">
        <v>-999999</v>
      </c>
      <c r="GK35" s="50">
        <v>-999999</v>
      </c>
      <c r="GL35" s="50">
        <v>-999999</v>
      </c>
      <c r="GM35" s="50">
        <v>-999999</v>
      </c>
      <c r="GN35" s="50">
        <v>-999999</v>
      </c>
      <c r="GO35" s="50">
        <v>-999999</v>
      </c>
      <c r="GP35" s="50">
        <v>-999999</v>
      </c>
      <c r="GQ35" s="50">
        <v>-999999</v>
      </c>
      <c r="GR35" s="50">
        <v>-999999</v>
      </c>
      <c r="GS35" s="50">
        <v>-999999</v>
      </c>
      <c r="GT35" s="50">
        <v>-999999</v>
      </c>
      <c r="GU35" s="50">
        <v>-999999</v>
      </c>
      <c r="GV35" s="50">
        <v>-999999</v>
      </c>
      <c r="GW35" s="50">
        <v>-999999</v>
      </c>
      <c r="GX35" s="50">
        <v>-999999</v>
      </c>
      <c r="GY35" s="50">
        <v>-999999</v>
      </c>
      <c r="GZ35" s="50">
        <v>-999999</v>
      </c>
      <c r="HA35" s="50">
        <v>-999999</v>
      </c>
      <c r="HB35" s="50">
        <v>-999999</v>
      </c>
      <c r="HC35" s="50">
        <v>-999999</v>
      </c>
      <c r="HD35" s="50">
        <v>-999999</v>
      </c>
      <c r="HE35" s="50">
        <v>-999999</v>
      </c>
      <c r="HF35" s="50">
        <v>-999999</v>
      </c>
      <c r="HG35" s="50">
        <v>-999999</v>
      </c>
      <c r="HH35" s="50">
        <v>-999999</v>
      </c>
      <c r="HI35" s="50">
        <v>-999999</v>
      </c>
      <c r="HJ35" s="50">
        <v>-999999</v>
      </c>
      <c r="HK35" s="50">
        <v>-999999</v>
      </c>
      <c r="HL35" s="50">
        <v>-999999</v>
      </c>
      <c r="HM35" s="50">
        <v>-999999</v>
      </c>
      <c r="HN35" s="50">
        <v>-999999</v>
      </c>
      <c r="HO35" s="50">
        <v>-999999</v>
      </c>
      <c r="HP35" s="50">
        <v>-999999</v>
      </c>
      <c r="HQ35" s="50">
        <v>-999999</v>
      </c>
      <c r="HR35" s="50">
        <v>-999999</v>
      </c>
      <c r="HS35" s="50">
        <v>-999999</v>
      </c>
      <c r="HT35" s="50">
        <v>-999999</v>
      </c>
      <c r="HU35" s="50">
        <v>-999999</v>
      </c>
      <c r="HV35" s="50">
        <v>-999999</v>
      </c>
      <c r="HW35" s="50">
        <v>-999999</v>
      </c>
      <c r="HX35" s="50">
        <v>-999999</v>
      </c>
      <c r="HY35" s="50"/>
      <c r="HZ35" s="50"/>
      <c r="IA35" s="50"/>
      <c r="IB35" s="50"/>
      <c r="IC35" s="50"/>
      <c r="ID35" s="50"/>
      <c r="IE35" s="50"/>
      <c r="IF35" s="50"/>
      <c r="IG35" s="50"/>
      <c r="IH35" s="50"/>
      <c r="II35" s="50"/>
      <c r="IJ35" s="50"/>
      <c r="IK35" s="50"/>
      <c r="IL35" s="50"/>
      <c r="IM35" s="50"/>
      <c r="IN35" s="50"/>
      <c r="IO35" s="50"/>
      <c r="IP35" s="50"/>
      <c r="IQ35" s="50"/>
      <c r="IR35" s="50"/>
      <c r="IS35" s="50"/>
      <c r="IT35" s="50"/>
      <c r="IU35" s="50"/>
      <c r="IV35" s="50"/>
      <c r="IW35" s="50"/>
      <c r="IX35" s="50"/>
      <c r="IY35" s="50"/>
      <c r="IZ35" s="50"/>
      <c r="JA35" s="50"/>
      <c r="JB35" s="50"/>
      <c r="JC35" s="50"/>
      <c r="JD35" s="50"/>
      <c r="JE35" s="50"/>
      <c r="JF35" s="50"/>
      <c r="JG35" s="50"/>
      <c r="JH35" s="50"/>
      <c r="JI35" s="50"/>
      <c r="JJ35" s="50"/>
      <c r="JK35" s="50"/>
      <c r="JL35" s="50"/>
      <c r="JM35" s="50"/>
      <c r="JN35" s="50"/>
      <c r="JO35" s="50"/>
      <c r="JP35" s="50"/>
      <c r="JQ35" s="50"/>
      <c r="JR35" s="50"/>
      <c r="JS35" s="50"/>
      <c r="JT35" s="50"/>
      <c r="JU35" s="50"/>
      <c r="JV35" s="50"/>
      <c r="JW35" s="52">
        <f t="shared" si="23"/>
        <v>2771.8655238651545</v>
      </c>
      <c r="JX35" s="27">
        <f t="shared" si="24"/>
        <v>272276.95753477438</v>
      </c>
      <c r="JY35" s="107">
        <f>JW35*EchelleFPAparam!$Q$3</f>
        <v>-2.6402019114815593E-2</v>
      </c>
      <c r="KA35" s="19"/>
      <c r="KB35" s="19"/>
      <c r="KC35" s="19"/>
      <c r="KD35" s="19"/>
      <c r="KE35" s="19"/>
      <c r="KF35" s="19"/>
      <c r="KG35" s="19"/>
      <c r="KH35" s="19"/>
      <c r="KI35" s="19"/>
      <c r="KJ35" s="19"/>
      <c r="KK35" s="19"/>
      <c r="KL35" s="19"/>
      <c r="KM35" s="19"/>
      <c r="KW35" s="19"/>
      <c r="KX35" s="19"/>
      <c r="KY35" s="19"/>
      <c r="KZ35" s="19"/>
      <c r="LA35" s="19"/>
      <c r="LB35" s="19"/>
      <c r="LC35" s="19"/>
      <c r="LD35" s="19"/>
      <c r="LE35" s="19"/>
      <c r="LF35" s="19"/>
    </row>
    <row r="36" spans="1:318" x14ac:dyDescent="0.2">
      <c r="A36" s="53">
        <f t="shared" si="35"/>
        <v>30</v>
      </c>
      <c r="B36"/>
      <c r="C36"/>
      <c r="D36"/>
      <c r="E36"/>
      <c r="F36"/>
      <c r="G36"/>
      <c r="H36"/>
      <c r="I36" s="58"/>
      <c r="J36" s="58"/>
      <c r="K36"/>
      <c r="L36"/>
      <c r="M36"/>
      <c r="O36"/>
      <c r="P36"/>
      <c r="CM36" s="27" t="s">
        <v>819</v>
      </c>
      <c r="CN36" s="27" t="s">
        <v>820</v>
      </c>
      <c r="CR36"/>
      <c r="EQ36"/>
      <c r="ER36"/>
    </row>
    <row r="37" spans="1:318" x14ac:dyDescent="0.2">
      <c r="A37"/>
      <c r="B37"/>
      <c r="C37"/>
      <c r="D37"/>
      <c r="E37"/>
      <c r="F37"/>
      <c r="G37"/>
      <c r="H37"/>
      <c r="I37" s="58"/>
      <c r="J37" s="58"/>
      <c r="K37"/>
      <c r="L37"/>
      <c r="M37"/>
      <c r="O37"/>
      <c r="P37"/>
      <c r="CM37" s="27">
        <f t="shared" ref="CM37:CM65" si="42">AA7*0.00029</f>
        <v>0.29850002281332666</v>
      </c>
      <c r="CN37" s="27">
        <v>-0.13</v>
      </c>
      <c r="CO37" s="18">
        <f>CO7+(1-AG7/2048)*$CM37+$CN37</f>
        <v>1098.4875953975991</v>
      </c>
      <c r="CP37" s="18">
        <f t="shared" ref="CP37:CX37" si="43">CP7+(1-AH7/2048)*$CM37+$CN37</f>
        <v>1077.3927371798688</v>
      </c>
      <c r="CQ37" s="18">
        <f t="shared" si="43"/>
        <v>1057.0831102259656</v>
      </c>
      <c r="CR37" s="18">
        <f t="shared" si="43"/>
        <v>1037.5162623531578</v>
      </c>
      <c r="CS37" s="18">
        <f t="shared" si="43"/>
        <v>1018.6526701351021</v>
      </c>
      <c r="CT37" s="18">
        <f t="shared" si="43"/>
        <v>1000.4555566437707</v>
      </c>
      <c r="CU37" s="18">
        <f t="shared" si="43"/>
        <v>982.89057083094633</v>
      </c>
      <c r="CV37" s="18">
        <f t="shared" si="43"/>
        <v>965.92555531082041</v>
      </c>
      <c r="CW37" s="18">
        <f t="shared" si="43"/>
        <v>949.52941723529443</v>
      </c>
      <c r="CX37" s="18">
        <f t="shared" si="43"/>
        <v>933.68746201751992</v>
      </c>
      <c r="CY37" s="18">
        <f>CY7+(1-AG7/2048)*$CM37+$CN37</f>
        <v>1105.902083003263</v>
      </c>
      <c r="CZ37" s="18">
        <f t="shared" ref="CZ37:DR37" si="44">CZ7+(1-AH7/2048)*$CM37+$CN37</f>
        <v>1084.6640185197357</v>
      </c>
      <c r="DA37" s="18">
        <f t="shared" si="44"/>
        <v>1064.2165589663177</v>
      </c>
      <c r="DB37" s="18">
        <f t="shared" si="44"/>
        <v>1044.5169583205909</v>
      </c>
      <c r="DC37" s="18">
        <f t="shared" si="44"/>
        <v>1025.5254200686738</v>
      </c>
      <c r="DD37" s="18">
        <f t="shared" si="44"/>
        <v>1007.2049166146415</v>
      </c>
      <c r="DE37" s="18">
        <f t="shared" si="44"/>
        <v>989.52085621492574</v>
      </c>
      <c r="DF37" s="18">
        <f t="shared" si="44"/>
        <v>972.44085818412293</v>
      </c>
      <c r="DG37" s="18">
        <f t="shared" si="44"/>
        <v>955.93359342213398</v>
      </c>
      <c r="DH37" s="18">
        <f t="shared" si="44"/>
        <v>939.99051600661016</v>
      </c>
      <c r="DI37" s="18">
        <f t="shared" si="44"/>
        <v>1106.4068079712454</v>
      </c>
      <c r="DJ37" s="18">
        <f t="shared" si="44"/>
        <v>1085.1605930809476</v>
      </c>
      <c r="DK37" s="18">
        <f t="shared" si="44"/>
        <v>1064.7051212475251</v>
      </c>
      <c r="DL37" s="18">
        <f t="shared" si="44"/>
        <v>1044.9975952382731</v>
      </c>
      <c r="DM37" s="18">
        <f t="shared" si="44"/>
        <v>1025.9982535141332</v>
      </c>
      <c r="DN37" s="18">
        <f t="shared" si="44"/>
        <v>1007.6700632027215</v>
      </c>
      <c r="DO37" s="18">
        <f t="shared" si="44"/>
        <v>989.97852471865815</v>
      </c>
      <c r="DP37" s="18">
        <f t="shared" si="44"/>
        <v>972.89116764079915</v>
      </c>
      <c r="DQ37" s="18">
        <f t="shared" si="44"/>
        <v>956.3750724766378</v>
      </c>
      <c r="DR37" s="18">
        <f t="shared" si="44"/>
        <v>940.42371553212297</v>
      </c>
      <c r="DS37" s="18">
        <f>DS7+(1-AQ7/2048)*$CM37+$CN37</f>
        <v>1113.4688546767504</v>
      </c>
      <c r="DT37" s="18">
        <f t="shared" ref="DT37:EM37" si="45">DT7+(1-AR7/2048)*$CM37+$CN37</f>
        <v>1092.0861884441565</v>
      </c>
      <c r="DU37" s="18">
        <f t="shared" si="45"/>
        <v>1071.4993854980523</v>
      </c>
      <c r="DV37" s="18">
        <f t="shared" si="45"/>
        <v>1051.6653702572473</v>
      </c>
      <c r="DW37" s="18">
        <f t="shared" si="45"/>
        <v>1032.5441213490842</v>
      </c>
      <c r="DX37" s="18">
        <f t="shared" si="45"/>
        <v>1014.0983643817229</v>
      </c>
      <c r="DY37" s="18">
        <f t="shared" si="45"/>
        <v>996.29337580476317</v>
      </c>
      <c r="DZ37" s="18">
        <f t="shared" si="45"/>
        <v>979.09646598032089</v>
      </c>
      <c r="EA37" s="18">
        <f t="shared" si="45"/>
        <v>962.47444530993891</v>
      </c>
      <c r="EB37" s="18">
        <f t="shared" si="45"/>
        <v>946.3981344397846</v>
      </c>
      <c r="EC37" s="18">
        <f t="shared" si="45"/>
        <v>1113.962606975801</v>
      </c>
      <c r="ED37" s="18">
        <f t="shared" si="45"/>
        <v>1092.5721160811413</v>
      </c>
      <c r="EE37" s="18">
        <f t="shared" si="45"/>
        <v>1071.9774318704576</v>
      </c>
      <c r="EF37" s="18">
        <f t="shared" si="45"/>
        <v>1052.1356134122309</v>
      </c>
      <c r="EG37" s="18">
        <f t="shared" si="45"/>
        <v>1033.0066884740925</v>
      </c>
      <c r="EH37" s="18">
        <f t="shared" si="45"/>
        <v>1014.5533451522499</v>
      </c>
      <c r="EI37" s="18">
        <f t="shared" si="45"/>
        <v>996.74086661286253</v>
      </c>
      <c r="EJ37" s="18">
        <f t="shared" si="45"/>
        <v>979.53676116129998</v>
      </c>
      <c r="EK37" s="18">
        <f t="shared" si="45"/>
        <v>962.90978411661717</v>
      </c>
      <c r="EL37" s="18">
        <f t="shared" si="45"/>
        <v>946.85100379397181</v>
      </c>
      <c r="EM37" s="18">
        <f t="shared" si="45"/>
        <v>1120.5362027122385</v>
      </c>
      <c r="EN37" s="18">
        <f t="shared" ref="EN37:EN65" si="46">EN7+(1-BL7/2048)*$CM37+$CN37</f>
        <v>1099.0554620656742</v>
      </c>
      <c r="EO37" s="18">
        <f t="shared" ref="EO37:EO65" si="47">EO7+(1-BM7/2048)*$CM37+$CN37</f>
        <v>1078.3736745992387</v>
      </c>
      <c r="EP37" s="18">
        <f t="shared" ref="EP37:EP65" si="48">EP7+(1-BN7/2048)*$CM37+$CN37</f>
        <v>1058.4477378425572</v>
      </c>
      <c r="EQ37" s="18">
        <f t="shared" ref="EQ37:EQ65" si="49">EQ7+(1-BO7/2048)*$CM37+$CN37</f>
        <v>1039.237627317184</v>
      </c>
      <c r="ER37" s="18">
        <f t="shared" ref="ER37:ER65" si="50">ER7+(1-BP7/2048)*$CM37+$CN37</f>
        <v>1020.7059302473203</v>
      </c>
      <c r="ES37" s="18">
        <f t="shared" ref="ES37:ES65" si="51">ES7+(1-BQ7/2048)*$CM37+$CN37</f>
        <v>1002.8176301359993</v>
      </c>
      <c r="ET37" s="18">
        <f t="shared" ref="ET37:ET65" si="52">ET7+(1-BR7/2048)*$CM37+$CN37</f>
        <v>985.5402425572164</v>
      </c>
      <c r="EU37" s="18">
        <f t="shared" ref="EU37:EU65" si="53">EU7+(1-BS7/2048)*$CM37+$CN37</f>
        <v>968.84336469657433</v>
      </c>
      <c r="EV37" s="18">
        <f t="shared" ref="EV37:EV65" si="54">EV7+(1-BT7/2048)*$CM37+$CN37</f>
        <v>952.39808256310255</v>
      </c>
    </row>
    <row r="38" spans="1:318" x14ac:dyDescent="0.2">
      <c r="A38"/>
      <c r="B38"/>
      <c r="C38"/>
      <c r="D38"/>
      <c r="E38"/>
      <c r="F38"/>
      <c r="G38"/>
      <c r="H38"/>
      <c r="I38" s="58"/>
      <c r="J38" s="58"/>
      <c r="K38"/>
      <c r="L38"/>
      <c r="M38"/>
      <c r="O38"/>
      <c r="P38"/>
      <c r="CM38" s="27">
        <f t="shared" si="42"/>
        <v>0.29801333108372413</v>
      </c>
      <c r="CN38" s="27">
        <v>-0.13</v>
      </c>
      <c r="CO38" s="18">
        <f t="shared" ref="CO38:CX38" si="55">CO8+(1-AG8/2048)*$CM38+$CN38</f>
        <v>1096.6105573011246</v>
      </c>
      <c r="CP38" s="18">
        <f t="shared" si="55"/>
        <v>1075.55096398972</v>
      </c>
      <c r="CQ38" s="18">
        <f t="shared" si="55"/>
        <v>1055.275357799999</v>
      </c>
      <c r="CR38" s="18">
        <f t="shared" si="55"/>
        <v>1035.741347461274</v>
      </c>
      <c r="CS38" s="18">
        <f t="shared" si="55"/>
        <v>1016.9094663861434</v>
      </c>
      <c r="CT38" s="18">
        <f t="shared" si="55"/>
        <v>998.74299720408953</v>
      </c>
      <c r="CU38" s="18">
        <f t="shared" si="55"/>
        <v>981.2076106283464</v>
      </c>
      <c r="CV38" s="18">
        <f t="shared" si="55"/>
        <v>964.27123507851411</v>
      </c>
      <c r="CW38" s="18">
        <f t="shared" si="55"/>
        <v>947.90260984496956</v>
      </c>
      <c r="CX38" s="18">
        <f t="shared" si="55"/>
        <v>932.08924173117134</v>
      </c>
      <c r="CY38" s="18">
        <f t="shared" ref="CY38:DR38" si="56">CY8+(1-AG8/2048)*$CM38+$CN38</f>
        <v>1104.0691112436202</v>
      </c>
      <c r="CZ38" s="18">
        <f t="shared" si="56"/>
        <v>1082.865463422251</v>
      </c>
      <c r="DA38" s="18">
        <f t="shared" si="56"/>
        <v>1062.4512083661048</v>
      </c>
      <c r="DB38" s="18">
        <f t="shared" si="56"/>
        <v>1042.7836592385215</v>
      </c>
      <c r="DC38" s="18">
        <f t="shared" si="56"/>
        <v>1023.8230743445873</v>
      </c>
      <c r="DD38" s="18">
        <f t="shared" si="56"/>
        <v>1005.5324849745256</v>
      </c>
      <c r="DE38" s="18">
        <f t="shared" si="56"/>
        <v>987.87731797979518</v>
      </c>
      <c r="DF38" s="18">
        <f t="shared" si="56"/>
        <v>970.82527933463052</v>
      </c>
      <c r="DG38" s="18">
        <f t="shared" si="56"/>
        <v>954.34486462894643</v>
      </c>
      <c r="DH38" s="18">
        <f t="shared" si="56"/>
        <v>938.42979311303043</v>
      </c>
      <c r="DI38" s="18">
        <f t="shared" si="56"/>
        <v>1104.5770145591912</v>
      </c>
      <c r="DJ38" s="18">
        <f t="shared" si="56"/>
        <v>1083.3651599838972</v>
      </c>
      <c r="DK38" s="18">
        <f t="shared" si="56"/>
        <v>1062.9428384563473</v>
      </c>
      <c r="DL38" s="18">
        <f t="shared" si="56"/>
        <v>1043.2673145898686</v>
      </c>
      <c r="DM38" s="18">
        <f t="shared" si="56"/>
        <v>1024.298877231905</v>
      </c>
      <c r="DN38" s="18">
        <f t="shared" si="56"/>
        <v>1006.0005544754489</v>
      </c>
      <c r="DO38" s="18">
        <f t="shared" si="56"/>
        <v>988.3378676372314</v>
      </c>
      <c r="DP38" s="18">
        <f t="shared" si="56"/>
        <v>971.27841856181908</v>
      </c>
      <c r="DQ38" s="18">
        <f t="shared" si="56"/>
        <v>954.78906305222438</v>
      </c>
      <c r="DR38" s="18">
        <f t="shared" si="56"/>
        <v>938.86565155707308</v>
      </c>
      <c r="DS38" s="18">
        <f t="shared" ref="DS38:EL38" si="57">DS8+(1-AQ8/2048)*$CM38+$CN38</f>
        <v>1111.6837624465463</v>
      </c>
      <c r="DT38" s="18">
        <f t="shared" si="57"/>
        <v>1090.3345964832874</v>
      </c>
      <c r="DU38" s="18">
        <f t="shared" si="57"/>
        <v>1069.7801161732157</v>
      </c>
      <c r="DV38" s="18">
        <f t="shared" si="57"/>
        <v>1049.977305743176</v>
      </c>
      <c r="DW38" s="18">
        <f t="shared" si="57"/>
        <v>1030.8861931114729</v>
      </c>
      <c r="DX38" s="18">
        <f t="shared" si="57"/>
        <v>1012.4695632180506</v>
      </c>
      <c r="DY38" s="18">
        <f t="shared" si="57"/>
        <v>994.69271048768485</v>
      </c>
      <c r="DZ38" s="18">
        <f t="shared" si="57"/>
        <v>977.52301814999544</v>
      </c>
      <c r="EA38" s="18">
        <f t="shared" si="57"/>
        <v>960.92706352479445</v>
      </c>
      <c r="EB38" s="18">
        <f t="shared" si="57"/>
        <v>944.90713289378766</v>
      </c>
      <c r="EC38" s="18">
        <f t="shared" si="57"/>
        <v>1112.1808264257932</v>
      </c>
      <c r="ED38" s="18">
        <f t="shared" si="57"/>
        <v>1090.8237593351234</v>
      </c>
      <c r="EE38" s="18">
        <f t="shared" si="57"/>
        <v>1070.2613529495673</v>
      </c>
      <c r="EF38" s="18">
        <f t="shared" si="57"/>
        <v>1050.450686489927</v>
      </c>
      <c r="EG38" s="18">
        <f t="shared" si="57"/>
        <v>1031.3518467268896</v>
      </c>
      <c r="EH38" s="18">
        <f t="shared" si="57"/>
        <v>1012.9275710929867</v>
      </c>
      <c r="EI38" s="18">
        <f t="shared" si="57"/>
        <v>995.14320173600697</v>
      </c>
      <c r="EJ38" s="18">
        <f t="shared" si="57"/>
        <v>977.96626402823699</v>
      </c>
      <c r="EK38" s="18">
        <f t="shared" si="57"/>
        <v>961.36528738955951</v>
      </c>
      <c r="EL38" s="18">
        <f t="shared" si="57"/>
        <v>945.33375201396245</v>
      </c>
      <c r="EM38" s="18">
        <f t="shared" ref="EM38:EM65" si="58">EM8+(1-BK8/2048)*$CM38+$CN38</f>
        <v>1118.8031848075827</v>
      </c>
      <c r="EN38" s="18">
        <f t="shared" si="46"/>
        <v>1097.3548305954241</v>
      </c>
      <c r="EO38" s="18">
        <f t="shared" si="47"/>
        <v>1076.7043590768997</v>
      </c>
      <c r="EP38" s="18">
        <f t="shared" si="48"/>
        <v>1056.8086361029723</v>
      </c>
      <c r="EQ38" s="18">
        <f t="shared" si="49"/>
        <v>1037.6277207050243</v>
      </c>
      <c r="ER38" s="18">
        <f t="shared" si="50"/>
        <v>1019.1242230851835</v>
      </c>
      <c r="ES38" s="18">
        <f t="shared" si="51"/>
        <v>1001.263181982951</v>
      </c>
      <c r="ET38" s="18">
        <f t="shared" si="52"/>
        <v>984.01217287579766</v>
      </c>
      <c r="EU38" s="18">
        <f t="shared" si="53"/>
        <v>967.34081535659971</v>
      </c>
      <c r="EV38" s="18">
        <f t="shared" si="54"/>
        <v>950.91975043715661</v>
      </c>
    </row>
    <row r="39" spans="1:318" x14ac:dyDescent="0.2">
      <c r="A39"/>
      <c r="B39"/>
      <c r="C39"/>
      <c r="D39"/>
      <c r="E39"/>
      <c r="F39"/>
      <c r="G39"/>
      <c r="H39"/>
      <c r="I39" s="58"/>
      <c r="J39" s="58"/>
      <c r="K39"/>
      <c r="L39"/>
      <c r="M39"/>
      <c r="O39"/>
      <c r="P39"/>
      <c r="AI39" s="158"/>
      <c r="CM39" s="27">
        <f t="shared" si="42"/>
        <v>0.35742209680722342</v>
      </c>
      <c r="CN39" s="27">
        <v>-0.13</v>
      </c>
      <c r="CO39" s="18">
        <f t="shared" ref="CO39:CX39" si="59">CO9+(1-AG9/2048)*$CM39+$CN39</f>
        <v>1335.9013706282828</v>
      </c>
      <c r="CP39" s="18">
        <f t="shared" si="59"/>
        <v>1304.8855294882719</v>
      </c>
      <c r="CQ39" s="18">
        <f t="shared" si="59"/>
        <v>1275.263364812278</v>
      </c>
      <c r="CR39" s="18">
        <f t="shared" si="59"/>
        <v>1246.9436463586701</v>
      </c>
      <c r="CS39" s="18">
        <f t="shared" si="59"/>
        <v>1219.8431668007618</v>
      </c>
      <c r="CT39" s="18">
        <f t="shared" si="59"/>
        <v>1193.8854339612315</v>
      </c>
      <c r="CU39" s="18">
        <f t="shared" si="59"/>
        <v>1169.0010968033155</v>
      </c>
      <c r="CV39" s="18">
        <f t="shared" si="59"/>
        <v>1145.1243164271075</v>
      </c>
      <c r="CW39" s="18">
        <f t="shared" si="59"/>
        <v>1122.196137741824</v>
      </c>
      <c r="CX39" s="18">
        <f t="shared" si="59"/>
        <v>1100.1651761216308</v>
      </c>
      <c r="CY39" s="18">
        <f t="shared" ref="CY39:DR39" si="60">CY9+(1-AG9/2048)*$CM39+$CN39</f>
        <v>1344.8570229936456</v>
      </c>
      <c r="CZ39" s="18">
        <f t="shared" si="60"/>
        <v>1313.6321512134266</v>
      </c>
      <c r="DA39" s="18">
        <f t="shared" si="60"/>
        <v>1283.8104089064357</v>
      </c>
      <c r="DB39" s="18">
        <f t="shared" si="60"/>
        <v>1255.2999494280164</v>
      </c>
      <c r="DC39" s="18">
        <f t="shared" si="60"/>
        <v>1228.0169973663312</v>
      </c>
      <c r="DD39" s="18">
        <f t="shared" si="60"/>
        <v>1201.8845221761148</v>
      </c>
      <c r="DE39" s="18">
        <f t="shared" si="60"/>
        <v>1176.8327597952368</v>
      </c>
      <c r="DF39" s="18">
        <f t="shared" si="60"/>
        <v>1152.7953388149253</v>
      </c>
      <c r="DG39" s="18">
        <f t="shared" si="60"/>
        <v>1129.7129447838297</v>
      </c>
      <c r="DH39" s="18">
        <f t="shared" si="60"/>
        <v>1107.5407953585043</v>
      </c>
      <c r="DI39" s="18">
        <f t="shared" si="60"/>
        <v>1345.4667007951452</v>
      </c>
      <c r="DJ39" s="18">
        <f t="shared" si="60"/>
        <v>1314.2295803807531</v>
      </c>
      <c r="DK39" s="18">
        <f t="shared" si="60"/>
        <v>1284.3954960120514</v>
      </c>
      <c r="DL39" s="18">
        <f t="shared" si="60"/>
        <v>1255.8731269352684</v>
      </c>
      <c r="DM39" s="18">
        <f t="shared" si="60"/>
        <v>1228.5786519068472</v>
      </c>
      <c r="DN39" s="18">
        <f t="shared" si="60"/>
        <v>1202.4351873619505</v>
      </c>
      <c r="DO39" s="18">
        <f t="shared" si="60"/>
        <v>1177.3721232274759</v>
      </c>
      <c r="DP39" s="18">
        <f t="shared" si="60"/>
        <v>1153.3241183702009</v>
      </c>
      <c r="DQ39" s="18">
        <f t="shared" si="60"/>
        <v>1130.2312887729991</v>
      </c>
      <c r="DR39" s="18">
        <f t="shared" si="60"/>
        <v>1108.0476241848912</v>
      </c>
      <c r="DS39" s="18">
        <f t="shared" ref="DS39:EL39" si="61">DS9+(1-AQ9/2048)*$CM39+$CN39</f>
        <v>1353.9936986003715</v>
      </c>
      <c r="DT39" s="18">
        <f t="shared" si="61"/>
        <v>1322.557476437129</v>
      </c>
      <c r="DU39" s="18">
        <f t="shared" si="61"/>
        <v>1292.5333038403958</v>
      </c>
      <c r="DV39" s="18">
        <f t="shared" si="61"/>
        <v>1263.829264932117</v>
      </c>
      <c r="DW39" s="18">
        <f t="shared" si="61"/>
        <v>1236.3609972469578</v>
      </c>
      <c r="DX39" s="18">
        <f t="shared" si="61"/>
        <v>1210.0511192719368</v>
      </c>
      <c r="DY39" s="18">
        <f t="shared" si="61"/>
        <v>1184.8285682393418</v>
      </c>
      <c r="DZ39" s="18">
        <f t="shared" si="61"/>
        <v>1160.6275695832262</v>
      </c>
      <c r="EA39" s="18">
        <f t="shared" si="61"/>
        <v>1137.3878617670871</v>
      </c>
      <c r="EB39" s="18">
        <f t="shared" si="61"/>
        <v>1115.0701913243877</v>
      </c>
      <c r="EC39" s="18">
        <f t="shared" si="61"/>
        <v>1354.5901295550093</v>
      </c>
      <c r="ED39" s="18">
        <f t="shared" si="61"/>
        <v>1323.1418296221998</v>
      </c>
      <c r="EE39" s="18">
        <f t="shared" si="61"/>
        <v>1293.1057067369259</v>
      </c>
      <c r="EF39" s="18">
        <f t="shared" si="61"/>
        <v>1264.3899965982155</v>
      </c>
      <c r="EG39" s="18">
        <f t="shared" si="61"/>
        <v>1236.9103178707301</v>
      </c>
      <c r="EH39" s="18">
        <f t="shared" si="61"/>
        <v>1210.5893141662605</v>
      </c>
      <c r="EI39" s="18">
        <f t="shared" si="61"/>
        <v>1185.3558826143483</v>
      </c>
      <c r="EJ39" s="18">
        <f t="shared" si="61"/>
        <v>1161.1444418551378</v>
      </c>
      <c r="EK39" s="18">
        <f t="shared" si="61"/>
        <v>1137.8945307032373</v>
      </c>
      <c r="EL39" s="18">
        <f t="shared" si="61"/>
        <v>1115.5658932888591</v>
      </c>
      <c r="EM39" s="18">
        <f t="shared" si="58"/>
        <v>1362.449964211856</v>
      </c>
      <c r="EN39" s="18">
        <f t="shared" si="46"/>
        <v>1330.8658094092571</v>
      </c>
      <c r="EO39" s="18">
        <f t="shared" si="47"/>
        <v>1300.6995289243705</v>
      </c>
      <c r="EP39" s="18">
        <f t="shared" si="48"/>
        <v>1271.8592730993623</v>
      </c>
      <c r="EQ39" s="18">
        <f t="shared" si="49"/>
        <v>1244.2601757403688</v>
      </c>
      <c r="ER39" s="18">
        <f t="shared" si="50"/>
        <v>1217.8247211018383</v>
      </c>
      <c r="ES39" s="18">
        <f t="shared" si="51"/>
        <v>1192.4813513214094</v>
      </c>
      <c r="ET39" s="18">
        <f t="shared" si="52"/>
        <v>1168.164451662667</v>
      </c>
      <c r="EU39" s="18">
        <f t="shared" si="53"/>
        <v>1144.8133077030382</v>
      </c>
      <c r="EV39" s="18">
        <f t="shared" si="54"/>
        <v>1122.0186534338488</v>
      </c>
    </row>
    <row r="40" spans="1:318" x14ac:dyDescent="0.2">
      <c r="A40"/>
      <c r="B40"/>
      <c r="C40"/>
      <c r="D40"/>
      <c r="E40"/>
      <c r="F40"/>
      <c r="G40"/>
      <c r="H40"/>
      <c r="I40" s="58"/>
      <c r="J40" s="58"/>
      <c r="K40"/>
      <c r="L40"/>
      <c r="M40"/>
      <c r="O40"/>
      <c r="P40"/>
      <c r="CM40" s="27">
        <f t="shared" si="42"/>
        <v>0.35626141894890867</v>
      </c>
      <c r="CN40" s="27">
        <v>-0.13</v>
      </c>
      <c r="CO40" s="18">
        <f t="shared" ref="CO40:CX40" si="62">CO10+(1-AG10/2048)*$CM40+$CN40</f>
        <v>1331.3552749488633</v>
      </c>
      <c r="CP40" s="18">
        <f t="shared" si="62"/>
        <v>1300.4430760164341</v>
      </c>
      <c r="CQ40" s="18">
        <f t="shared" si="62"/>
        <v>1270.9201136200684</v>
      </c>
      <c r="CR40" s="18">
        <f t="shared" si="62"/>
        <v>1242.6953587133953</v>
      </c>
      <c r="CS40" s="18">
        <f t="shared" si="62"/>
        <v>1215.6860564131612</v>
      </c>
      <c r="CT40" s="18">
        <f t="shared" si="62"/>
        <v>1189.8160958515275</v>
      </c>
      <c r="CU40" s="18">
        <f t="shared" si="62"/>
        <v>1165.0149482324759</v>
      </c>
      <c r="CV40" s="18">
        <f t="shared" si="62"/>
        <v>1141.2186718293131</v>
      </c>
      <c r="CW40" s="18">
        <f t="shared" si="62"/>
        <v>1118.3681885204271</v>
      </c>
      <c r="CX40" s="18">
        <f t="shared" si="62"/>
        <v>1096.4143351304358</v>
      </c>
      <c r="CY40" s="18">
        <f t="shared" ref="CY40:DR40" si="63">CY10+(1-AG10/2048)*$CM40+$CN40</f>
        <v>1340.4180416705681</v>
      </c>
      <c r="CZ40" s="18">
        <f t="shared" si="63"/>
        <v>1309.2943218083378</v>
      </c>
      <c r="DA40" s="18">
        <f t="shared" si="63"/>
        <v>1279.5694043888573</v>
      </c>
      <c r="DB40" s="18">
        <f t="shared" si="63"/>
        <v>1251.1516420596083</v>
      </c>
      <c r="DC40" s="18">
        <f t="shared" si="63"/>
        <v>1223.9577012389236</v>
      </c>
      <c r="DD40" s="18">
        <f t="shared" si="63"/>
        <v>1197.9109400785924</v>
      </c>
      <c r="DE40" s="18">
        <f t="shared" si="63"/>
        <v>1172.9403189105035</v>
      </c>
      <c r="DF40" s="18">
        <f t="shared" si="63"/>
        <v>1148.9814900149941</v>
      </c>
      <c r="DG40" s="18">
        <f t="shared" si="63"/>
        <v>1125.9749635689741</v>
      </c>
      <c r="DH40" s="18">
        <f t="shared" si="63"/>
        <v>1103.8782489719722</v>
      </c>
      <c r="DI40" s="18">
        <f t="shared" si="63"/>
        <v>1341.0354479998714</v>
      </c>
      <c r="DJ40" s="18">
        <f t="shared" si="63"/>
        <v>1309.8992430840042</v>
      </c>
      <c r="DK40" s="18">
        <f t="shared" si="63"/>
        <v>1280.1618598557998</v>
      </c>
      <c r="DL40" s="18">
        <f t="shared" si="63"/>
        <v>1251.7320931164156</v>
      </c>
      <c r="DM40" s="18">
        <f t="shared" si="63"/>
        <v>1224.5263695067413</v>
      </c>
      <c r="DN40" s="18">
        <f t="shared" si="63"/>
        <v>1198.4680427075439</v>
      </c>
      <c r="DO40" s="18">
        <f t="shared" si="63"/>
        <v>1173.4867096419682</v>
      </c>
      <c r="DP40" s="18">
        <f t="shared" si="63"/>
        <v>1149.5171711069461</v>
      </c>
      <c r="DQ40" s="18">
        <f t="shared" si="63"/>
        <v>1126.4998795314191</v>
      </c>
      <c r="DR40" s="18">
        <f t="shared" si="63"/>
        <v>1104.3913385751941</v>
      </c>
      <c r="DS40" s="18">
        <f t="shared" ref="DS40:EL40" si="64">DS10+(1-AQ10/2048)*$CM40+$CN40</f>
        <v>1349.6710962795064</v>
      </c>
      <c r="DT40" s="18">
        <f t="shared" si="64"/>
        <v>1318.333265187827</v>
      </c>
      <c r="DU40" s="18">
        <f t="shared" si="64"/>
        <v>1288.4033816762467</v>
      </c>
      <c r="DV40" s="18">
        <f t="shared" si="64"/>
        <v>1259.789639884521</v>
      </c>
      <c r="DW40" s="18">
        <f t="shared" si="64"/>
        <v>1232.4079194203157</v>
      </c>
      <c r="DX40" s="18">
        <f t="shared" si="64"/>
        <v>1206.1810675351792</v>
      </c>
      <c r="DY40" s="18">
        <f t="shared" si="64"/>
        <v>1181.0382239470125</v>
      </c>
      <c r="DZ40" s="18">
        <f t="shared" si="64"/>
        <v>1156.9137489304567</v>
      </c>
      <c r="EA40" s="18">
        <f t="shared" si="64"/>
        <v>1133.7477175959523</v>
      </c>
      <c r="EB40" s="18">
        <f t="shared" si="64"/>
        <v>1111.5034696433972</v>
      </c>
      <c r="EC40" s="18">
        <f t="shared" si="64"/>
        <v>1350.2754334541924</v>
      </c>
      <c r="ED40" s="18">
        <f t="shared" si="64"/>
        <v>1318.9254156437387</v>
      </c>
      <c r="EE40" s="18">
        <f t="shared" si="64"/>
        <v>1288.9833995306919</v>
      </c>
      <c r="EF40" s="18">
        <f t="shared" si="64"/>
        <v>1260.3578207855371</v>
      </c>
      <c r="EG40" s="18">
        <f t="shared" si="64"/>
        <v>1232.9645545860838</v>
      </c>
      <c r="EH40" s="18">
        <f t="shared" si="64"/>
        <v>1206.7264357584543</v>
      </c>
      <c r="EI40" s="18">
        <f t="shared" si="64"/>
        <v>1181.5725723191169</v>
      </c>
      <c r="EJ40" s="18">
        <f t="shared" si="64"/>
        <v>1157.437544583509</v>
      </c>
      <c r="EK40" s="18">
        <f t="shared" si="64"/>
        <v>1134.2611667107983</v>
      </c>
      <c r="EL40" s="18">
        <f t="shared" si="64"/>
        <v>1112.0057031081776</v>
      </c>
      <c r="EM40" s="18">
        <f t="shared" si="58"/>
        <v>1358.2531993653411</v>
      </c>
      <c r="EN40" s="18">
        <f t="shared" si="46"/>
        <v>1326.7643597936976</v>
      </c>
      <c r="EO40" s="18">
        <f t="shared" si="47"/>
        <v>1296.689385858866</v>
      </c>
      <c r="EP40" s="18">
        <f t="shared" si="48"/>
        <v>1267.9365632587392</v>
      </c>
      <c r="EQ40" s="18">
        <f t="shared" si="49"/>
        <v>1240.4213558946724</v>
      </c>
      <c r="ER40" s="18">
        <f t="shared" si="50"/>
        <v>1214.0663485444218</v>
      </c>
      <c r="ES40" s="18">
        <f t="shared" si="51"/>
        <v>1188.8002170806249</v>
      </c>
      <c r="ET40" s="18">
        <f t="shared" si="52"/>
        <v>1164.5575279622069</v>
      </c>
      <c r="EU40" s="18">
        <f t="shared" si="53"/>
        <v>1141.2777041384943</v>
      </c>
      <c r="EV40" s="18">
        <f t="shared" si="54"/>
        <v>1118.5502543337418</v>
      </c>
    </row>
    <row r="41" spans="1:318" x14ac:dyDescent="0.2">
      <c r="A41"/>
      <c r="B41"/>
      <c r="C41"/>
      <c r="D41"/>
      <c r="E41"/>
      <c r="F41"/>
      <c r="G41"/>
      <c r="H41"/>
      <c r="I41" s="58"/>
      <c r="J41" s="58"/>
      <c r="K41"/>
      <c r="L41"/>
      <c r="M41"/>
      <c r="O41"/>
      <c r="P41"/>
      <c r="CM41" s="27">
        <f t="shared" si="42"/>
        <v>0.3556751692925626</v>
      </c>
      <c r="CN41" s="27">
        <v>-0.13</v>
      </c>
      <c r="CO41" s="18">
        <f t="shared" ref="CO41:CX41" si="65">CO11+(1-AG11/2048)*$CM41+$CN41</f>
        <v>1329.0601732152829</v>
      </c>
      <c r="CP41" s="18">
        <f t="shared" si="65"/>
        <v>1298.2004238742384</v>
      </c>
      <c r="CQ41" s="18">
        <f t="shared" si="65"/>
        <v>1268.7274173557607</v>
      </c>
      <c r="CR41" s="18">
        <f t="shared" si="65"/>
        <v>1240.5506375822406</v>
      </c>
      <c r="CS41" s="18">
        <f t="shared" si="65"/>
        <v>1213.5872849249188</v>
      </c>
      <c r="CT41" s="18">
        <f t="shared" si="65"/>
        <v>1187.7619714659397</v>
      </c>
      <c r="CU41" s="18">
        <f t="shared" si="65"/>
        <v>1163.0039494445182</v>
      </c>
      <c r="CV41" s="18">
        <f t="shared" si="65"/>
        <v>1139.2474384575371</v>
      </c>
      <c r="CW41" s="18">
        <f t="shared" si="65"/>
        <v>1116.4360301736058</v>
      </c>
      <c r="CX41" s="18">
        <f t="shared" si="65"/>
        <v>1094.5207213933345</v>
      </c>
      <c r="CY41" s="18">
        <f t="shared" ref="CY41:DR41" si="66">CY11+(1-AG11/2048)*$CM41+$CN41</f>
        <v>1338.17634583887</v>
      </c>
      <c r="CZ41" s="18">
        <f t="shared" si="66"/>
        <v>1307.1038306951973</v>
      </c>
      <c r="DA41" s="18">
        <f t="shared" si="66"/>
        <v>1277.4276856720169</v>
      </c>
      <c r="DB41" s="18">
        <f t="shared" si="66"/>
        <v>1249.0567638275106</v>
      </c>
      <c r="DC41" s="18">
        <f t="shared" si="66"/>
        <v>1221.9076836960378</v>
      </c>
      <c r="DD41" s="18">
        <f t="shared" si="66"/>
        <v>1195.9045868328699</v>
      </c>
      <c r="DE41" s="18">
        <f t="shared" si="66"/>
        <v>1170.976114780445</v>
      </c>
      <c r="DF41" s="18">
        <f t="shared" si="66"/>
        <v>1147.0560458514997</v>
      </c>
      <c r="DG41" s="18">
        <f t="shared" si="66"/>
        <v>1124.0876745814269</v>
      </c>
      <c r="DH41" s="18">
        <f t="shared" si="66"/>
        <v>1102.0286590147555</v>
      </c>
      <c r="DI41" s="18">
        <f t="shared" si="66"/>
        <v>1338.7975514672873</v>
      </c>
      <c r="DJ41" s="18">
        <f t="shared" si="66"/>
        <v>1307.7123532896594</v>
      </c>
      <c r="DK41" s="18">
        <f t="shared" si="66"/>
        <v>1278.0237827319418</v>
      </c>
      <c r="DL41" s="18">
        <f t="shared" si="66"/>
        <v>1249.6407764355915</v>
      </c>
      <c r="DM41" s="18">
        <f t="shared" si="66"/>
        <v>1222.479866702248</v>
      </c>
      <c r="DN41" s="18">
        <f t="shared" si="66"/>
        <v>1196.4645275583712</v>
      </c>
      <c r="DO41" s="18">
        <f t="shared" si="66"/>
        <v>1171.5244660580477</v>
      </c>
      <c r="DP41" s="18">
        <f t="shared" si="66"/>
        <v>1147.5945380949029</v>
      </c>
      <c r="DQ41" s="18">
        <f t="shared" si="66"/>
        <v>1124.6153930409025</v>
      </c>
      <c r="DR41" s="18">
        <f t="shared" si="66"/>
        <v>1102.5448705156564</v>
      </c>
      <c r="DS41" s="18">
        <f t="shared" ref="DS41:EL41" si="67">DS11+(1-AQ11/2048)*$CM41+$CN41</f>
        <v>1347.4873815975157</v>
      </c>
      <c r="DT41" s="18">
        <f t="shared" si="67"/>
        <v>1316.1992973695926</v>
      </c>
      <c r="DU41" s="18">
        <f t="shared" si="67"/>
        <v>1286.3170238491368</v>
      </c>
      <c r="DV41" s="18">
        <f t="shared" si="67"/>
        <v>1257.7488926552032</v>
      </c>
      <c r="DW41" s="18">
        <f t="shared" si="67"/>
        <v>1230.410886306074</v>
      </c>
      <c r="DX41" s="18">
        <f t="shared" si="67"/>
        <v>1204.2259692046534</v>
      </c>
      <c r="DY41" s="18">
        <f t="shared" si="67"/>
        <v>1179.1233881210389</v>
      </c>
      <c r="DZ41" s="18">
        <f t="shared" si="67"/>
        <v>1155.0375544586518</v>
      </c>
      <c r="EA41" s="18">
        <f t="shared" si="67"/>
        <v>1131.908741420762</v>
      </c>
      <c r="EB41" s="18">
        <f t="shared" si="67"/>
        <v>1109.7016658625282</v>
      </c>
      <c r="EC41" s="18">
        <f t="shared" si="67"/>
        <v>1348.0957379832382</v>
      </c>
      <c r="ED41" s="18">
        <f t="shared" si="67"/>
        <v>1316.7953091928327</v>
      </c>
      <c r="EE41" s="18">
        <f t="shared" si="67"/>
        <v>1286.9008451053608</v>
      </c>
      <c r="EF41" s="18">
        <f t="shared" si="67"/>
        <v>1258.3207964672631</v>
      </c>
      <c r="EG41" s="18">
        <f t="shared" si="67"/>
        <v>1230.9711736411721</v>
      </c>
      <c r="EH41" s="18">
        <f t="shared" si="67"/>
        <v>1204.7749183591391</v>
      </c>
      <c r="EI41" s="18">
        <f t="shared" si="67"/>
        <v>1179.6612462219475</v>
      </c>
      <c r="EJ41" s="18">
        <f t="shared" si="67"/>
        <v>1155.5648110993352</v>
      </c>
      <c r="EK41" s="18">
        <f t="shared" si="67"/>
        <v>1132.4255812697593</v>
      </c>
      <c r="EL41" s="18">
        <f t="shared" si="67"/>
        <v>1110.2071567674893</v>
      </c>
      <c r="EM41" s="18">
        <f t="shared" si="58"/>
        <v>1356.1324368171813</v>
      </c>
      <c r="EN41" s="18">
        <f t="shared" si="46"/>
        <v>1324.6916516920378</v>
      </c>
      <c r="EO41" s="18">
        <f t="shared" si="47"/>
        <v>1294.6628523879017</v>
      </c>
      <c r="EP41" s="18">
        <f t="shared" si="48"/>
        <v>1265.9542269911642</v>
      </c>
      <c r="EQ41" s="18">
        <f t="shared" si="49"/>
        <v>1238.4813915370626</v>
      </c>
      <c r="ER41" s="18">
        <f t="shared" si="50"/>
        <v>1212.1670352765357</v>
      </c>
      <c r="ES41" s="18">
        <f t="shared" si="51"/>
        <v>1186.9399260522016</v>
      </c>
      <c r="ET41" s="18">
        <f t="shared" si="52"/>
        <v>1162.7347340734675</v>
      </c>
      <c r="EU41" s="18">
        <f t="shared" si="53"/>
        <v>1139.4909460252006</v>
      </c>
      <c r="EV41" s="18">
        <f t="shared" si="54"/>
        <v>1116.7974960249708</v>
      </c>
    </row>
    <row r="42" spans="1:318" x14ac:dyDescent="0.2">
      <c r="A42"/>
      <c r="B42"/>
      <c r="C42"/>
      <c r="D42"/>
      <c r="E42"/>
      <c r="F42"/>
      <c r="G42"/>
      <c r="H42"/>
      <c r="I42" s="58"/>
      <c r="J42" s="58"/>
      <c r="K42"/>
      <c r="L42"/>
      <c r="M42"/>
      <c r="O42"/>
      <c r="P42"/>
      <c r="CM42" s="27">
        <f t="shared" si="42"/>
        <v>0.45887837011351873</v>
      </c>
      <c r="CN42" s="27">
        <v>-0.13</v>
      </c>
      <c r="CO42" s="18">
        <f t="shared" ref="CO42:CX42" si="68">CO12+(1-AG12/2048)*$CM42+$CN42</f>
        <v>1762.2063469827194</v>
      </c>
      <c r="CP42" s="18">
        <f t="shared" si="68"/>
        <v>1708.8681235416745</v>
      </c>
      <c r="CQ42" s="18">
        <f t="shared" si="68"/>
        <v>1658.6424995187085</v>
      </c>
      <c r="CR42" s="18">
        <f t="shared" si="68"/>
        <v>1611.2664451626933</v>
      </c>
      <c r="CS42" s="18">
        <f t="shared" si="68"/>
        <v>1566.5056041039611</v>
      </c>
      <c r="CT42" s="18">
        <f t="shared" si="68"/>
        <v>1524.1505055915734</v>
      </c>
      <c r="CU42" s="18">
        <f t="shared" si="68"/>
        <v>1484.0128998598059</v>
      </c>
      <c r="CV42" s="18">
        <f t="shared" si="68"/>
        <v>1445.9235390176445</v>
      </c>
      <c r="CW42" s="18">
        <f t="shared" si="68"/>
        <v>1409.7580407355883</v>
      </c>
      <c r="CX42" s="18">
        <f t="shared" si="68"/>
        <v>1375.3822667407374</v>
      </c>
      <c r="CY42" s="18">
        <f t="shared" ref="CY42:DR42" si="69">CY12+(1-AG12/2048)*$CM42+$CN42</f>
        <v>1773.7493223460754</v>
      </c>
      <c r="CZ42" s="18">
        <f t="shared" si="69"/>
        <v>1720.0601305464388</v>
      </c>
      <c r="DA42" s="18">
        <f t="shared" si="69"/>
        <v>1669.5041378667395</v>
      </c>
      <c r="DB42" s="18">
        <f t="shared" si="69"/>
        <v>1621.816566537746</v>
      </c>
      <c r="DC42" s="18">
        <f t="shared" si="69"/>
        <v>1576.7614935968995</v>
      </c>
      <c r="DD42" s="18">
        <f t="shared" si="69"/>
        <v>1534.1280653032156</v>
      </c>
      <c r="DE42" s="18">
        <f t="shared" si="69"/>
        <v>1493.7267645742998</v>
      </c>
      <c r="DF42" s="18">
        <f t="shared" si="69"/>
        <v>1455.387220857441</v>
      </c>
      <c r="DG42" s="18">
        <f t="shared" si="69"/>
        <v>1418.993444745935</v>
      </c>
      <c r="DH42" s="18">
        <f t="shared" si="69"/>
        <v>1384.392416994734</v>
      </c>
      <c r="DI42" s="18">
        <f t="shared" si="69"/>
        <v>1774.539296851932</v>
      </c>
      <c r="DJ42" s="18">
        <f t="shared" si="69"/>
        <v>1720.827304512921</v>
      </c>
      <c r="DK42" s="18">
        <f t="shared" si="69"/>
        <v>1670.2495194253959</v>
      </c>
      <c r="DL42" s="18">
        <f t="shared" si="69"/>
        <v>1622.5410827483645</v>
      </c>
      <c r="DM42" s="18">
        <f t="shared" si="69"/>
        <v>1577.4660545297252</v>
      </c>
      <c r="DN42" s="18">
        <f t="shared" si="69"/>
        <v>1534.8135526660744</v>
      </c>
      <c r="DO42" s="18">
        <f t="shared" si="69"/>
        <v>1494.3940650960114</v>
      </c>
      <c r="DP42" s="18">
        <f t="shared" si="69"/>
        <v>1456.037135415341</v>
      </c>
      <c r="DQ42" s="18">
        <f t="shared" si="69"/>
        <v>1419.6277044784385</v>
      </c>
      <c r="DR42" s="18">
        <f t="shared" si="69"/>
        <v>1385.0112069776644</v>
      </c>
      <c r="DS42" s="18">
        <f t="shared" ref="DS42:EL42" si="70">DS12+(1-AQ12/2048)*$CM42+$CN42</f>
        <v>1785.516606446892</v>
      </c>
      <c r="DT42" s="18">
        <f t="shared" si="70"/>
        <v>1731.470733853964</v>
      </c>
      <c r="DU42" s="18">
        <f t="shared" si="70"/>
        <v>1680.5786693301714</v>
      </c>
      <c r="DV42" s="18">
        <f t="shared" si="70"/>
        <v>1632.5738895381676</v>
      </c>
      <c r="DW42" s="18">
        <f t="shared" si="70"/>
        <v>1587.2189709948514</v>
      </c>
      <c r="DX42" s="18">
        <f t="shared" si="70"/>
        <v>1544.3017075351779</v>
      </c>
      <c r="DY42" s="18">
        <f t="shared" si="70"/>
        <v>1503.6313841587751</v>
      </c>
      <c r="DZ42" s="18">
        <f t="shared" si="70"/>
        <v>1465.0364739212225</v>
      </c>
      <c r="EA42" s="18">
        <f t="shared" si="70"/>
        <v>1428.4105925702036</v>
      </c>
      <c r="EB42" s="18">
        <f t="shared" si="70"/>
        <v>1393.5798782867034</v>
      </c>
      <c r="EC42" s="18">
        <f t="shared" si="70"/>
        <v>1786.2883759486613</v>
      </c>
      <c r="ED42" s="18">
        <f t="shared" si="70"/>
        <v>1732.2203023760051</v>
      </c>
      <c r="EE42" s="18">
        <f t="shared" si="70"/>
        <v>1681.3068657101935</v>
      </c>
      <c r="EF42" s="18">
        <f t="shared" si="70"/>
        <v>1633.281607158282</v>
      </c>
      <c r="EG42" s="18">
        <f t="shared" si="70"/>
        <v>1587.9070779147812</v>
      </c>
      <c r="EH42" s="18">
        <f t="shared" si="70"/>
        <v>1544.9709539228127</v>
      </c>
      <c r="EI42" s="18">
        <f t="shared" si="70"/>
        <v>1504.2828571184307</v>
      </c>
      <c r="EJ42" s="18">
        <f t="shared" si="70"/>
        <v>1465.671278029989</v>
      </c>
      <c r="EK42" s="18">
        <f t="shared" si="70"/>
        <v>1429.0301524061369</v>
      </c>
      <c r="EL42" s="18">
        <f t="shared" si="70"/>
        <v>1394.1843269071262</v>
      </c>
      <c r="EM42" s="18">
        <f t="shared" si="58"/>
        <v>1796.3443041796718</v>
      </c>
      <c r="EN42" s="18">
        <f t="shared" si="46"/>
        <v>1742.0378075984174</v>
      </c>
      <c r="EO42" s="18">
        <f t="shared" si="47"/>
        <v>1690.8996450379357</v>
      </c>
      <c r="EP42" s="18">
        <f t="shared" si="48"/>
        <v>1642.6620902654843</v>
      </c>
      <c r="EQ42" s="18">
        <f t="shared" si="49"/>
        <v>1597.08692612753</v>
      </c>
      <c r="ER42" s="18">
        <f t="shared" si="50"/>
        <v>1553.9607378274934</v>
      </c>
      <c r="ES42" s="18">
        <f t="shared" si="51"/>
        <v>1513.0923895584708</v>
      </c>
      <c r="ET42" s="18">
        <f t="shared" si="52"/>
        <v>1474.3099832251517</v>
      </c>
      <c r="EU42" s="18">
        <f t="shared" si="53"/>
        <v>1437.0132104346199</v>
      </c>
      <c r="EV42" s="18">
        <f t="shared" si="54"/>
        <v>1401.9721291647538</v>
      </c>
    </row>
    <row r="43" spans="1:318" x14ac:dyDescent="0.2">
      <c r="A43"/>
      <c r="B43"/>
      <c r="C43"/>
      <c r="D43"/>
      <c r="E43"/>
      <c r="F43"/>
      <c r="G43"/>
      <c r="H43"/>
      <c r="I43" s="58"/>
      <c r="J43" s="58"/>
      <c r="K43"/>
      <c r="L43"/>
      <c r="M43"/>
      <c r="O43"/>
      <c r="P43"/>
      <c r="CM43" s="27">
        <f t="shared" si="42"/>
        <v>0.45669132022579445</v>
      </c>
      <c r="CN43" s="27">
        <v>-0.13</v>
      </c>
      <c r="CO43" s="18">
        <f t="shared" ref="CO43:CX43" si="71">CO13+(1-AG13/2048)*$CM43+$CN43</f>
        <v>1753.3961432827839</v>
      </c>
      <c r="CP43" s="18">
        <f t="shared" si="71"/>
        <v>1700.3214808417754</v>
      </c>
      <c r="CQ43" s="18">
        <f t="shared" si="71"/>
        <v>1650.3443993853293</v>
      </c>
      <c r="CR43" s="18">
        <f t="shared" si="71"/>
        <v>1603.2031425395105</v>
      </c>
      <c r="CS43" s="18">
        <f t="shared" si="71"/>
        <v>1558.6644129887698</v>
      </c>
      <c r="CT43" s="18">
        <f t="shared" si="71"/>
        <v>1516.5197052528345</v>
      </c>
      <c r="CU43" s="18">
        <f t="shared" si="71"/>
        <v>1476.5816686381886</v>
      </c>
      <c r="CV43" s="18">
        <f t="shared" si="71"/>
        <v>1438.6816787737876</v>
      </c>
      <c r="CW43" s="18">
        <f t="shared" si="71"/>
        <v>1402.6999991014245</v>
      </c>
      <c r="CX43" s="18">
        <f t="shared" si="71"/>
        <v>1368.4963165135966</v>
      </c>
      <c r="CY43" s="18">
        <f t="shared" ref="CY43:DR43" si="72">CY13+(1-AG13/2048)*$CM43+$CN43</f>
        <v>1765.1509983880985</v>
      </c>
      <c r="CZ43" s="18">
        <f t="shared" si="72"/>
        <v>1711.7189497884863</v>
      </c>
      <c r="DA43" s="18">
        <f t="shared" si="72"/>
        <v>1661.4054595268065</v>
      </c>
      <c r="DB43" s="18">
        <f t="shared" si="72"/>
        <v>1613.9469882729147</v>
      </c>
      <c r="DC43" s="18">
        <f t="shared" si="72"/>
        <v>1569.1086475294128</v>
      </c>
      <c r="DD43" s="18">
        <f t="shared" si="72"/>
        <v>1526.6805185230005</v>
      </c>
      <c r="DE43" s="18">
        <f t="shared" si="72"/>
        <v>1486.4739638588308</v>
      </c>
      <c r="DF43" s="18">
        <f t="shared" si="72"/>
        <v>1448.3192102740447</v>
      </c>
      <c r="DG43" s="18">
        <f t="shared" si="72"/>
        <v>1412.1050384911873</v>
      </c>
      <c r="DH43" s="18">
        <f t="shared" si="72"/>
        <v>1377.671964698731</v>
      </c>
      <c r="DI43" s="18">
        <f t="shared" si="72"/>
        <v>1765.955941596513</v>
      </c>
      <c r="DJ43" s="18">
        <f t="shared" si="72"/>
        <v>1712.5006534390782</v>
      </c>
      <c r="DK43" s="18">
        <f t="shared" si="72"/>
        <v>1662.1649941821991</v>
      </c>
      <c r="DL43" s="18">
        <f t="shared" si="72"/>
        <v>1614.6852814736715</v>
      </c>
      <c r="DM43" s="18">
        <f t="shared" si="72"/>
        <v>1569.8266222701752</v>
      </c>
      <c r="DN43" s="18">
        <f t="shared" si="72"/>
        <v>1527.3791410532808</v>
      </c>
      <c r="DO43" s="18">
        <f t="shared" si="72"/>
        <v>1487.1540403128904</v>
      </c>
      <c r="DP43" s="18">
        <f t="shared" si="72"/>
        <v>1448.981450321719</v>
      </c>
      <c r="DQ43" s="18">
        <f t="shared" si="72"/>
        <v>1412.7513250018842</v>
      </c>
      <c r="DR43" s="18">
        <f t="shared" si="72"/>
        <v>1378.3024881238011</v>
      </c>
      <c r="DS43" s="18">
        <f t="shared" ref="DS43:EL43" si="73">DS13+(1-AQ13/2048)*$CM43+$CN43</f>
        <v>1777.1481129895642</v>
      </c>
      <c r="DT43" s="18">
        <f t="shared" si="73"/>
        <v>1723.3524384392583</v>
      </c>
      <c r="DU43" s="18">
        <f t="shared" si="73"/>
        <v>1672.6963749909257</v>
      </c>
      <c r="DV43" s="18">
        <f t="shared" si="73"/>
        <v>1624.9145450095407</v>
      </c>
      <c r="DW43" s="18">
        <f t="shared" si="73"/>
        <v>1579.7705374600539</v>
      </c>
      <c r="DX43" s="18">
        <f t="shared" si="73"/>
        <v>1537.0531350463345</v>
      </c>
      <c r="DY43" s="18">
        <f t="shared" si="73"/>
        <v>1496.5723059556044</v>
      </c>
      <c r="DZ43" s="18">
        <f t="shared" si="73"/>
        <v>1458.1570863760387</v>
      </c>
      <c r="EA43" s="18">
        <f t="shared" si="73"/>
        <v>1421.7062390107424</v>
      </c>
      <c r="EB43" s="18">
        <f t="shared" si="73"/>
        <v>1387.0389895958579</v>
      </c>
      <c r="EC43" s="18">
        <f t="shared" si="73"/>
        <v>1777.9354174900693</v>
      </c>
      <c r="ED43" s="18">
        <f t="shared" si="73"/>
        <v>1724.1171148916915</v>
      </c>
      <c r="EE43" s="18">
        <f t="shared" si="73"/>
        <v>1673.4392951217947</v>
      </c>
      <c r="EF43" s="18">
        <f t="shared" si="73"/>
        <v>1625.6366251945537</v>
      </c>
      <c r="EG43" s="18">
        <f t="shared" si="73"/>
        <v>1580.4726529629972</v>
      </c>
      <c r="EH43" s="18">
        <f t="shared" si="73"/>
        <v>1537.736039243096</v>
      </c>
      <c r="EI43" s="18">
        <f t="shared" si="73"/>
        <v>1497.2371260455839</v>
      </c>
      <c r="EJ43" s="18">
        <f t="shared" si="73"/>
        <v>1458.8047452456599</v>
      </c>
      <c r="EK43" s="18">
        <f t="shared" si="73"/>
        <v>1422.3383422120892</v>
      </c>
      <c r="EL43" s="18">
        <f t="shared" si="73"/>
        <v>1387.6556756459524</v>
      </c>
      <c r="EM43" s="18">
        <f t="shared" si="58"/>
        <v>1788.2221362224643</v>
      </c>
      <c r="EN43" s="18">
        <f t="shared" si="46"/>
        <v>1734.1580256180416</v>
      </c>
      <c r="EO43" s="18">
        <f t="shared" si="47"/>
        <v>1683.248549736466</v>
      </c>
      <c r="EP43" s="18">
        <f t="shared" si="48"/>
        <v>1635.2270785885846</v>
      </c>
      <c r="EQ43" s="18">
        <f t="shared" si="49"/>
        <v>1589.8563560150842</v>
      </c>
      <c r="ER43" s="18">
        <f t="shared" si="50"/>
        <v>1546.9237954965001</v>
      </c>
      <c r="ES43" s="18">
        <f t="shared" si="51"/>
        <v>1506.2391920529158</v>
      </c>
      <c r="ET43" s="18">
        <f t="shared" si="52"/>
        <v>1467.6312907080237</v>
      </c>
      <c r="EU43" s="18">
        <f t="shared" si="53"/>
        <v>1430.4981245421302</v>
      </c>
      <c r="EV43" s="18">
        <f t="shared" si="54"/>
        <v>1395.6158944635474</v>
      </c>
    </row>
    <row r="44" spans="1:318" x14ac:dyDescent="0.2">
      <c r="A44"/>
      <c r="B44"/>
      <c r="C44"/>
      <c r="D44"/>
      <c r="E44"/>
      <c r="F44"/>
      <c r="G44"/>
      <c r="H44"/>
      <c r="I44" s="58"/>
      <c r="J44" s="58"/>
      <c r="K44"/>
      <c r="L44"/>
      <c r="M44"/>
      <c r="O44"/>
      <c r="P44"/>
      <c r="CM44" s="27">
        <f t="shared" si="42"/>
        <v>0.45445883368068873</v>
      </c>
      <c r="CN44" s="27">
        <v>-0.13</v>
      </c>
      <c r="CO44" s="18">
        <f t="shared" ref="CO44:CX44" si="74">CO14+(1-AG14/2048)*$CM44+$CN44</f>
        <v>1744.4113689414326</v>
      </c>
      <c r="CP44" s="18">
        <f t="shared" si="74"/>
        <v>1691.6055083247782</v>
      </c>
      <c r="CQ44" s="18">
        <f t="shared" si="74"/>
        <v>1641.8819159661023</v>
      </c>
      <c r="CR44" s="18">
        <f t="shared" si="74"/>
        <v>1594.9801194955339</v>
      </c>
      <c r="CS44" s="18">
        <f t="shared" si="74"/>
        <v>1550.6679197203719</v>
      </c>
      <c r="CT44" s="18">
        <f t="shared" si="74"/>
        <v>1508.7377677143033</v>
      </c>
      <c r="CU44" s="18">
        <f t="shared" si="74"/>
        <v>1469.0032420479279</v>
      </c>
      <c r="CV44" s="18">
        <f t="shared" si="74"/>
        <v>1431.2966268051543</v>
      </c>
      <c r="CW44" s="18">
        <f t="shared" si="74"/>
        <v>1395.5023885654432</v>
      </c>
      <c r="CX44" s="18">
        <f t="shared" si="74"/>
        <v>1361.4742003418175</v>
      </c>
      <c r="CY44" s="18">
        <f t="shared" ref="CY44:DR44" si="75">CY14+(1-AG14/2048)*$CM44+$CN44</f>
        <v>1756.376931808169</v>
      </c>
      <c r="CZ44" s="18">
        <f t="shared" si="75"/>
        <v>1703.2073016957079</v>
      </c>
      <c r="DA44" s="18">
        <f t="shared" si="75"/>
        <v>1653.1412929113715</v>
      </c>
      <c r="DB44" s="18">
        <f t="shared" si="75"/>
        <v>1605.9166153597482</v>
      </c>
      <c r="DC44" s="18">
        <f t="shared" si="75"/>
        <v>1561.2994545960842</v>
      </c>
      <c r="DD44" s="18">
        <f t="shared" si="75"/>
        <v>1519.0808170219659</v>
      </c>
      <c r="DE44" s="18">
        <f t="shared" si="75"/>
        <v>1479.0729760540803</v>
      </c>
      <c r="DF44" s="18">
        <f t="shared" si="75"/>
        <v>1441.1070482284288</v>
      </c>
      <c r="DG44" s="18">
        <f t="shared" si="75"/>
        <v>1405.0761276182348</v>
      </c>
      <c r="DH44" s="18">
        <f t="shared" si="75"/>
        <v>1370.8144335640532</v>
      </c>
      <c r="DI44" s="18">
        <f t="shared" si="75"/>
        <v>1757.1967231629324</v>
      </c>
      <c r="DJ44" s="18">
        <f t="shared" si="75"/>
        <v>1704.0034853938328</v>
      </c>
      <c r="DK44" s="18">
        <f t="shared" si="75"/>
        <v>1653.9149220999711</v>
      </c>
      <c r="DL44" s="18">
        <f t="shared" si="75"/>
        <v>1606.668628799632</v>
      </c>
      <c r="DM44" s="18">
        <f t="shared" si="75"/>
        <v>1562.0308133286637</v>
      </c>
      <c r="DN44" s="18">
        <f t="shared" si="75"/>
        <v>1519.7924793555885</v>
      </c>
      <c r="DO44" s="18">
        <f t="shared" si="75"/>
        <v>1479.7657916902094</v>
      </c>
      <c r="DP44" s="18">
        <f t="shared" si="75"/>
        <v>1441.781547815857</v>
      </c>
      <c r="DQ44" s="18">
        <f t="shared" si="75"/>
        <v>1405.7343766074598</v>
      </c>
      <c r="DR44" s="18">
        <f t="shared" si="75"/>
        <v>1371.4566276998826</v>
      </c>
      <c r="DS44" s="18">
        <f t="shared" ref="DS44:EL44" si="76">DS14+(1-AQ14/2048)*$CM44+$CN44</f>
        <v>1768.6026414252578</v>
      </c>
      <c r="DT44" s="18">
        <f t="shared" si="76"/>
        <v>1715.0625424432083</v>
      </c>
      <c r="DU44" s="18">
        <f t="shared" si="76"/>
        <v>1664.6474811872495</v>
      </c>
      <c r="DV44" s="18">
        <f t="shared" si="76"/>
        <v>1617.0933246316172</v>
      </c>
      <c r="DW44" s="18">
        <f t="shared" si="76"/>
        <v>1572.1647348568983</v>
      </c>
      <c r="DX44" s="18">
        <f t="shared" si="76"/>
        <v>1529.6513416635494</v>
      </c>
      <c r="DY44" s="18">
        <f t="shared" si="76"/>
        <v>1489.3640601063144</v>
      </c>
      <c r="DZ44" s="18">
        <f t="shared" si="76"/>
        <v>1451.1325676227673</v>
      </c>
      <c r="EA44" s="18">
        <f t="shared" si="76"/>
        <v>1414.8604256004292</v>
      </c>
      <c r="EB44" s="18">
        <f t="shared" si="76"/>
        <v>1380.3600901320478</v>
      </c>
      <c r="EC44" s="18">
        <f t="shared" si="76"/>
        <v>1769.4055335099633</v>
      </c>
      <c r="ED44" s="18">
        <f t="shared" si="76"/>
        <v>1715.8422873884551</v>
      </c>
      <c r="EE44" s="18">
        <f t="shared" si="76"/>
        <v>1665.4050757728373</v>
      </c>
      <c r="EF44" s="18">
        <f t="shared" si="76"/>
        <v>1617.8297047464007</v>
      </c>
      <c r="EG44" s="18">
        <f t="shared" si="76"/>
        <v>1572.880758369969</v>
      </c>
      <c r="EH44" s="18">
        <f t="shared" si="76"/>
        <v>1530.3478410311798</v>
      </c>
      <c r="EI44" s="18">
        <f t="shared" si="76"/>
        <v>1490.0420780845088</v>
      </c>
      <c r="EJ44" s="18">
        <f t="shared" si="76"/>
        <v>1451.7930167511872</v>
      </c>
      <c r="EK44" s="18">
        <f t="shared" si="76"/>
        <v>1415.5050092786364</v>
      </c>
      <c r="EL44" s="18">
        <f t="shared" si="76"/>
        <v>1380.9889522571279</v>
      </c>
      <c r="EM44" s="18">
        <f t="shared" si="58"/>
        <v>1779.922275109531</v>
      </c>
      <c r="EN44" s="18">
        <f t="shared" si="46"/>
        <v>1726.1058403825839</v>
      </c>
      <c r="EO44" s="18">
        <f t="shared" si="47"/>
        <v>1675.430052086776</v>
      </c>
      <c r="EP44" s="18">
        <f t="shared" si="48"/>
        <v>1627.6294622749358</v>
      </c>
      <c r="EQ44" s="18">
        <f t="shared" si="49"/>
        <v>1582.4675719406002</v>
      </c>
      <c r="ER44" s="18">
        <f t="shared" si="50"/>
        <v>1539.7329186233444</v>
      </c>
      <c r="ES44" s="18">
        <f t="shared" si="51"/>
        <v>1499.2360672293105</v>
      </c>
      <c r="ET44" s="18">
        <f t="shared" si="52"/>
        <v>1460.8064449632654</v>
      </c>
      <c r="EU44" s="18">
        <f t="shared" si="53"/>
        <v>1423.8407117670049</v>
      </c>
      <c r="EV44" s="18">
        <f t="shared" si="54"/>
        <v>1389.1208031588751</v>
      </c>
    </row>
    <row r="45" spans="1:318" x14ac:dyDescent="0.2">
      <c r="A45"/>
      <c r="B45"/>
      <c r="C45"/>
      <c r="D45"/>
      <c r="E45"/>
      <c r="F45"/>
      <c r="G45"/>
      <c r="H45"/>
      <c r="I45" s="58"/>
      <c r="J45" s="58"/>
      <c r="K45"/>
      <c r="L45"/>
      <c r="M45"/>
      <c r="O45"/>
      <c r="P45"/>
      <c r="CM45" s="27">
        <f t="shared" si="42"/>
        <v>0.45218113259042891</v>
      </c>
      <c r="CN45" s="27">
        <v>-0.13</v>
      </c>
      <c r="CO45" s="18">
        <f t="shared" ref="CO45:CX45" si="77">CO15+(1-AG15/2048)*$CM45+$CN45</f>
        <v>1735.2527094112941</v>
      </c>
      <c r="CP45" s="18">
        <f t="shared" si="77"/>
        <v>1682.7209446600341</v>
      </c>
      <c r="CQ45" s="18">
        <f t="shared" si="77"/>
        <v>1633.2558288962634</v>
      </c>
      <c r="CR45" s="18">
        <f t="shared" si="77"/>
        <v>1586.5981838121234</v>
      </c>
      <c r="CS45" s="18">
        <f t="shared" si="77"/>
        <v>1542.5169411158834</v>
      </c>
      <c r="CT45" s="18">
        <f t="shared" si="77"/>
        <v>1500.8054974615136</v>
      </c>
      <c r="CU45" s="18">
        <f t="shared" si="77"/>
        <v>1461.2784152285949</v>
      </c>
      <c r="CV45" s="18">
        <f t="shared" si="77"/>
        <v>1423.7691244971872</v>
      </c>
      <c r="CW45" s="18">
        <f t="shared" si="77"/>
        <v>1388.1659252248189</v>
      </c>
      <c r="CX45" s="18">
        <f t="shared" si="77"/>
        <v>1354.3166168624725</v>
      </c>
      <c r="CY45" s="18">
        <f t="shared" ref="CY45:DR45" si="78">CY15+(1-AG15/2048)*$CM45+$CN45</f>
        <v>1747.4277902762333</v>
      </c>
      <c r="CZ45" s="18">
        <f t="shared" si="78"/>
        <v>1694.5259079249918</v>
      </c>
      <c r="DA45" s="18">
        <f t="shared" si="78"/>
        <v>1644.7124012259126</v>
      </c>
      <c r="DB45" s="18">
        <f t="shared" si="78"/>
        <v>1597.7262397749657</v>
      </c>
      <c r="DC45" s="18">
        <f t="shared" si="78"/>
        <v>1553.3347154362775</v>
      </c>
      <c r="DD45" s="18">
        <f t="shared" si="78"/>
        <v>1511.3297488890455</v>
      </c>
      <c r="DE45" s="18">
        <f t="shared" si="78"/>
        <v>1471.5245801959318</v>
      </c>
      <c r="DF45" s="18">
        <f t="shared" si="78"/>
        <v>1433.7514588318618</v>
      </c>
      <c r="DG45" s="18">
        <f t="shared" si="78"/>
        <v>1397.9074114401601</v>
      </c>
      <c r="DH45" s="18">
        <f t="shared" si="78"/>
        <v>1363.8205058530491</v>
      </c>
      <c r="DI45" s="18">
        <f t="shared" si="78"/>
        <v>1748.2623945587923</v>
      </c>
      <c r="DJ45" s="18">
        <f t="shared" si="78"/>
        <v>1695.3364910314281</v>
      </c>
      <c r="DK45" s="18">
        <f t="shared" si="78"/>
        <v>1645.5000524460004</v>
      </c>
      <c r="DL45" s="18">
        <f t="shared" si="78"/>
        <v>1598.491913601707</v>
      </c>
      <c r="DM45" s="18">
        <f t="shared" si="78"/>
        <v>1554.0793808703372</v>
      </c>
      <c r="DN45" s="18">
        <f t="shared" si="78"/>
        <v>1512.0544508313817</v>
      </c>
      <c r="DO45" s="18">
        <f t="shared" si="78"/>
        <v>1472.2300962180711</v>
      </c>
      <c r="DP45" s="18">
        <f t="shared" si="78"/>
        <v>1434.4381507841099</v>
      </c>
      <c r="DQ45" s="18">
        <f t="shared" si="78"/>
        <v>1398.5775574180905</v>
      </c>
      <c r="DR45" s="18">
        <f t="shared" si="78"/>
        <v>1364.4743068071275</v>
      </c>
      <c r="DS45" s="18">
        <f t="shared" ref="DS45:EL45" si="79">DS15+(1-AQ15/2048)*$CM45+$CN45</f>
        <v>1759.8809251870732</v>
      </c>
      <c r="DT45" s="18">
        <f t="shared" si="79"/>
        <v>1706.6017203030181</v>
      </c>
      <c r="DU45" s="18">
        <f t="shared" si="79"/>
        <v>1656.4327215672643</v>
      </c>
      <c r="DV45" s="18">
        <f t="shared" si="79"/>
        <v>1609.1110027264112</v>
      </c>
      <c r="DW45" s="18">
        <f t="shared" si="79"/>
        <v>1564.402296135718</v>
      </c>
      <c r="DX45" s="18">
        <f t="shared" si="79"/>
        <v>1522.0971983306765</v>
      </c>
      <c r="DY45" s="18">
        <f t="shared" si="79"/>
        <v>1482.0074071825397</v>
      </c>
      <c r="DZ45" s="18">
        <f t="shared" si="79"/>
        <v>1443.9636230241006</v>
      </c>
      <c r="EA45" s="18">
        <f t="shared" si="79"/>
        <v>1407.8738334358056</v>
      </c>
      <c r="EB45" s="18">
        <f t="shared" si="79"/>
        <v>1373.5438443853861</v>
      </c>
      <c r="EC45" s="18">
        <f t="shared" si="79"/>
        <v>1760.6992627086156</v>
      </c>
      <c r="ED45" s="18">
        <f t="shared" si="79"/>
        <v>1707.3965122710517</v>
      </c>
      <c r="EE45" s="18">
        <f t="shared" si="79"/>
        <v>1657.2049397825585</v>
      </c>
      <c r="EF45" s="18">
        <f t="shared" si="79"/>
        <v>1609.8616274511846</v>
      </c>
      <c r="EG45" s="18">
        <f t="shared" si="79"/>
        <v>1565.1321996359222</v>
      </c>
      <c r="EH45" s="18">
        <f t="shared" si="79"/>
        <v>1522.8072099038845</v>
      </c>
      <c r="EI45" s="18">
        <f t="shared" si="79"/>
        <v>1482.698690141767</v>
      </c>
      <c r="EJ45" s="18">
        <f t="shared" si="79"/>
        <v>1444.6367966312996</v>
      </c>
      <c r="EK45" s="18">
        <f t="shared" si="79"/>
        <v>1408.5308334606248</v>
      </c>
      <c r="EL45" s="18">
        <f t="shared" si="79"/>
        <v>1374.184820019356</v>
      </c>
      <c r="EM45" s="18">
        <f t="shared" si="58"/>
        <v>1771.4449395443924</v>
      </c>
      <c r="EN45" s="18">
        <f t="shared" si="46"/>
        <v>1717.8817361838333</v>
      </c>
      <c r="EO45" s="18">
        <f t="shared" si="47"/>
        <v>1667.4446618545774</v>
      </c>
      <c r="EP45" s="18">
        <f t="shared" si="48"/>
        <v>1619.8696365221892</v>
      </c>
      <c r="EQ45" s="18">
        <f t="shared" si="49"/>
        <v>1574.9211706705089</v>
      </c>
      <c r="ER45" s="18">
        <f t="shared" si="50"/>
        <v>1532.3887096010656</v>
      </c>
      <c r="ES45" s="18">
        <f t="shared" si="51"/>
        <v>1492.0836293441339</v>
      </c>
      <c r="ET45" s="18">
        <f t="shared" si="52"/>
        <v>1453.8361291540514</v>
      </c>
      <c r="EU45" s="18">
        <f t="shared" si="53"/>
        <v>1417.0416339916865</v>
      </c>
      <c r="EV45" s="18">
        <f t="shared" si="54"/>
        <v>1382.4875009951231</v>
      </c>
    </row>
    <row r="46" spans="1:318" x14ac:dyDescent="0.2">
      <c r="A46"/>
      <c r="B46"/>
      <c r="C46"/>
      <c r="D46"/>
      <c r="E46"/>
      <c r="F46"/>
      <c r="G46"/>
      <c r="H46"/>
      <c r="I46" s="58"/>
      <c r="J46" s="58"/>
      <c r="K46"/>
      <c r="L46"/>
      <c r="M46"/>
      <c r="O46"/>
      <c r="P46"/>
      <c r="CM46" s="27">
        <f t="shared" si="42"/>
        <v>0.63827756250996481</v>
      </c>
      <c r="CN46" s="27">
        <v>-0.15</v>
      </c>
      <c r="CO46" s="18">
        <f t="shared" ref="CO46:CX46" si="80">CO16+(1-AG16/2048)*$CM46+$CN46</f>
        <v>2575.4068971438046</v>
      </c>
      <c r="CP46" s="18">
        <f t="shared" si="80"/>
        <v>2463.5291370178779</v>
      </c>
      <c r="CQ46" s="18">
        <f t="shared" si="80"/>
        <v>2361.0084724143107</v>
      </c>
      <c r="CR46" s="18">
        <f t="shared" si="80"/>
        <v>2266.6346623015734</v>
      </c>
      <c r="CS46" s="18">
        <f t="shared" si="80"/>
        <v>2179.4785581850447</v>
      </c>
      <c r="CT46" s="18">
        <f t="shared" si="80"/>
        <v>2098.7461381000617</v>
      </c>
      <c r="CU46" s="18">
        <f t="shared" si="80"/>
        <v>2023.7552435588429</v>
      </c>
      <c r="CV46" s="18">
        <f t="shared" si="80"/>
        <v>1953.9162254602775</v>
      </c>
      <c r="CW46" s="18">
        <f t="shared" si="80"/>
        <v>1888.7702511387931</v>
      </c>
      <c r="CX46" s="18">
        <f t="shared" si="80"/>
        <v>1827.8589357673809</v>
      </c>
      <c r="CY46" s="18">
        <f t="shared" ref="CY46:DR46" si="81">CY16+(1-AG16/2048)*$CM46+$CN46</f>
        <v>2591.89453524598</v>
      </c>
      <c r="CZ46" s="18">
        <f t="shared" si="81"/>
        <v>2479.2990264099271</v>
      </c>
      <c r="DA46" s="18">
        <f t="shared" si="81"/>
        <v>2376.1193173329852</v>
      </c>
      <c r="DB46" s="18">
        <f t="shared" si="81"/>
        <v>2281.1391123338626</v>
      </c>
      <c r="DC46" s="18">
        <f t="shared" si="81"/>
        <v>2193.4232175444531</v>
      </c>
      <c r="DD46" s="18">
        <f t="shared" si="81"/>
        <v>2112.1724619334318</v>
      </c>
      <c r="DE46" s="18">
        <f t="shared" si="81"/>
        <v>2036.7002610300999</v>
      </c>
      <c r="DF46" s="18">
        <f t="shared" si="81"/>
        <v>1966.4131374123967</v>
      </c>
      <c r="DG46" s="18">
        <f t="shared" si="81"/>
        <v>1900.8611857470553</v>
      </c>
      <c r="DH46" s="18">
        <f t="shared" si="81"/>
        <v>1839.5598402269895</v>
      </c>
      <c r="DI46" s="18">
        <f t="shared" si="81"/>
        <v>2593.0261850311726</v>
      </c>
      <c r="DJ46" s="18">
        <f t="shared" si="81"/>
        <v>2480.3796304500679</v>
      </c>
      <c r="DK46" s="18">
        <f t="shared" si="81"/>
        <v>2377.1559773494118</v>
      </c>
      <c r="DL46" s="18">
        <f t="shared" si="81"/>
        <v>2282.1346196924273</v>
      </c>
      <c r="DM46" s="18">
        <f t="shared" si="81"/>
        <v>2194.38027387289</v>
      </c>
      <c r="DN46" s="18">
        <f t="shared" si="81"/>
        <v>2113.0935066273291</v>
      </c>
      <c r="DO46" s="18">
        <f t="shared" si="81"/>
        <v>2037.5876179658965</v>
      </c>
      <c r="DP46" s="18">
        <f t="shared" si="81"/>
        <v>1967.2689064722683</v>
      </c>
      <c r="DQ46" s="18">
        <f t="shared" si="81"/>
        <v>1901.6910622561963</v>
      </c>
      <c r="DR46" s="18">
        <f t="shared" si="81"/>
        <v>1840.3629465261583</v>
      </c>
      <c r="DS46" s="18">
        <f t="shared" ref="DS46:EL46" si="82">DS16+(1-AQ16/2048)*$CM46+$CN46</f>
        <v>2608.6868851285599</v>
      </c>
      <c r="DT46" s="18">
        <f t="shared" si="82"/>
        <v>2495.3585100711553</v>
      </c>
      <c r="DU46" s="18">
        <f t="shared" si="82"/>
        <v>2391.5086691192159</v>
      </c>
      <c r="DV46" s="18">
        <f t="shared" si="82"/>
        <v>2295.911163951936</v>
      </c>
      <c r="DW46" s="18">
        <f t="shared" si="82"/>
        <v>2207.6249568557582</v>
      </c>
      <c r="DX46" s="18">
        <f t="shared" si="82"/>
        <v>2125.8457292928283</v>
      </c>
      <c r="DY46" s="18">
        <f t="shared" si="82"/>
        <v>2049.8825704556575</v>
      </c>
      <c r="DZ46" s="18">
        <f t="shared" si="82"/>
        <v>1979.1381378982251</v>
      </c>
      <c r="EA46" s="18">
        <f t="shared" si="82"/>
        <v>1913.1755756609468</v>
      </c>
      <c r="EB46" s="18">
        <f t="shared" si="82"/>
        <v>1851.476991756562</v>
      </c>
      <c r="EC46" s="18">
        <f t="shared" si="82"/>
        <v>2609.79088956743</v>
      </c>
      <c r="ED46" s="18">
        <f t="shared" si="82"/>
        <v>2496.4126648550846</v>
      </c>
      <c r="EE46" s="18">
        <f t="shared" si="82"/>
        <v>2392.5201408423845</v>
      </c>
      <c r="EF46" s="18">
        <f t="shared" si="82"/>
        <v>2296.882452184359</v>
      </c>
      <c r="EG46" s="18">
        <f t="shared" si="82"/>
        <v>2208.55855455649</v>
      </c>
      <c r="EH46" s="18">
        <f t="shared" si="82"/>
        <v>2126.7440013465384</v>
      </c>
      <c r="EI46" s="18">
        <f t="shared" si="82"/>
        <v>2050.7476981670898</v>
      </c>
      <c r="EJ46" s="18">
        <f t="shared" si="82"/>
        <v>1979.9723769822779</v>
      </c>
      <c r="EK46" s="18">
        <f t="shared" si="82"/>
        <v>1913.9851789161185</v>
      </c>
      <c r="EL46" s="18">
        <f t="shared" si="82"/>
        <v>1852.2604787776957</v>
      </c>
      <c r="EM46" s="18">
        <f t="shared" si="58"/>
        <v>2623.775025910089</v>
      </c>
      <c r="EN46" s="18">
        <f t="shared" si="46"/>
        <v>2509.8390251940309</v>
      </c>
      <c r="EO46" s="18">
        <f t="shared" si="47"/>
        <v>2405.5010778186565</v>
      </c>
      <c r="EP46" s="18">
        <f t="shared" si="48"/>
        <v>2309.4525690709079</v>
      </c>
      <c r="EQ46" s="18">
        <f t="shared" si="49"/>
        <v>2220.7490597958217</v>
      </c>
      <c r="ER46" s="18">
        <f t="shared" si="50"/>
        <v>2138.5826453372888</v>
      </c>
      <c r="ES46" s="18">
        <f t="shared" si="51"/>
        <v>2062.2592321082361</v>
      </c>
      <c r="ET46" s="18">
        <f t="shared" si="52"/>
        <v>1991.1793261160763</v>
      </c>
      <c r="EU46" s="18">
        <f t="shared" si="53"/>
        <v>1924.231893017401</v>
      </c>
      <c r="EV46" s="18">
        <f t="shared" si="54"/>
        <v>1862.1756473575658</v>
      </c>
    </row>
    <row r="47" spans="1:318" x14ac:dyDescent="0.2">
      <c r="A47"/>
      <c r="B47"/>
      <c r="C47"/>
      <c r="D47"/>
      <c r="E47"/>
      <c r="F47"/>
      <c r="G47"/>
      <c r="H47"/>
      <c r="I47" s="58"/>
      <c r="J47" s="58"/>
      <c r="K47"/>
      <c r="L47"/>
      <c r="M47"/>
      <c r="O47"/>
      <c r="P47"/>
      <c r="CM47" s="27">
        <f t="shared" si="42"/>
        <v>0.63329867690817854</v>
      </c>
      <c r="CN47" s="27">
        <v>-0.15</v>
      </c>
      <c r="CO47" s="18">
        <f t="shared" ref="CO47:CX47" si="83">CO17+(1-AG17/2048)*$CM47+$CN47</f>
        <v>2554.2954884810097</v>
      </c>
      <c r="CP47" s="18">
        <f t="shared" si="83"/>
        <v>2443.3638480834652</v>
      </c>
      <c r="CQ47" s="18">
        <f t="shared" si="83"/>
        <v>2341.6741602287229</v>
      </c>
      <c r="CR47" s="18">
        <f t="shared" si="83"/>
        <v>2248.0666151283472</v>
      </c>
      <c r="CS47" s="18">
        <f t="shared" si="83"/>
        <v>2161.6193013310876</v>
      </c>
      <c r="CT47" s="18">
        <f t="shared" si="83"/>
        <v>2081.5442615587181</v>
      </c>
      <c r="CU47" s="18">
        <f t="shared" si="83"/>
        <v>2007.1645244769452</v>
      </c>
      <c r="CV47" s="18">
        <f t="shared" si="83"/>
        <v>1937.8953330778343</v>
      </c>
      <c r="CW47" s="18">
        <f t="shared" si="83"/>
        <v>1873.2871588558478</v>
      </c>
      <c r="CX47" s="18">
        <f t="shared" si="83"/>
        <v>1812.875129614906</v>
      </c>
      <c r="CY47" s="18">
        <f t="shared" ref="CY47:DR47" si="84">CY17+(1-AG17/2048)*$CM47+$CN47</f>
        <v>2571.2989769171622</v>
      </c>
      <c r="CZ47" s="18">
        <f t="shared" si="84"/>
        <v>2459.6268115648927</v>
      </c>
      <c r="DA47" s="18">
        <f t="shared" si="84"/>
        <v>2357.2575518890017</v>
      </c>
      <c r="DB47" s="18">
        <f t="shared" si="84"/>
        <v>2263.0247252281415</v>
      </c>
      <c r="DC47" s="18">
        <f t="shared" si="84"/>
        <v>2176.0001778337905</v>
      </c>
      <c r="DD47" s="18">
        <f t="shared" si="84"/>
        <v>2095.3906537191724</v>
      </c>
      <c r="DE47" s="18">
        <f t="shared" si="84"/>
        <v>2020.5146063867808</v>
      </c>
      <c r="DF47" s="18">
        <f t="shared" si="84"/>
        <v>1950.7833447858291</v>
      </c>
      <c r="DG47" s="18">
        <f t="shared" si="84"/>
        <v>1885.7563837090263</v>
      </c>
      <c r="DH47" s="18">
        <f t="shared" si="84"/>
        <v>1824.9421214083045</v>
      </c>
      <c r="DI47" s="18">
        <f t="shared" si="84"/>
        <v>2572.4671953640363</v>
      </c>
      <c r="DJ47" s="18">
        <f t="shared" si="84"/>
        <v>2460.7418567487516</v>
      </c>
      <c r="DK47" s="18">
        <f t="shared" si="84"/>
        <v>2358.3273458053773</v>
      </c>
      <c r="DL47" s="18">
        <f t="shared" si="84"/>
        <v>2264.05230964783</v>
      </c>
      <c r="DM47" s="18">
        <f t="shared" si="84"/>
        <v>2176.98816148486</v>
      </c>
      <c r="DN47" s="18">
        <f t="shared" si="84"/>
        <v>2096.3415929701191</v>
      </c>
      <c r="DO47" s="18">
        <f t="shared" si="84"/>
        <v>2021.4309094491346</v>
      </c>
      <c r="DP47" s="18">
        <f t="shared" si="84"/>
        <v>1951.6671254770147</v>
      </c>
      <c r="DQ47" s="18">
        <f t="shared" si="84"/>
        <v>1886.6130772367337</v>
      </c>
      <c r="DR47" s="18">
        <f t="shared" si="84"/>
        <v>1825.7711796609249</v>
      </c>
      <c r="DS47" s="18">
        <f t="shared" ref="DS47:EL47" si="85">DS17+(1-AQ17/2048)*$CM47+$CN47</f>
        <v>2588.6509015993242</v>
      </c>
      <c r="DT47" s="18">
        <f t="shared" si="85"/>
        <v>2476.2206435410835</v>
      </c>
      <c r="DU47" s="18">
        <f t="shared" si="85"/>
        <v>2373.1591381259036</v>
      </c>
      <c r="DV47" s="18">
        <f t="shared" si="85"/>
        <v>2278.288803224747</v>
      </c>
      <c r="DW47" s="18">
        <f t="shared" si="85"/>
        <v>2190.6751136231023</v>
      </c>
      <c r="DX47" s="18">
        <f t="shared" si="85"/>
        <v>2109.5197134074397</v>
      </c>
      <c r="DY47" s="18">
        <f t="shared" si="85"/>
        <v>2034.136549420514</v>
      </c>
      <c r="DZ47" s="18">
        <f t="shared" si="85"/>
        <v>1963.9328857825869</v>
      </c>
      <c r="EA47" s="18">
        <f t="shared" si="85"/>
        <v>1898.4811284759451</v>
      </c>
      <c r="EB47" s="18">
        <f t="shared" si="85"/>
        <v>1837.256390537581</v>
      </c>
      <c r="EC47" s="18">
        <f t="shared" si="85"/>
        <v>2589.7930372542314</v>
      </c>
      <c r="ED47" s="18">
        <f t="shared" si="85"/>
        <v>2477.3108980594602</v>
      </c>
      <c r="EE47" s="18">
        <f t="shared" si="85"/>
        <v>2374.2052834848419</v>
      </c>
      <c r="EF47" s="18">
        <f t="shared" si="85"/>
        <v>2279.2934697220435</v>
      </c>
      <c r="EG47" s="18">
        <f t="shared" si="85"/>
        <v>2191.640966623374</v>
      </c>
      <c r="EH47" s="18">
        <f t="shared" si="85"/>
        <v>2110.4490962538325</v>
      </c>
      <c r="EI47" s="18">
        <f t="shared" si="85"/>
        <v>2035.0318866082932</v>
      </c>
      <c r="EJ47" s="18">
        <f t="shared" si="85"/>
        <v>1964.7953386038155</v>
      </c>
      <c r="EK47" s="18">
        <f t="shared" si="85"/>
        <v>1899.3186946228768</v>
      </c>
      <c r="EL47" s="18">
        <f t="shared" si="85"/>
        <v>1838.0669384217085</v>
      </c>
      <c r="EM47" s="18">
        <f t="shared" si="58"/>
        <v>2604.3168387289957</v>
      </c>
      <c r="EN47" s="18">
        <f t="shared" si="46"/>
        <v>2491.2746952353709</v>
      </c>
      <c r="EO47" s="18">
        <f t="shared" si="47"/>
        <v>2387.7001563823087</v>
      </c>
      <c r="EP47" s="18">
        <f t="shared" si="48"/>
        <v>2292.3560233229159</v>
      </c>
      <c r="EQ47" s="18">
        <f t="shared" si="49"/>
        <v>2204.3041651058084</v>
      </c>
      <c r="ER47" s="18">
        <f t="shared" si="50"/>
        <v>2122.7421518186411</v>
      </c>
      <c r="ES47" s="18">
        <f t="shared" si="51"/>
        <v>2046.9807544384553</v>
      </c>
      <c r="ET47" s="18">
        <f t="shared" si="52"/>
        <v>1976.4248659511827</v>
      </c>
      <c r="EU47" s="18">
        <f t="shared" si="53"/>
        <v>1909.9612280484384</v>
      </c>
      <c r="EV47" s="18">
        <f t="shared" si="54"/>
        <v>1848.3651658106473</v>
      </c>
    </row>
    <row r="48" spans="1:318" x14ac:dyDescent="0.2">
      <c r="A48"/>
      <c r="B48"/>
      <c r="C48"/>
      <c r="D48"/>
      <c r="E48"/>
      <c r="F48"/>
      <c r="G48"/>
      <c r="H48"/>
      <c r="I48" s="58"/>
      <c r="J48" s="58"/>
      <c r="K48"/>
      <c r="L48"/>
      <c r="M48"/>
      <c r="O48"/>
      <c r="P48"/>
      <c r="CM48" s="27">
        <f t="shared" si="42"/>
        <v>0.62814477307318695</v>
      </c>
      <c r="CN48" s="27">
        <v>-0.15</v>
      </c>
      <c r="CO48" s="18">
        <f t="shared" ref="CO48:CX48" si="86">CO18+(1-AG18/2048)*$CM48+$CN48</f>
        <v>2532.4781340259442</v>
      </c>
      <c r="CP48" s="18">
        <f t="shared" si="86"/>
        <v>2422.522835234935</v>
      </c>
      <c r="CQ48" s="18">
        <f t="shared" si="86"/>
        <v>2321.6920872585069</v>
      </c>
      <c r="CR48" s="18">
        <f t="shared" si="86"/>
        <v>2228.8767568077346</v>
      </c>
      <c r="CS48" s="18">
        <f t="shared" si="86"/>
        <v>2143.1621069370626</v>
      </c>
      <c r="CT48" s="18">
        <f t="shared" si="86"/>
        <v>2063.7666336057923</v>
      </c>
      <c r="CU48" s="18">
        <f t="shared" si="86"/>
        <v>1990.0186378438323</v>
      </c>
      <c r="CV48" s="18">
        <f t="shared" si="86"/>
        <v>1921.3390098861173</v>
      </c>
      <c r="CW48" s="18">
        <f t="shared" si="86"/>
        <v>1857.2863240392128</v>
      </c>
      <c r="CX48" s="18">
        <f t="shared" si="86"/>
        <v>1797.3902763790995</v>
      </c>
      <c r="CY48" s="18">
        <f t="shared" ref="CY48:DR48" si="87">CY18+(1-AG18/2048)*$CM48+$CN48</f>
        <v>2549.9927737170874</v>
      </c>
      <c r="CZ48" s="18">
        <f t="shared" si="87"/>
        <v>2439.2743781523141</v>
      </c>
      <c r="DA48" s="18">
        <f t="shared" si="87"/>
        <v>2337.7437169056011</v>
      </c>
      <c r="DB48" s="18">
        <f t="shared" si="87"/>
        <v>2244.2843848142729</v>
      </c>
      <c r="DC48" s="18">
        <f t="shared" si="87"/>
        <v>2157.975217652684</v>
      </c>
      <c r="DD48" s="18">
        <f t="shared" si="87"/>
        <v>2078.0292582913967</v>
      </c>
      <c r="DE48" s="18">
        <f t="shared" si="87"/>
        <v>2003.7700840979805</v>
      </c>
      <c r="DF48" s="18">
        <f t="shared" si="87"/>
        <v>1934.6145630318424</v>
      </c>
      <c r="DG48" s="18">
        <f t="shared" si="87"/>
        <v>1870.1303931460511</v>
      </c>
      <c r="DH48" s="18">
        <f t="shared" si="87"/>
        <v>1809.82002067604</v>
      </c>
      <c r="DI48" s="18">
        <f t="shared" si="87"/>
        <v>2551.1972379771419</v>
      </c>
      <c r="DJ48" s="18">
        <f t="shared" si="87"/>
        <v>2440.4235646099419</v>
      </c>
      <c r="DK48" s="18">
        <f t="shared" si="87"/>
        <v>2338.8465670319474</v>
      </c>
      <c r="DL48" s="18">
        <f t="shared" si="87"/>
        <v>2245.3437396717331</v>
      </c>
      <c r="DM48" s="18">
        <f t="shared" si="87"/>
        <v>2158.9938939460458</v>
      </c>
      <c r="DN48" s="18">
        <f t="shared" si="87"/>
        <v>2079.0098522528688</v>
      </c>
      <c r="DO48" s="18">
        <f t="shared" si="87"/>
        <v>2004.7150586416869</v>
      </c>
      <c r="DP48" s="18">
        <f t="shared" si="87"/>
        <v>1935.5260825143707</v>
      </c>
      <c r="DQ48" s="18">
        <f t="shared" si="87"/>
        <v>1871.0136669367578</v>
      </c>
      <c r="DR48" s="18">
        <f t="shared" si="87"/>
        <v>1810.6748017638206</v>
      </c>
      <c r="DS48" s="18">
        <f t="shared" ref="DS48:EL48" si="88">DS18+(1-AQ18/2048)*$CM48+$CN48</f>
        <v>2567.8994778261094</v>
      </c>
      <c r="DT48" s="18">
        <f t="shared" si="88"/>
        <v>2456.3979814227355</v>
      </c>
      <c r="DU48" s="18">
        <f t="shared" si="88"/>
        <v>2354.1533541045601</v>
      </c>
      <c r="DV48" s="18">
        <f t="shared" si="88"/>
        <v>2260.0362448994815</v>
      </c>
      <c r="DW48" s="18">
        <f t="shared" si="88"/>
        <v>2173.1193241517599</v>
      </c>
      <c r="DX48" s="18">
        <f t="shared" si="88"/>
        <v>2092.610218879714</v>
      </c>
      <c r="DY48" s="18">
        <f t="shared" si="88"/>
        <v>2017.8278623866725</v>
      </c>
      <c r="DZ48" s="18">
        <f t="shared" si="88"/>
        <v>1948.1849840506054</v>
      </c>
      <c r="EA48" s="18">
        <f t="shared" si="88"/>
        <v>1883.2619761593342</v>
      </c>
      <c r="EB48" s="18">
        <f t="shared" si="88"/>
        <v>1822.5280042372815</v>
      </c>
      <c r="EC48" s="18">
        <f t="shared" si="88"/>
        <v>2569.0794290567851</v>
      </c>
      <c r="ED48" s="18">
        <f t="shared" si="88"/>
        <v>2457.523958742483</v>
      </c>
      <c r="EE48" s="18">
        <f t="shared" si="88"/>
        <v>2355.2338537046221</v>
      </c>
      <c r="EF48" s="18">
        <f t="shared" si="88"/>
        <v>2261.0740994451317</v>
      </c>
      <c r="EG48" s="18">
        <f t="shared" si="88"/>
        <v>2174.1171711072589</v>
      </c>
      <c r="EH48" s="18">
        <f t="shared" si="88"/>
        <v>2093.570474600243</v>
      </c>
      <c r="EI48" s="18">
        <f t="shared" si="88"/>
        <v>2018.7531366620242</v>
      </c>
      <c r="EJ48" s="18">
        <f t="shared" si="88"/>
        <v>1949.0749017335204</v>
      </c>
      <c r="EK48" s="18">
        <f t="shared" si="88"/>
        <v>1884.1272737284962</v>
      </c>
      <c r="EL48" s="18">
        <f t="shared" si="88"/>
        <v>1823.3653889816321</v>
      </c>
      <c r="EM48" s="18">
        <f t="shared" si="58"/>
        <v>2584.1389365989362</v>
      </c>
      <c r="EN48" s="18">
        <f t="shared" si="46"/>
        <v>2472.0216292910245</v>
      </c>
      <c r="EO48" s="18">
        <f t="shared" si="47"/>
        <v>2369.239332763017</v>
      </c>
      <c r="EP48" s="18">
        <f t="shared" si="48"/>
        <v>2274.6258124559504</v>
      </c>
      <c r="EQ48" s="18">
        <f t="shared" si="49"/>
        <v>2187.2500412764098</v>
      </c>
      <c r="ER48" s="18">
        <f t="shared" si="50"/>
        <v>2106.3147663212208</v>
      </c>
      <c r="ES48" s="18">
        <f t="shared" si="51"/>
        <v>2031.1363643739228</v>
      </c>
      <c r="ET48" s="18">
        <f t="shared" si="52"/>
        <v>1961.123889084834</v>
      </c>
      <c r="EU48" s="18">
        <f t="shared" si="53"/>
        <v>1895.1627254453722</v>
      </c>
      <c r="EV48" s="18">
        <f t="shared" si="54"/>
        <v>1834.0438680043303</v>
      </c>
    </row>
    <row r="49" spans="1:152" x14ac:dyDescent="0.2">
      <c r="A49"/>
      <c r="B49"/>
      <c r="C49"/>
      <c r="D49"/>
      <c r="E49"/>
      <c r="F49"/>
      <c r="G49"/>
      <c r="H49"/>
      <c r="I49" s="58"/>
      <c r="J49" s="58"/>
      <c r="K49"/>
      <c r="L49"/>
      <c r="M49"/>
      <c r="O49"/>
      <c r="P49"/>
      <c r="CM49" s="27">
        <f t="shared" si="42"/>
        <v>0.62281727533631404</v>
      </c>
      <c r="CN49" s="27">
        <v>-0.15</v>
      </c>
      <c r="CO49" s="18">
        <f t="shared" ref="CO49:CX49" si="89">CO19+(1-AG19/2048)*$CM49+$CN49</f>
        <v>2509.9608632161685</v>
      </c>
      <c r="CP49" s="18">
        <f t="shared" si="89"/>
        <v>2401.0053410976661</v>
      </c>
      <c r="CQ49" s="18">
        <f t="shared" si="89"/>
        <v>2301.0654783715727</v>
      </c>
      <c r="CR49" s="18">
        <f t="shared" si="89"/>
        <v>2209.0698738742944</v>
      </c>
      <c r="CS49" s="18">
        <f t="shared" si="89"/>
        <v>2124.1121327390665</v>
      </c>
      <c r="CT49" s="18">
        <f t="shared" si="89"/>
        <v>2045.4176498684828</v>
      </c>
      <c r="CU49" s="18">
        <f t="shared" si="89"/>
        <v>1972.3209814826239</v>
      </c>
      <c r="CV49" s="18">
        <f t="shared" si="89"/>
        <v>1904.2509265030924</v>
      </c>
      <c r="CW49" s="18">
        <f t="shared" si="89"/>
        <v>1840.7721686748184</v>
      </c>
      <c r="CX49" s="18">
        <f t="shared" si="89"/>
        <v>1781.4086554493763</v>
      </c>
      <c r="CY49" s="18">
        <f t="shared" ref="CY49:DR49" si="90">CY19+(1-AG19/2048)*$CM49+$CN49</f>
        <v>2527.9818138217088</v>
      </c>
      <c r="CZ49" s="18">
        <f t="shared" si="90"/>
        <v>2418.2409368592898</v>
      </c>
      <c r="DA49" s="18">
        <f t="shared" si="90"/>
        <v>2317.5809797720744</v>
      </c>
      <c r="DB49" s="18">
        <f t="shared" si="90"/>
        <v>2224.9228015009821</v>
      </c>
      <c r="DC49" s="18">
        <f t="shared" si="90"/>
        <v>2139.3533881713174</v>
      </c>
      <c r="DD49" s="18">
        <f t="shared" si="90"/>
        <v>2060.0925295911129</v>
      </c>
      <c r="DE49" s="18">
        <f t="shared" si="90"/>
        <v>1986.4699346953237</v>
      </c>
      <c r="DF49" s="18">
        <f t="shared" si="90"/>
        <v>1917.9103297950214</v>
      </c>
      <c r="DG49" s="18">
        <f t="shared" si="90"/>
        <v>1853.9875324522147</v>
      </c>
      <c r="DH49" s="18">
        <f t="shared" si="90"/>
        <v>1794.1977171694371</v>
      </c>
      <c r="DI49" s="18">
        <f t="shared" si="90"/>
        <v>2529.2221910295602</v>
      </c>
      <c r="DJ49" s="18">
        <f t="shared" si="90"/>
        <v>2419.4302721108579</v>
      </c>
      <c r="DK49" s="18">
        <f t="shared" si="90"/>
        <v>2318.718743145298</v>
      </c>
      <c r="DL49" s="18">
        <f t="shared" si="90"/>
        <v>2226.0141061723748</v>
      </c>
      <c r="DM49" s="18">
        <f t="shared" si="90"/>
        <v>2140.4024040198501</v>
      </c>
      <c r="DN49" s="18">
        <f t="shared" si="90"/>
        <v>2061.1029851988746</v>
      </c>
      <c r="DO49" s="18">
        <f t="shared" si="90"/>
        <v>1987.4446455459154</v>
      </c>
      <c r="DP49" s="18">
        <f t="shared" si="90"/>
        <v>1918.850473294508</v>
      </c>
      <c r="DQ49" s="18">
        <f t="shared" si="90"/>
        <v>1854.8971424046392</v>
      </c>
      <c r="DR49" s="18">
        <f t="shared" si="90"/>
        <v>1795.0779848653319</v>
      </c>
      <c r="DS49" s="18">
        <f t="shared" ref="DS49:EL49" si="91">DS19+(1-AQ19/2048)*$CM49+$CN49</f>
        <v>2546.4383486661914</v>
      </c>
      <c r="DT49" s="18">
        <f t="shared" si="91"/>
        <v>2435.8959035390467</v>
      </c>
      <c r="DU49" s="18">
        <f t="shared" si="91"/>
        <v>2334.4962928601472</v>
      </c>
      <c r="DV49" s="18">
        <f t="shared" si="91"/>
        <v>2241.1585509308134</v>
      </c>
      <c r="DW49" s="18">
        <f t="shared" si="91"/>
        <v>2154.9623988890835</v>
      </c>
      <c r="DX49" s="18">
        <f t="shared" si="91"/>
        <v>2075.1218255987687</v>
      </c>
      <c r="DY49" s="18">
        <f t="shared" si="91"/>
        <v>2000.9609753228531</v>
      </c>
      <c r="DZ49" s="18">
        <f t="shared" si="91"/>
        <v>1931.8990246835153</v>
      </c>
      <c r="EA49" s="18">
        <f t="shared" si="91"/>
        <v>1867.522324671502</v>
      </c>
      <c r="EB49" s="18">
        <f t="shared" si="91"/>
        <v>1807.2959031881023</v>
      </c>
      <c r="EC49" s="18">
        <f t="shared" si="91"/>
        <v>2547.6557893816653</v>
      </c>
      <c r="ED49" s="18">
        <f t="shared" si="91"/>
        <v>2437.0572988603494</v>
      </c>
      <c r="EE49" s="18">
        <f t="shared" si="91"/>
        <v>2335.6110086898179</v>
      </c>
      <c r="EF49" s="18">
        <f t="shared" si="91"/>
        <v>2242.2293257111974</v>
      </c>
      <c r="EG49" s="18">
        <f t="shared" si="91"/>
        <v>2155.9920025334136</v>
      </c>
      <c r="EH49" s="18">
        <f t="shared" si="91"/>
        <v>2076.1127073214652</v>
      </c>
      <c r="EI49" s="18">
        <f t="shared" si="91"/>
        <v>2001.915852466431</v>
      </c>
      <c r="EJ49" s="18">
        <f t="shared" si="91"/>
        <v>1932.8157637447675</v>
      </c>
      <c r="EK49" s="18">
        <f t="shared" si="91"/>
        <v>1868.4151145295164</v>
      </c>
      <c r="EL49" s="18">
        <f t="shared" si="91"/>
        <v>1808.1598933732773</v>
      </c>
      <c r="EM49" s="18">
        <f t="shared" si="58"/>
        <v>2563.2468904007887</v>
      </c>
      <c r="EN49" s="18">
        <f t="shared" si="46"/>
        <v>2452.0851700634421</v>
      </c>
      <c r="EO49" s="18">
        <f t="shared" si="47"/>
        <v>2350.1235946514098</v>
      </c>
      <c r="EP49" s="18">
        <f t="shared" si="48"/>
        <v>2256.2668108557887</v>
      </c>
      <c r="EQ49" s="18">
        <f t="shared" si="49"/>
        <v>2169.5910854686886</v>
      </c>
      <c r="ER49" s="18">
        <f t="shared" si="50"/>
        <v>2089.3050507236076</v>
      </c>
      <c r="ES49" s="18">
        <f t="shared" si="51"/>
        <v>2014.7304103571687</v>
      </c>
      <c r="ET49" s="18">
        <f t="shared" si="52"/>
        <v>1945.2806090943704</v>
      </c>
      <c r="EU49" s="18">
        <f t="shared" si="53"/>
        <v>1879.8404709006675</v>
      </c>
      <c r="EV49" s="18">
        <f t="shared" si="54"/>
        <v>1819.2157078804955</v>
      </c>
    </row>
    <row r="50" spans="1:152" x14ac:dyDescent="0.2">
      <c r="A50"/>
      <c r="B50"/>
      <c r="C50"/>
      <c r="D50"/>
      <c r="E50"/>
      <c r="F50"/>
      <c r="G50"/>
      <c r="H50"/>
      <c r="I50" s="58"/>
      <c r="J50" s="58"/>
      <c r="K50"/>
      <c r="L50"/>
      <c r="M50"/>
      <c r="O50"/>
      <c r="P50"/>
      <c r="CM50" s="27">
        <f t="shared" si="42"/>
        <v>0.99350840229610615</v>
      </c>
      <c r="CN50" s="27">
        <v>-0.125</v>
      </c>
      <c r="CO50" s="18">
        <f t="shared" ref="CO50:CX50" si="92">CO20+(1-AG20/2048)*$CM50+$CN50</f>
        <v>4439.9105554321832</v>
      </c>
      <c r="CP50" s="18">
        <f t="shared" si="92"/>
        <v>4123.0067630925942</v>
      </c>
      <c r="CQ50" s="18">
        <f t="shared" si="92"/>
        <v>3848.3540264322869</v>
      </c>
      <c r="CR50" s="18">
        <f t="shared" si="92"/>
        <v>3607.9362265865316</v>
      </c>
      <c r="CS50" s="18">
        <f t="shared" si="92"/>
        <v>3395.7370230522151</v>
      </c>
      <c r="CT50" s="18">
        <f t="shared" si="92"/>
        <v>3207.0699509720957</v>
      </c>
      <c r="CU50" s="18">
        <f t="shared" si="92"/>
        <v>3038.2305132382098</v>
      </c>
      <c r="CV50" s="18">
        <f t="shared" si="92"/>
        <v>2886.254615715995</v>
      </c>
      <c r="CW50" s="18">
        <f t="shared" si="92"/>
        <v>2748.8654173878867</v>
      </c>
      <c r="CX50" s="18">
        <f t="shared" si="92"/>
        <v>2623.9586742368879</v>
      </c>
      <c r="CY50" s="18">
        <f t="shared" ref="CY50:DR50" si="93">CY20+(1-AG20/2048)*$CM50+$CN50</f>
        <v>4465.6671239744119</v>
      </c>
      <c r="CZ50" s="18">
        <f t="shared" si="93"/>
        <v>4146.9213500885598</v>
      </c>
      <c r="DA50" s="18">
        <f t="shared" si="93"/>
        <v>3870.6708260766368</v>
      </c>
      <c r="DB50" s="18">
        <f t="shared" si="93"/>
        <v>3628.8550444470179</v>
      </c>
      <c r="DC50" s="18">
        <f t="shared" si="93"/>
        <v>3415.4224447870306</v>
      </c>
      <c r="DD50" s="18">
        <f t="shared" si="93"/>
        <v>3225.6591461205617</v>
      </c>
      <c r="DE50" s="18">
        <f t="shared" si="93"/>
        <v>3055.8389963533527</v>
      </c>
      <c r="DF50" s="18">
        <f t="shared" si="93"/>
        <v>2902.9806396652884</v>
      </c>
      <c r="DG50" s="18">
        <f t="shared" si="93"/>
        <v>2764.80995981879</v>
      </c>
      <c r="DH50" s="18">
        <f t="shared" si="93"/>
        <v>2639.1784647391137</v>
      </c>
      <c r="DI50" s="18">
        <f t="shared" si="93"/>
        <v>4467.4301947249742</v>
      </c>
      <c r="DJ50" s="18">
        <f t="shared" si="93"/>
        <v>4148.5699967067503</v>
      </c>
      <c r="DK50" s="18">
        <f t="shared" si="93"/>
        <v>3872.2054466306531</v>
      </c>
      <c r="DL50" s="18">
        <f t="shared" si="93"/>
        <v>3630.2894043474303</v>
      </c>
      <c r="DM50" s="18">
        <f t="shared" si="93"/>
        <v>3416.7681968870274</v>
      </c>
      <c r="DN50" s="18">
        <f t="shared" si="93"/>
        <v>3226.9260727364995</v>
      </c>
      <c r="DO50" s="18">
        <f t="shared" si="93"/>
        <v>3057.0354426671665</v>
      </c>
      <c r="DP50" s="18">
        <f t="shared" si="93"/>
        <v>2904.1606296369596</v>
      </c>
      <c r="DQ50" s="18">
        <f t="shared" si="93"/>
        <v>2765.8192389055735</v>
      </c>
      <c r="DR50" s="18">
        <f t="shared" si="93"/>
        <v>2640.220279273537</v>
      </c>
      <c r="DS50" s="18">
        <f t="shared" ref="DS50:EL50" si="94">DS20+(1-AQ20/2048)*$CM50+$CN50</f>
        <v>4491.7596117062694</v>
      </c>
      <c r="DT50" s="18">
        <f t="shared" si="94"/>
        <v>4171.1590636528026</v>
      </c>
      <c r="DU50" s="18">
        <f t="shared" si="94"/>
        <v>3893.2849108094638</v>
      </c>
      <c r="DV50" s="18">
        <f t="shared" si="94"/>
        <v>3650.048087596067</v>
      </c>
      <c r="DW50" s="18">
        <f t="shared" si="94"/>
        <v>3435.3616270389948</v>
      </c>
      <c r="DX50" s="18">
        <f t="shared" si="94"/>
        <v>3244.4838666219257</v>
      </c>
      <c r="DY50" s="18">
        <f t="shared" si="94"/>
        <v>3073.666752124127</v>
      </c>
      <c r="DZ50" s="18">
        <f t="shared" si="94"/>
        <v>2919.9595682520498</v>
      </c>
      <c r="EA50" s="18">
        <f t="shared" si="94"/>
        <v>2780.864568765448</v>
      </c>
      <c r="EB50" s="18">
        <f t="shared" si="94"/>
        <v>2654.5967529443024</v>
      </c>
      <c r="EC50" s="18">
        <f t="shared" si="94"/>
        <v>4493.469549179521</v>
      </c>
      <c r="ED50" s="18">
        <f t="shared" si="94"/>
        <v>4172.7575673094934</v>
      </c>
      <c r="EE50" s="18">
        <f t="shared" si="94"/>
        <v>3894.772781208721</v>
      </c>
      <c r="EF50" s="18">
        <f t="shared" si="94"/>
        <v>3651.4386516478289</v>
      </c>
      <c r="EG50" s="18">
        <f t="shared" si="94"/>
        <v>3436.6660583966082</v>
      </c>
      <c r="EH50" s="18">
        <f t="shared" si="94"/>
        <v>3245.7116146669232</v>
      </c>
      <c r="EI50" s="18">
        <f t="shared" si="94"/>
        <v>3074.8256900616757</v>
      </c>
      <c r="EJ50" s="18">
        <f t="shared" si="94"/>
        <v>2921.0062373044052</v>
      </c>
      <c r="EK50" s="18">
        <f t="shared" si="94"/>
        <v>2782.078843183172</v>
      </c>
      <c r="EL50" s="18">
        <f t="shared" si="94"/>
        <v>2655.6071705421323</v>
      </c>
      <c r="EM50" s="18">
        <f t="shared" si="58"/>
        <v>4514.1604409993561</v>
      </c>
      <c r="EN50" s="18">
        <f t="shared" si="46"/>
        <v>4192.101697703959</v>
      </c>
      <c r="EO50" s="18">
        <f t="shared" si="47"/>
        <v>3913.0101862218885</v>
      </c>
      <c r="EP50" s="18">
        <f t="shared" si="48"/>
        <v>3668.7074841224676</v>
      </c>
      <c r="EQ50" s="18">
        <f t="shared" si="49"/>
        <v>3453.0802809360407</v>
      </c>
      <c r="ER50" s="18">
        <f t="shared" si="50"/>
        <v>3261.3662345056655</v>
      </c>
      <c r="ES50" s="18">
        <f t="shared" si="51"/>
        <v>3089.801058978554</v>
      </c>
      <c r="ET50" s="18">
        <f t="shared" si="52"/>
        <v>2935.3700115973593</v>
      </c>
      <c r="EU50" s="18">
        <f t="shared" si="53"/>
        <v>2794.9647842247514</v>
      </c>
      <c r="EV50" s="18">
        <f t="shared" si="54"/>
        <v>2667.8137413005588</v>
      </c>
    </row>
    <row r="51" spans="1:152" x14ac:dyDescent="0.2">
      <c r="A51"/>
      <c r="B51"/>
      <c r="C51"/>
      <c r="D51"/>
      <c r="E51"/>
      <c r="F51"/>
      <c r="G51"/>
      <c r="H51"/>
      <c r="I51" s="58"/>
      <c r="J51" s="58"/>
      <c r="K51"/>
      <c r="L51"/>
      <c r="M51"/>
      <c r="O51"/>
      <c r="P51"/>
      <c r="CM51" s="27">
        <f t="shared" si="42"/>
        <v>0.98936645488649644</v>
      </c>
      <c r="CN51" s="27">
        <v>-0.125</v>
      </c>
      <c r="CO51" s="18">
        <f t="shared" ref="CO51:CX51" si="95">CO21+(1-AG21/2048)*$CM51+$CN51</f>
        <v>4420.3815614528494</v>
      </c>
      <c r="CP51" s="18">
        <f t="shared" si="95"/>
        <v>4104.8890430259198</v>
      </c>
      <c r="CQ51" s="18">
        <f t="shared" si="95"/>
        <v>3831.4390501958655</v>
      </c>
      <c r="CR51" s="18">
        <f t="shared" si="95"/>
        <v>3592.0749901222757</v>
      </c>
      <c r="CS51" s="18">
        <f t="shared" si="95"/>
        <v>3380.8065371573289</v>
      </c>
      <c r="CT51" s="18">
        <f t="shared" si="95"/>
        <v>3192.9674670660925</v>
      </c>
      <c r="CU51" s="18">
        <f t="shared" si="95"/>
        <v>3024.8693140795535</v>
      </c>
      <c r="CV51" s="18">
        <f t="shared" si="95"/>
        <v>2873.5507852700644</v>
      </c>
      <c r="CW51" s="18">
        <f t="shared" si="95"/>
        <v>2736.7743851556593</v>
      </c>
      <c r="CX51" s="18">
        <f t="shared" si="95"/>
        <v>2612.4170369064354</v>
      </c>
      <c r="CY51" s="18">
        <f t="shared" ref="CY51:DR51" si="96">CY21+(1-AG21/2048)*$CM51+$CN51</f>
        <v>4446.6737391987745</v>
      </c>
      <c r="CZ51" s="18">
        <f t="shared" si="96"/>
        <v>4129.3007816715781</v>
      </c>
      <c r="DA51" s="18">
        <f t="shared" si="96"/>
        <v>3854.2198950711868</v>
      </c>
      <c r="DB51" s="18">
        <f t="shared" si="96"/>
        <v>3613.4288780866873</v>
      </c>
      <c r="DC51" s="18">
        <f t="shared" si="96"/>
        <v>3400.9014563093961</v>
      </c>
      <c r="DD51" s="18">
        <f t="shared" si="96"/>
        <v>3211.9434237605233</v>
      </c>
      <c r="DE51" s="18">
        <f t="shared" si="96"/>
        <v>3042.8442119437905</v>
      </c>
      <c r="DF51" s="18">
        <f t="shared" si="96"/>
        <v>2890.6246397485929</v>
      </c>
      <c r="DG51" s="18">
        <f t="shared" si="96"/>
        <v>2753.0504951888511</v>
      </c>
      <c r="DH51" s="18">
        <f t="shared" si="96"/>
        <v>2627.9533237563001</v>
      </c>
      <c r="DI51" s="18">
        <f t="shared" si="96"/>
        <v>4448.4747519876128</v>
      </c>
      <c r="DJ51" s="18">
        <f t="shared" si="96"/>
        <v>4130.9841266583244</v>
      </c>
      <c r="DK51" s="18">
        <f t="shared" si="96"/>
        <v>3855.7870102931879</v>
      </c>
      <c r="DL51" s="18">
        <f t="shared" si="96"/>
        <v>3614.8938713792313</v>
      </c>
      <c r="DM51" s="18">
        <f t="shared" si="96"/>
        <v>3402.2761369768268</v>
      </c>
      <c r="DN51" s="18">
        <f t="shared" si="96"/>
        <v>3213.2377525110624</v>
      </c>
      <c r="DO51" s="18">
        <f t="shared" si="96"/>
        <v>3044.0666327321192</v>
      </c>
      <c r="DP51" s="18">
        <f t="shared" si="96"/>
        <v>2891.7879384343664</v>
      </c>
      <c r="DQ51" s="18">
        <f t="shared" si="96"/>
        <v>2754.1654078676556</v>
      </c>
      <c r="DR51" s="18">
        <f t="shared" si="96"/>
        <v>2629.0175585860684</v>
      </c>
      <c r="DS51" s="18">
        <f t="shared" ref="DS51:EL51" si="97">DS21+(1-AQ21/2048)*$CM51+$CN51</f>
        <v>4473.3464316425825</v>
      </c>
      <c r="DT51" s="18">
        <f t="shared" si="97"/>
        <v>4154.0765184428792</v>
      </c>
      <c r="DU51" s="18">
        <f t="shared" si="97"/>
        <v>3877.336284077352</v>
      </c>
      <c r="DV51" s="18">
        <f t="shared" si="97"/>
        <v>3635.093027864646</v>
      </c>
      <c r="DW51" s="18">
        <f t="shared" si="97"/>
        <v>3421.2841501975504</v>
      </c>
      <c r="DX51" s="18">
        <f t="shared" si="97"/>
        <v>3231.1871111428886</v>
      </c>
      <c r="DY51" s="18">
        <f t="shared" si="97"/>
        <v>3061.0689055117887</v>
      </c>
      <c r="DZ51" s="18">
        <f t="shared" si="97"/>
        <v>2907.9378985351227</v>
      </c>
      <c r="EA51" s="18">
        <f t="shared" si="97"/>
        <v>2769.5621619397793</v>
      </c>
      <c r="EB51" s="18">
        <f t="shared" si="97"/>
        <v>2643.7144602003682</v>
      </c>
      <c r="EC51" s="18">
        <f t="shared" si="97"/>
        <v>4475.095876494368</v>
      </c>
      <c r="ED51" s="18">
        <f t="shared" si="97"/>
        <v>4155.7111804388169</v>
      </c>
      <c r="EE51" s="18">
        <f t="shared" si="97"/>
        <v>3878.8580758682983</v>
      </c>
      <c r="EF51" s="18">
        <f t="shared" si="97"/>
        <v>3636.5155107216156</v>
      </c>
      <c r="EG51" s="18">
        <f t="shared" si="97"/>
        <v>3422.6175745221035</v>
      </c>
      <c r="EH51" s="18">
        <f t="shared" si="97"/>
        <v>3232.4434333392842</v>
      </c>
      <c r="EI51" s="18">
        <f t="shared" si="97"/>
        <v>3062.2552242445718</v>
      </c>
      <c r="EJ51" s="18">
        <f t="shared" si="97"/>
        <v>2909.0635037267962</v>
      </c>
      <c r="EK51" s="18">
        <f t="shared" si="97"/>
        <v>2770.6451516099323</v>
      </c>
      <c r="EL51" s="18">
        <f t="shared" si="97"/>
        <v>2644.7482230673322</v>
      </c>
      <c r="EM51" s="18">
        <f t="shared" si="58"/>
        <v>4496.3492697416605</v>
      </c>
      <c r="EN51" s="18">
        <f t="shared" si="46"/>
        <v>4175.5888205337205</v>
      </c>
      <c r="EO51" s="18">
        <f t="shared" si="47"/>
        <v>3897.5927380801941</v>
      </c>
      <c r="EP51" s="18">
        <f t="shared" si="48"/>
        <v>3654.2499071545317</v>
      </c>
      <c r="EQ51" s="18">
        <f t="shared" si="49"/>
        <v>3439.4745777570238</v>
      </c>
      <c r="ER51" s="18">
        <f t="shared" si="50"/>
        <v>3248.5107146743385</v>
      </c>
      <c r="ES51" s="18">
        <f t="shared" si="51"/>
        <v>3077.6208050114847</v>
      </c>
      <c r="ET51" s="18">
        <f t="shared" si="52"/>
        <v>2923.7979322027763</v>
      </c>
      <c r="EU51" s="18">
        <f t="shared" si="53"/>
        <v>2783.7835922990803</v>
      </c>
      <c r="EV51" s="18">
        <f t="shared" si="54"/>
        <v>2657.2872638516169</v>
      </c>
    </row>
    <row r="52" spans="1:152" x14ac:dyDescent="0.2">
      <c r="A52"/>
      <c r="B52"/>
      <c r="C52"/>
      <c r="D52"/>
      <c r="E52"/>
      <c r="F52"/>
      <c r="G52"/>
      <c r="H52"/>
      <c r="I52" s="58"/>
      <c r="J52" s="58"/>
      <c r="K52"/>
      <c r="L52"/>
      <c r="M52"/>
      <c r="O52"/>
      <c r="P52"/>
      <c r="CM52" s="27">
        <f t="shared" si="42"/>
        <v>0.9793198464431585</v>
      </c>
      <c r="CN52" s="27">
        <v>-0.125</v>
      </c>
      <c r="CO52" s="18">
        <f t="shared" ref="CO52:CX52" si="98">CO22+(1-AG22/2048)*$CM52+$CN52</f>
        <v>4373.1070139079475</v>
      </c>
      <c r="CP52" s="18">
        <f t="shared" si="98"/>
        <v>4061.0302964082803</v>
      </c>
      <c r="CQ52" s="18">
        <f t="shared" si="98"/>
        <v>3790.4917560247327</v>
      </c>
      <c r="CR52" s="18">
        <f t="shared" si="98"/>
        <v>3553.6785643102348</v>
      </c>
      <c r="CS52" s="18">
        <f t="shared" si="98"/>
        <v>3344.6632315729976</v>
      </c>
      <c r="CT52" s="18">
        <f t="shared" si="98"/>
        <v>3158.82855242509</v>
      </c>
      <c r="CU52" s="18">
        <f t="shared" si="98"/>
        <v>2992.5248013567898</v>
      </c>
      <c r="CV52" s="18">
        <f t="shared" si="98"/>
        <v>2842.7915736628793</v>
      </c>
      <c r="CW52" s="18">
        <f t="shared" si="98"/>
        <v>2707.5051747112711</v>
      </c>
      <c r="CX52" s="18">
        <f t="shared" si="98"/>
        <v>2584.4777661342441</v>
      </c>
      <c r="CY52" s="18">
        <f t="shared" ref="CY52:DR52" si="99">CY22+(1-AG22/2048)*$CM52+$CN52</f>
        <v>4400.6386821595825</v>
      </c>
      <c r="CZ52" s="18">
        <f t="shared" si="99"/>
        <v>4086.5925224850484</v>
      </c>
      <c r="DA52" s="18">
        <f t="shared" si="99"/>
        <v>3814.3464717473385</v>
      </c>
      <c r="DB52" s="18">
        <f t="shared" si="99"/>
        <v>3576.0392667963247</v>
      </c>
      <c r="DC52" s="18">
        <f t="shared" si="99"/>
        <v>3365.7057846103785</v>
      </c>
      <c r="DD52" s="18">
        <f t="shared" si="99"/>
        <v>3178.6995278949726</v>
      </c>
      <c r="DE52" s="18">
        <f t="shared" si="99"/>
        <v>3011.3476296733515</v>
      </c>
      <c r="DF52" s="18">
        <f t="shared" si="99"/>
        <v>2860.6701969497731</v>
      </c>
      <c r="DG52" s="18">
        <f t="shared" si="99"/>
        <v>2724.548588390855</v>
      </c>
      <c r="DH52" s="18">
        <f t="shared" si="99"/>
        <v>2600.7464791920288</v>
      </c>
      <c r="DI52" s="18">
        <f t="shared" si="99"/>
        <v>4402.5275230514226</v>
      </c>
      <c r="DJ52" s="18">
        <f t="shared" si="99"/>
        <v>4088.3561170325443</v>
      </c>
      <c r="DK52" s="18">
        <f t="shared" si="99"/>
        <v>3815.9888842876317</v>
      </c>
      <c r="DL52" s="18">
        <f t="shared" si="99"/>
        <v>3577.5751566423601</v>
      </c>
      <c r="DM52" s="18">
        <f t="shared" si="99"/>
        <v>3367.1474347722865</v>
      </c>
      <c r="DN52" s="18">
        <f t="shared" si="99"/>
        <v>3180.057308774617</v>
      </c>
      <c r="DO52" s="18">
        <f t="shared" si="99"/>
        <v>3012.6302725151563</v>
      </c>
      <c r="DP52" s="18">
        <f t="shared" si="99"/>
        <v>2861.9014661330821</v>
      </c>
      <c r="DQ52" s="18">
        <f t="shared" si="99"/>
        <v>2725.7178708477081</v>
      </c>
      <c r="DR52" s="18">
        <f t="shared" si="99"/>
        <v>2601.8626124462976</v>
      </c>
      <c r="DS52" s="18">
        <f t="shared" ref="DS52:EL52" si="100">DS22+(1-AQ22/2048)*$CM52+$CN52</f>
        <v>4428.6547664088375</v>
      </c>
      <c r="DT52" s="18">
        <f t="shared" si="100"/>
        <v>4112.613909096257</v>
      </c>
      <c r="DU52" s="18">
        <f t="shared" si="100"/>
        <v>3838.6259505975731</v>
      </c>
      <c r="DV52" s="18">
        <f t="shared" si="100"/>
        <v>3598.7941809930735</v>
      </c>
      <c r="DW52" s="18">
        <f t="shared" si="100"/>
        <v>3387.1153681241099</v>
      </c>
      <c r="DX52" s="18">
        <f t="shared" si="100"/>
        <v>3198.9132903665422</v>
      </c>
      <c r="DY52" s="18">
        <f t="shared" si="100"/>
        <v>3030.4914672662649</v>
      </c>
      <c r="DZ52" s="18">
        <f t="shared" si="100"/>
        <v>2878.8668989316607</v>
      </c>
      <c r="EA52" s="18">
        <f t="shared" si="100"/>
        <v>2741.8918786403933</v>
      </c>
      <c r="EB52" s="18">
        <f t="shared" si="100"/>
        <v>2617.3014380665882</v>
      </c>
      <c r="EC52" s="18">
        <f t="shared" si="100"/>
        <v>4430.4957115062107</v>
      </c>
      <c r="ED52" s="18">
        <f t="shared" si="100"/>
        <v>4114.3323088093275</v>
      </c>
      <c r="EE52" s="18">
        <f t="shared" si="100"/>
        <v>3840.226276222194</v>
      </c>
      <c r="EF52" s="18">
        <f t="shared" si="100"/>
        <v>3600.2905957123926</v>
      </c>
      <c r="EG52" s="18">
        <f t="shared" si="100"/>
        <v>3388.519759116577</v>
      </c>
      <c r="EH52" s="18">
        <f t="shared" si="100"/>
        <v>3200.2357484503232</v>
      </c>
      <c r="EI52" s="18">
        <f t="shared" si="100"/>
        <v>3031.7408218117148</v>
      </c>
      <c r="EJ52" s="18">
        <f t="shared" si="100"/>
        <v>2880.0642044956639</v>
      </c>
      <c r="EK52" s="18">
        <f t="shared" si="100"/>
        <v>2743.0315113197198</v>
      </c>
      <c r="EL52" s="18">
        <f t="shared" si="100"/>
        <v>2618.3892692604909</v>
      </c>
      <c r="EM52" s="18">
        <f t="shared" si="58"/>
        <v>4453.0535353538862</v>
      </c>
      <c r="EN52" s="18">
        <f t="shared" si="46"/>
        <v>4135.4481560617269</v>
      </c>
      <c r="EO52" s="18">
        <f t="shared" si="47"/>
        <v>3860.114966391161</v>
      </c>
      <c r="EP52" s="18">
        <f t="shared" si="48"/>
        <v>3619.1053244850887</v>
      </c>
      <c r="EQ52" s="18">
        <f t="shared" si="49"/>
        <v>3406.3868174356303</v>
      </c>
      <c r="ER52" s="18">
        <f t="shared" si="50"/>
        <v>3217.2604821845712</v>
      </c>
      <c r="ES52" s="18">
        <f t="shared" si="51"/>
        <v>3048.012144392213</v>
      </c>
      <c r="ET52" s="18">
        <f t="shared" si="52"/>
        <v>2895.6678722563734</v>
      </c>
      <c r="EU52" s="18">
        <f t="shared" si="53"/>
        <v>2756.9776437320029</v>
      </c>
      <c r="EV52" s="18">
        <f t="shared" si="54"/>
        <v>2631.6993108281144</v>
      </c>
    </row>
    <row r="53" spans="1:152" x14ac:dyDescent="0.2">
      <c r="A53" s="27" t="s">
        <v>317</v>
      </c>
      <c r="B53" s="27">
        <v>0</v>
      </c>
      <c r="C53" s="27">
        <v>1</v>
      </c>
      <c r="D53" s="27">
        <v>2</v>
      </c>
      <c r="E53" s="27">
        <v>3</v>
      </c>
      <c r="F53" s="27">
        <v>4</v>
      </c>
      <c r="G53" s="27">
        <v>5</v>
      </c>
      <c r="H53" s="27">
        <v>6</v>
      </c>
      <c r="I53" s="55">
        <v>7</v>
      </c>
      <c r="J53" s="55">
        <v>8</v>
      </c>
      <c r="K53" s="27">
        <v>9</v>
      </c>
      <c r="L53" s="27" t="s">
        <v>318</v>
      </c>
      <c r="M53" s="27" t="s">
        <v>318</v>
      </c>
      <c r="N53" s="12" t="s">
        <v>318</v>
      </c>
      <c r="O53" s="27" t="s">
        <v>318</v>
      </c>
      <c r="P53" s="27" t="s">
        <v>318</v>
      </c>
      <c r="CM53" s="27">
        <f t="shared" si="42"/>
        <v>0.9687427864289988</v>
      </c>
      <c r="CN53" s="27">
        <v>-0.125</v>
      </c>
      <c r="CO53" s="18">
        <f t="shared" ref="CO53:CX53" si="101">CO23+(1-AG23/2048)*$CM53+$CN53</f>
        <v>4323.4636919531613</v>
      </c>
      <c r="CP53" s="18">
        <f t="shared" si="101"/>
        <v>4014.9721844221053</v>
      </c>
      <c r="CQ53" s="18">
        <f t="shared" si="101"/>
        <v>3747.4914366504318</v>
      </c>
      <c r="CR53" s="18">
        <f t="shared" si="101"/>
        <v>3513.357291009801</v>
      </c>
      <c r="CS53" s="18">
        <f t="shared" si="101"/>
        <v>3306.7082112699713</v>
      </c>
      <c r="CT53" s="18">
        <f t="shared" si="101"/>
        <v>3122.978530511527</v>
      </c>
      <c r="CU53" s="18">
        <f t="shared" si="101"/>
        <v>2958.5590329975576</v>
      </c>
      <c r="CV53" s="18">
        <f t="shared" si="101"/>
        <v>2810.5157600244502</v>
      </c>
      <c r="CW53" s="18">
        <f t="shared" si="101"/>
        <v>2676.7693681546971</v>
      </c>
      <c r="CX53" s="18">
        <f t="shared" si="101"/>
        <v>2555.1385374195834</v>
      </c>
      <c r="CY53" s="18">
        <f t="shared" ref="CY53:DR53" si="102">CY23+(1-AG23/2048)*$CM53+$CN53</f>
        <v>4352.2199380987358</v>
      </c>
      <c r="CZ53" s="18">
        <f t="shared" si="102"/>
        <v>4041.6710619092796</v>
      </c>
      <c r="DA53" s="18">
        <f t="shared" si="102"/>
        <v>3772.4071030382079</v>
      </c>
      <c r="DB53" s="18">
        <f t="shared" si="102"/>
        <v>3536.7126897633211</v>
      </c>
      <c r="DC53" s="18">
        <f t="shared" si="102"/>
        <v>3328.6869894674965</v>
      </c>
      <c r="DD53" s="18">
        <f t="shared" si="102"/>
        <v>3143.7337481008535</v>
      </c>
      <c r="DE53" s="18">
        <f t="shared" si="102"/>
        <v>2978.2195746093653</v>
      </c>
      <c r="DF53" s="18">
        <f t="shared" si="102"/>
        <v>2829.1900577037809</v>
      </c>
      <c r="DG53" s="18">
        <f t="shared" si="102"/>
        <v>2694.5708538638619</v>
      </c>
      <c r="DH53" s="18">
        <f t="shared" si="102"/>
        <v>2572.1308646874227</v>
      </c>
      <c r="DI53" s="18">
        <f t="shared" si="102"/>
        <v>4354.2916754282051</v>
      </c>
      <c r="DJ53" s="18">
        <f t="shared" si="102"/>
        <v>4043.5140342035343</v>
      </c>
      <c r="DK53" s="18">
        <f t="shared" si="102"/>
        <v>3774.1239702694688</v>
      </c>
      <c r="DL53" s="18">
        <f t="shared" si="102"/>
        <v>3538.3186672116822</v>
      </c>
      <c r="DM53" s="18">
        <f t="shared" si="102"/>
        <v>3330.1948423239924</v>
      </c>
      <c r="DN53" s="18">
        <f t="shared" si="102"/>
        <v>3145.1542500734308</v>
      </c>
      <c r="DO53" s="18">
        <f t="shared" si="102"/>
        <v>2979.5622169145549</v>
      </c>
      <c r="DP53" s="18">
        <f t="shared" si="102"/>
        <v>2830.5390117919264</v>
      </c>
      <c r="DQ53" s="18">
        <f t="shared" si="102"/>
        <v>2695.7938727533674</v>
      </c>
      <c r="DR53" s="18">
        <f t="shared" si="102"/>
        <v>2573.298291809223</v>
      </c>
      <c r="DS53" s="18">
        <f t="shared" ref="DS53:EL53" si="103">DS23+(1-AQ23/2048)*$CM53+$CN53</f>
        <v>4381.6592849715616</v>
      </c>
      <c r="DT53" s="18">
        <f t="shared" si="103"/>
        <v>4068.9240946325699</v>
      </c>
      <c r="DU53" s="18">
        <f t="shared" si="103"/>
        <v>3797.8365665285846</v>
      </c>
      <c r="DV53" s="18">
        <f t="shared" si="103"/>
        <v>3560.5460582742489</v>
      </c>
      <c r="DW53" s="18">
        <f t="shared" si="103"/>
        <v>3351.11186805633</v>
      </c>
      <c r="DX53" s="18">
        <f t="shared" si="103"/>
        <v>3164.9066266096265</v>
      </c>
      <c r="DY53" s="18">
        <f t="shared" si="103"/>
        <v>2998.2726517777328</v>
      </c>
      <c r="DZ53" s="18">
        <f t="shared" si="103"/>
        <v>2848.3286376453407</v>
      </c>
      <c r="EA53" s="18">
        <f t="shared" si="103"/>
        <v>2712.7363735661429</v>
      </c>
      <c r="EB53" s="18">
        <f t="shared" si="103"/>
        <v>2589.4706789486909</v>
      </c>
      <c r="EC53" s="18">
        <f>EC23+(1-BA23/2048)*$CM53+$CN53</f>
        <v>4383.5976716528485</v>
      </c>
      <c r="ED53" s="18">
        <f t="shared" si="103"/>
        <v>4070.7254295506077</v>
      </c>
      <c r="EE53" s="18">
        <f t="shared" si="103"/>
        <v>3798.9120817842349</v>
      </c>
      <c r="EF53" s="18">
        <f t="shared" si="103"/>
        <v>3561.6485663976955</v>
      </c>
      <c r="EG53" s="18">
        <f t="shared" si="103"/>
        <v>3352.2910529746582</v>
      </c>
      <c r="EH53" s="18">
        <f t="shared" si="103"/>
        <v>3166.115678347805</v>
      </c>
      <c r="EI53" s="18">
        <f t="shared" si="103"/>
        <v>2999.4830025939254</v>
      </c>
      <c r="EJ53" s="18">
        <f t="shared" si="103"/>
        <v>2850.4526777354463</v>
      </c>
      <c r="EK53" s="18">
        <f t="shared" si="103"/>
        <v>2713.9320319691392</v>
      </c>
      <c r="EL53" s="18">
        <f t="shared" si="103"/>
        <v>2590.6119892424599</v>
      </c>
      <c r="EM53" s="18">
        <f t="shared" si="58"/>
        <v>4407.5062330005348</v>
      </c>
      <c r="EN53" s="18">
        <f t="shared" si="46"/>
        <v>4093.0690516806471</v>
      </c>
      <c r="EO53" s="18">
        <f t="shared" si="47"/>
        <v>3819.9512343053198</v>
      </c>
      <c r="EP53" s="18">
        <f t="shared" si="48"/>
        <v>3581.5408880688701</v>
      </c>
      <c r="EQ53" s="18">
        <f t="shared" si="49"/>
        <v>3371.1704924765045</v>
      </c>
      <c r="ER53" s="18">
        <f t="shared" si="50"/>
        <v>3184.0948415888724</v>
      </c>
      <c r="ES53" s="18">
        <f t="shared" si="51"/>
        <v>3016.6571131254086</v>
      </c>
      <c r="ET53" s="18">
        <f t="shared" si="52"/>
        <v>2865.9257195742844</v>
      </c>
      <c r="EU53" s="18">
        <f t="shared" si="53"/>
        <v>2728.6784976900749</v>
      </c>
      <c r="EV53" s="18">
        <f t="shared" si="54"/>
        <v>2604.6860088308185</v>
      </c>
    </row>
    <row r="54" spans="1:152" x14ac:dyDescent="0.2">
      <c r="CM54" s="27">
        <f t="shared" si="42"/>
        <v>0.95764100394071627</v>
      </c>
      <c r="CN54" s="27">
        <v>-0.125</v>
      </c>
      <c r="CO54" s="18">
        <f t="shared" ref="CO54:CX54" si="104">CO24+(1-AG24/2048)*$CM54+$CN54</f>
        <v>4271.598401225644</v>
      </c>
      <c r="CP54" s="18">
        <f t="shared" si="104"/>
        <v>3966.7393499937452</v>
      </c>
      <c r="CQ54" s="18">
        <f t="shared" si="104"/>
        <v>3702.461212344057</v>
      </c>
      <c r="CR54" s="18">
        <f t="shared" si="104"/>
        <v>3471.1329260275961</v>
      </c>
      <c r="CS54" s="18">
        <f t="shared" si="104"/>
        <v>3266.9620413896237</v>
      </c>
      <c r="CT54" s="18">
        <f t="shared" si="104"/>
        <v>3085.4368851344966</v>
      </c>
      <c r="CU54" s="18">
        <f t="shared" si="104"/>
        <v>2922.9913910365917</v>
      </c>
      <c r="CV54" s="18">
        <f t="shared" si="104"/>
        <v>2776.7688219314873</v>
      </c>
      <c r="CW54" s="18">
        <f t="shared" si="104"/>
        <v>2644.583613628959</v>
      </c>
      <c r="CX54" s="18">
        <f t="shared" si="104"/>
        <v>2524.4152424448434</v>
      </c>
      <c r="CY54" s="18">
        <f t="shared" ref="CY54:DR54" si="105">CY24+(1-AG24/2048)*$CM54+$CN54</f>
        <v>4301.56249122399</v>
      </c>
      <c r="CZ54" s="18">
        <f t="shared" si="105"/>
        <v>3994.5604291329746</v>
      </c>
      <c r="DA54" s="18">
        <f t="shared" si="105"/>
        <v>3728.4243367397235</v>
      </c>
      <c r="DB54" s="18">
        <f t="shared" si="105"/>
        <v>3495.4703679138047</v>
      </c>
      <c r="DC54" s="18">
        <f t="shared" si="105"/>
        <v>3289.8651316924143</v>
      </c>
      <c r="DD54" s="18">
        <f t="shared" si="105"/>
        <v>3107.0650917655544</v>
      </c>
      <c r="DE54" s="18">
        <f t="shared" si="105"/>
        <v>2943.4790070199792</v>
      </c>
      <c r="DF54" s="18">
        <f t="shared" si="105"/>
        <v>2796.2462332168993</v>
      </c>
      <c r="DG54" s="18">
        <f t="shared" si="105"/>
        <v>2663.133529138875</v>
      </c>
      <c r="DH54" s="18">
        <f t="shared" si="105"/>
        <v>2542.1219799770356</v>
      </c>
      <c r="DI54" s="18">
        <f t="shared" si="105"/>
        <v>4303.6292507777689</v>
      </c>
      <c r="DJ54" s="18">
        <f t="shared" si="105"/>
        <v>3996.4818555257125</v>
      </c>
      <c r="DK54" s="18">
        <f t="shared" si="105"/>
        <v>3730.2147734250025</v>
      </c>
      <c r="DL54" s="18">
        <f t="shared" si="105"/>
        <v>3497.1455985516773</v>
      </c>
      <c r="DM54" s="18">
        <f t="shared" si="105"/>
        <v>3291.4383901476726</v>
      </c>
      <c r="DN54" s="18">
        <f t="shared" si="105"/>
        <v>3108.5475442642528</v>
      </c>
      <c r="DO54" s="18">
        <f t="shared" si="105"/>
        <v>2944.8797571652226</v>
      </c>
      <c r="DP54" s="18">
        <f t="shared" si="105"/>
        <v>2797.5861307306718</v>
      </c>
      <c r="DQ54" s="18">
        <f t="shared" si="105"/>
        <v>2664.4096220091346</v>
      </c>
      <c r="DR54" s="18">
        <f t="shared" si="105"/>
        <v>2543.3400686259201</v>
      </c>
      <c r="DS54" s="18">
        <f t="shared" ref="DS54:EL54" si="106">DS24+(1-AQ24/2048)*$CM54+$CN54</f>
        <v>4332.223197657413</v>
      </c>
      <c r="DT54" s="18">
        <f t="shared" si="106"/>
        <v>4023.0304307359402</v>
      </c>
      <c r="DU54" s="18">
        <f t="shared" si="106"/>
        <v>3754.9900571930675</v>
      </c>
      <c r="DV54" s="18">
        <f t="shared" si="106"/>
        <v>3520.3693121924421</v>
      </c>
      <c r="DW54" s="18">
        <f t="shared" si="106"/>
        <v>3313.2931692508396</v>
      </c>
      <c r="DX54" s="18">
        <f t="shared" si="106"/>
        <v>3129.1856043321222</v>
      </c>
      <c r="DY54" s="18">
        <f t="shared" si="106"/>
        <v>2964.4292690003658</v>
      </c>
      <c r="DZ54" s="18">
        <f t="shared" si="106"/>
        <v>2816.1730384502775</v>
      </c>
      <c r="EA54" s="18">
        <f t="shared" si="106"/>
        <v>2682.1114388849501</v>
      </c>
      <c r="EB54" s="18">
        <f t="shared" si="106"/>
        <v>2560.2372574619253</v>
      </c>
      <c r="EC54" s="18">
        <f t="shared" si="106"/>
        <v>4334.2563146688499</v>
      </c>
      <c r="ED54" s="18">
        <f t="shared" si="106"/>
        <v>4024.9137124483959</v>
      </c>
      <c r="EE54" s="18">
        <f t="shared" si="106"/>
        <v>3756.7449504252163</v>
      </c>
      <c r="EF54" s="18">
        <f t="shared" si="106"/>
        <v>3522.0111803050254</v>
      </c>
      <c r="EG54" s="18">
        <f t="shared" si="106"/>
        <v>3314.834903305527</v>
      </c>
      <c r="EH54" s="18">
        <f t="shared" si="106"/>
        <v>3130.6381017712988</v>
      </c>
      <c r="EI54" s="18">
        <f t="shared" si="106"/>
        <v>2965.8019512193291</v>
      </c>
      <c r="EJ54" s="18">
        <f t="shared" si="106"/>
        <v>2817.4866267696693</v>
      </c>
      <c r="EK54" s="18">
        <f t="shared" si="106"/>
        <v>2683.3624753796089</v>
      </c>
      <c r="EL54" s="18">
        <f t="shared" si="106"/>
        <v>2561.4314286613721</v>
      </c>
      <c r="EM54" s="18">
        <f t="shared" si="58"/>
        <v>4359.4631818988646</v>
      </c>
      <c r="EN54" s="18">
        <f t="shared" si="46"/>
        <v>4048.473640709241</v>
      </c>
      <c r="EO54" s="18">
        <f t="shared" si="47"/>
        <v>3778.9110257973039</v>
      </c>
      <c r="EP54" s="18">
        <f t="shared" si="48"/>
        <v>3542.9574419895775</v>
      </c>
      <c r="EQ54" s="18">
        <f t="shared" si="49"/>
        <v>3334.7048323027038</v>
      </c>
      <c r="ER54" s="18">
        <f t="shared" si="50"/>
        <v>3149.5514557754018</v>
      </c>
      <c r="ES54" s="18">
        <f t="shared" si="51"/>
        <v>2983.8602056325558</v>
      </c>
      <c r="ET54" s="18">
        <f t="shared" si="52"/>
        <v>2833.8049000490937</v>
      </c>
      <c r="EU54" s="18">
        <f t="shared" si="53"/>
        <v>2698.901459142181</v>
      </c>
      <c r="EV54" s="18">
        <f t="shared" si="54"/>
        <v>2576.2619674086254</v>
      </c>
    </row>
    <row r="55" spans="1:152" x14ac:dyDescent="0.2">
      <c r="CM55" s="27">
        <f t="shared" si="42"/>
        <v>0.94602051229253181</v>
      </c>
      <c r="CN55" s="27">
        <v>-0.125</v>
      </c>
      <c r="CO55" s="18">
        <f t="shared" ref="CO55:CX55" si="107">CO25+(1-AG25/2048)*$CM55+$CN55</f>
        <v>4217.3328568543448</v>
      </c>
      <c r="CP55" s="18">
        <f t="shared" si="107"/>
        <v>3916.3579557186786</v>
      </c>
      <c r="CQ55" s="18">
        <f t="shared" si="107"/>
        <v>3655.4255143555451</v>
      </c>
      <c r="CR55" s="18">
        <f t="shared" si="107"/>
        <v>3427.0283440264734</v>
      </c>
      <c r="CS55" s="18">
        <f t="shared" si="107"/>
        <v>3225.446205249681</v>
      </c>
      <c r="CT55" s="18">
        <f t="shared" si="107"/>
        <v>3046.2237942121205</v>
      </c>
      <c r="CU55" s="18">
        <f t="shared" si="107"/>
        <v>2885.8399496622887</v>
      </c>
      <c r="CV55" s="18">
        <f t="shared" si="107"/>
        <v>2741.4702489224692</v>
      </c>
      <c r="CW55" s="18">
        <f t="shared" si="107"/>
        <v>2610.9650107337566</v>
      </c>
      <c r="CX55" s="18">
        <f t="shared" si="107"/>
        <v>2492.3245225761111</v>
      </c>
      <c r="CY55" s="18">
        <f t="shared" ref="CY55:DR55" si="108">CY25+(1-AG25/2048)*$CM55+$CN55</f>
        <v>4248.489456270745</v>
      </c>
      <c r="CZ55" s="18">
        <f t="shared" si="108"/>
        <v>3945.2861748045711</v>
      </c>
      <c r="DA55" s="18">
        <f t="shared" si="108"/>
        <v>3682.422031415962</v>
      </c>
      <c r="DB55" s="18">
        <f t="shared" si="108"/>
        <v>3452.3346368998104</v>
      </c>
      <c r="DC55" s="18">
        <f t="shared" si="108"/>
        <v>3249.261189151588</v>
      </c>
      <c r="DD55" s="18">
        <f t="shared" si="108"/>
        <v>3068.7132551743102</v>
      </c>
      <c r="DE55" s="18">
        <f t="shared" si="108"/>
        <v>2907.1435112901981</v>
      </c>
      <c r="DF55" s="18">
        <f t="shared" si="108"/>
        <v>2761.7229614996577</v>
      </c>
      <c r="DG55" s="18">
        <f t="shared" si="108"/>
        <v>2630.2533124697361</v>
      </c>
      <c r="DH55" s="18">
        <f t="shared" si="108"/>
        <v>2510.7360794644642</v>
      </c>
      <c r="DI55" s="18">
        <f t="shared" si="108"/>
        <v>4250.6395441616542</v>
      </c>
      <c r="DJ55" s="18">
        <f t="shared" si="108"/>
        <v>3947.2850912905878</v>
      </c>
      <c r="DK55" s="18">
        <f t="shared" si="108"/>
        <v>3684.2851178790434</v>
      </c>
      <c r="DL55" s="18">
        <f t="shared" si="108"/>
        <v>3454.0782395656734</v>
      </c>
      <c r="DM55" s="18">
        <f t="shared" si="108"/>
        <v>3250.8990038720494</v>
      </c>
      <c r="DN55" s="18">
        <f t="shared" si="108"/>
        <v>3070.2569489889574</v>
      </c>
      <c r="DO55" s="18">
        <f t="shared" si="108"/>
        <v>2908.6026648999759</v>
      </c>
      <c r="DP55" s="18">
        <f t="shared" si="108"/>
        <v>2763.1178609336625</v>
      </c>
      <c r="DQ55" s="18">
        <f t="shared" si="108"/>
        <v>2631.5821179897985</v>
      </c>
      <c r="DR55" s="18">
        <f t="shared" si="108"/>
        <v>2512.0041698590139</v>
      </c>
      <c r="DS55" s="18">
        <f t="shared" ref="DS55:EL55" si="109">DS25+(1-AQ25/2048)*$CM55+$CN55</f>
        <v>4280.4443213015711</v>
      </c>
      <c r="DT55" s="18">
        <f t="shared" si="109"/>
        <v>3974.9578068348892</v>
      </c>
      <c r="DU55" s="18">
        <f t="shared" si="109"/>
        <v>3710.1096653952645</v>
      </c>
      <c r="DV55" s="18">
        <f t="shared" si="109"/>
        <v>3478.2856853756698</v>
      </c>
      <c r="DW55" s="18">
        <f t="shared" si="109"/>
        <v>3273.6796832422178</v>
      </c>
      <c r="DX55" s="18">
        <f t="shared" si="109"/>
        <v>3091.769497064578</v>
      </c>
      <c r="DY55" s="18">
        <f t="shared" si="109"/>
        <v>2928.9806661437242</v>
      </c>
      <c r="DZ55" s="18">
        <f t="shared" si="109"/>
        <v>2782.4919828644106</v>
      </c>
      <c r="EA55" s="18">
        <f t="shared" si="109"/>
        <v>2650.0336626857493</v>
      </c>
      <c r="EB55" s="18">
        <f t="shared" si="109"/>
        <v>2529.6170079778758</v>
      </c>
      <c r="EC55" s="18">
        <f t="shared" si="109"/>
        <v>4282.5579914268792</v>
      </c>
      <c r="ED55" s="18">
        <f t="shared" si="109"/>
        <v>3976.9221204559253</v>
      </c>
      <c r="EE55" s="18">
        <f t="shared" si="109"/>
        <v>3711.9405146490362</v>
      </c>
      <c r="EF55" s="18">
        <f t="shared" si="109"/>
        <v>3479.9990017661548</v>
      </c>
      <c r="EG55" s="18">
        <f t="shared" si="109"/>
        <v>3275.2888727341196</v>
      </c>
      <c r="EH55" s="18">
        <f t="shared" si="109"/>
        <v>3093.2858498273554</v>
      </c>
      <c r="EI55" s="18">
        <f t="shared" si="109"/>
        <v>2930.4139476560545</v>
      </c>
      <c r="EJ55" s="18">
        <f t="shared" si="109"/>
        <v>2783.8630066709429</v>
      </c>
      <c r="EK55" s="18">
        <f t="shared" si="109"/>
        <v>2651.3393996443515</v>
      </c>
      <c r="EL55" s="18">
        <f t="shared" si="109"/>
        <v>2530.8633932565417</v>
      </c>
      <c r="EM55" s="18">
        <f t="shared" si="58"/>
        <v>4309.0438783459349</v>
      </c>
      <c r="EN55" s="18">
        <f t="shared" si="46"/>
        <v>4001.6863962829102</v>
      </c>
      <c r="EO55" s="18">
        <f t="shared" si="47"/>
        <v>3735.2286140858414</v>
      </c>
      <c r="EP55" s="18">
        <f t="shared" si="48"/>
        <v>3501.995230388759</v>
      </c>
      <c r="EQ55" s="18">
        <f t="shared" si="49"/>
        <v>3296.1452496065749</v>
      </c>
      <c r="ER55" s="18">
        <f t="shared" si="50"/>
        <v>3113.129191668902</v>
      </c>
      <c r="ES55" s="18">
        <f t="shared" si="51"/>
        <v>2949.3513829883555</v>
      </c>
      <c r="ET55" s="18">
        <f t="shared" si="52"/>
        <v>2801.0047133379003</v>
      </c>
      <c r="EU55" s="18">
        <f t="shared" si="53"/>
        <v>2667.662632727157</v>
      </c>
      <c r="EV55" s="18">
        <f t="shared" si="54"/>
        <v>2546.4425594446634</v>
      </c>
    </row>
    <row r="56" spans="1:152" x14ac:dyDescent="0.2">
      <c r="CM56" s="27">
        <f t="shared" si="42"/>
        <v>0.9408830630087589</v>
      </c>
      <c r="CN56" s="27">
        <v>-0.125</v>
      </c>
      <c r="CO56" s="18">
        <f t="shared" ref="CO56:CX56" si="110">CO26+(1-AG26/2048)*$CM56+$CN56</f>
        <v>4193.3736503916425</v>
      </c>
      <c r="CP56" s="18">
        <f t="shared" si="110"/>
        <v>3894.1147588208864</v>
      </c>
      <c r="CQ56" s="18">
        <f t="shared" si="110"/>
        <v>3634.6596236341379</v>
      </c>
      <c r="CR56" s="18">
        <f t="shared" si="110"/>
        <v>3407.5566626488016</v>
      </c>
      <c r="CS56" s="18">
        <f t="shared" si="110"/>
        <v>3207.1175310427529</v>
      </c>
      <c r="CT56" s="18">
        <f t="shared" si="110"/>
        <v>3028.9118914771016</v>
      </c>
      <c r="CU56" s="18">
        <f t="shared" si="110"/>
        <v>2869.4316386554156</v>
      </c>
      <c r="CV56" s="18">
        <f t="shared" si="110"/>
        <v>2725.8865558079351</v>
      </c>
      <c r="CW56" s="18">
        <f t="shared" si="110"/>
        <v>2596.1234755580513</v>
      </c>
      <c r="CX56" s="18">
        <f t="shared" si="110"/>
        <v>2478.1570389672479</v>
      </c>
      <c r="CY56" s="18">
        <f t="shared" ref="CY56:DR56" si="111">CY26+(1-AG26/2048)*$CM56+$CN56</f>
        <v>4225.0362198077328</v>
      </c>
      <c r="CZ56" s="18">
        <f t="shared" si="111"/>
        <v>3923.5127089842485</v>
      </c>
      <c r="DA56" s="18">
        <f t="shared" si="111"/>
        <v>3662.0945810039134</v>
      </c>
      <c r="DB56" s="18">
        <f t="shared" si="111"/>
        <v>3433.2740111841185</v>
      </c>
      <c r="DC56" s="18">
        <f t="shared" si="111"/>
        <v>3231.3194046301414</v>
      </c>
      <c r="DD56" s="18">
        <f t="shared" si="111"/>
        <v>3051.7667598157909</v>
      </c>
      <c r="DE56" s="18">
        <f t="shared" si="111"/>
        <v>2891.0811665110882</v>
      </c>
      <c r="DF56" s="18">
        <f t="shared" si="111"/>
        <v>2746.4682065001061</v>
      </c>
      <c r="DG56" s="18">
        <f t="shared" si="111"/>
        <v>2615.725047645833</v>
      </c>
      <c r="DH56" s="18">
        <f t="shared" si="111"/>
        <v>2496.8676305055856</v>
      </c>
      <c r="DI56" s="18">
        <f t="shared" si="111"/>
        <v>4227.2230929160678</v>
      </c>
      <c r="DJ56" s="18">
        <f t="shared" si="111"/>
        <v>3925.5445307424993</v>
      </c>
      <c r="DK56" s="18">
        <f t="shared" si="111"/>
        <v>3663.9885119436967</v>
      </c>
      <c r="DL56" s="18">
        <f t="shared" si="111"/>
        <v>3435.0466391604518</v>
      </c>
      <c r="DM56" s="18">
        <f t="shared" si="111"/>
        <v>3232.984628349137</v>
      </c>
      <c r="DN56" s="18">
        <f t="shared" si="111"/>
        <v>3053.3363785300048</v>
      </c>
      <c r="DO56" s="18">
        <f t="shared" si="111"/>
        <v>2892.5696978715873</v>
      </c>
      <c r="DP56" s="18">
        <f t="shared" si="111"/>
        <v>2747.8864486171883</v>
      </c>
      <c r="DQ56" s="18">
        <f t="shared" si="111"/>
        <v>2617.0757544240064</v>
      </c>
      <c r="DR56" s="18">
        <f t="shared" si="111"/>
        <v>2498.1569415211143</v>
      </c>
      <c r="DS56" s="18">
        <f t="shared" ref="DS56:EL56" si="112">DS26+(1-AQ26/2048)*$CM56+$CN56</f>
        <v>4257.5419014259114</v>
      </c>
      <c r="DT56" s="18">
        <f t="shared" si="112"/>
        <v>3953.6944715641785</v>
      </c>
      <c r="DU56" s="18">
        <f t="shared" si="112"/>
        <v>3690.2584962063884</v>
      </c>
      <c r="DV56" s="18">
        <f t="shared" si="112"/>
        <v>3459.671701106618</v>
      </c>
      <c r="DW56" s="18">
        <f t="shared" si="112"/>
        <v>3256.1583722882187</v>
      </c>
      <c r="DX56" s="18">
        <f t="shared" si="112"/>
        <v>3075.2201644098136</v>
      </c>
      <c r="DY56" s="18">
        <f t="shared" si="112"/>
        <v>2913.2993399265706</v>
      </c>
      <c r="DZ56" s="18">
        <f t="shared" si="112"/>
        <v>2767.5947602662122</v>
      </c>
      <c r="EA56" s="18">
        <f t="shared" si="112"/>
        <v>2635.8455750421244</v>
      </c>
      <c r="EB56" s="18">
        <f t="shared" si="112"/>
        <v>2516.0735884747724</v>
      </c>
      <c r="EC56" s="18">
        <f t="shared" si="112"/>
        <v>4259.6927580442816</v>
      </c>
      <c r="ED56" s="18">
        <f t="shared" si="112"/>
        <v>3955.6932015532589</v>
      </c>
      <c r="EE56" s="18">
        <f t="shared" si="112"/>
        <v>3692.121605421346</v>
      </c>
      <c r="EF56" s="18">
        <f t="shared" si="112"/>
        <v>3461.4153676817436</v>
      </c>
      <c r="EG56" s="18">
        <f t="shared" si="112"/>
        <v>3257.7962031374504</v>
      </c>
      <c r="EH56" s="18">
        <f t="shared" si="112"/>
        <v>3076.7636575876227</v>
      </c>
      <c r="EI56" s="18">
        <f t="shared" si="112"/>
        <v>2914.7599568232231</v>
      </c>
      <c r="EJ56" s="18">
        <f t="shared" si="112"/>
        <v>2768.9901737490536</v>
      </c>
      <c r="EK56" s="18">
        <f t="shared" si="112"/>
        <v>2637.1745402638785</v>
      </c>
      <c r="EL56" s="18">
        <f t="shared" si="112"/>
        <v>2517.3421461864468</v>
      </c>
      <c r="EM56" s="18">
        <f t="shared" si="58"/>
        <v>4286.7242224305546</v>
      </c>
      <c r="EN56" s="18">
        <f t="shared" si="46"/>
        <v>3980.9696285403315</v>
      </c>
      <c r="EO56" s="18">
        <f t="shared" si="47"/>
        <v>3715.8867921143401</v>
      </c>
      <c r="EP56" s="18">
        <f t="shared" si="48"/>
        <v>3483.8580352219838</v>
      </c>
      <c r="EQ56" s="18">
        <f t="shared" si="49"/>
        <v>3279.0719791266279</v>
      </c>
      <c r="ER56" s="18">
        <f t="shared" si="50"/>
        <v>3097.0023250549107</v>
      </c>
      <c r="ES56" s="18">
        <f t="shared" si="51"/>
        <v>2934.0719472960036</v>
      </c>
      <c r="ET56" s="18">
        <f t="shared" si="52"/>
        <v>2786.4820050777503</v>
      </c>
      <c r="EU56" s="18">
        <f t="shared" si="53"/>
        <v>2653.8312373627623</v>
      </c>
      <c r="EV56" s="18">
        <f t="shared" si="54"/>
        <v>2533.2396303491373</v>
      </c>
    </row>
    <row r="57" spans="1:152" x14ac:dyDescent="0.2">
      <c r="CM57" s="27">
        <f t="shared" si="42"/>
        <v>1.3103728708974214</v>
      </c>
      <c r="CN57" s="27">
        <v>-0.125</v>
      </c>
      <c r="CO57" s="18">
        <f t="shared" ref="CO57:CX57" si="113">CO27+(1-AG27/2048)*$CM57+$CN57</f>
        <v>6472.0532827259676</v>
      </c>
      <c r="CP57" s="18">
        <f t="shared" si="113"/>
        <v>5824.9728964438</v>
      </c>
      <c r="CQ57" s="18">
        <f t="shared" si="113"/>
        <v>5295.6943404296953</v>
      </c>
      <c r="CR57" s="18">
        <f t="shared" si="113"/>
        <v>4854.4949449840806</v>
      </c>
      <c r="CS57" s="18">
        <f t="shared" si="113"/>
        <v>4481.0522750858327</v>
      </c>
      <c r="CT57" s="18">
        <f t="shared" si="113"/>
        <v>4160.8852432216772</v>
      </c>
      <c r="CU57" s="18">
        <f t="shared" si="113"/>
        <v>3883.3615785905727</v>
      </c>
      <c r="CV57" s="18">
        <f t="shared" si="113"/>
        <v>3640.4995743120776</v>
      </c>
      <c r="CW57" s="18">
        <f t="shared" si="113"/>
        <v>3426.1985507147374</v>
      </c>
      <c r="CX57" s="18">
        <f t="shared" si="113"/>
        <v>3236.6513513151258</v>
      </c>
      <c r="CY57" s="18">
        <f t="shared" ref="CY57:DR57" si="114">CY27+(1-AG27/2048)*$CM57+$CN57</f>
        <v>6507.5907327201958</v>
      </c>
      <c r="CZ57" s="18">
        <f t="shared" si="114"/>
        <v>5856.9566014386055</v>
      </c>
      <c r="DA57" s="18">
        <f t="shared" si="114"/>
        <v>5324.7651502941862</v>
      </c>
      <c r="DB57" s="18">
        <f t="shared" si="114"/>
        <v>4881.1373007965703</v>
      </c>
      <c r="DC57" s="18">
        <f t="shared" si="114"/>
        <v>4505.6401678943967</v>
      </c>
      <c r="DD57" s="18">
        <f t="shared" si="114"/>
        <v>4183.7125288994876</v>
      </c>
      <c r="DE57" s="18">
        <f t="shared" si="114"/>
        <v>3904.6633256791852</v>
      </c>
      <c r="DF57" s="18">
        <f t="shared" si="114"/>
        <v>3660.4667509781029</v>
      </c>
      <c r="DG57" s="18">
        <f t="shared" si="114"/>
        <v>3444.9885208371907</v>
      </c>
      <c r="DH57" s="18">
        <f t="shared" si="114"/>
        <v>3254.4200763122399</v>
      </c>
      <c r="DI57" s="18">
        <f t="shared" si="114"/>
        <v>6510.0193593330623</v>
      </c>
      <c r="DJ57" s="18">
        <f t="shared" si="114"/>
        <v>5859.1423653901848</v>
      </c>
      <c r="DK57" s="18">
        <f t="shared" si="114"/>
        <v>5326.758100810267</v>
      </c>
      <c r="DL57" s="18">
        <f t="shared" si="114"/>
        <v>4882.9551271783757</v>
      </c>
      <c r="DM57" s="18">
        <f t="shared" si="114"/>
        <v>4507.3098681891024</v>
      </c>
      <c r="DN57" s="18">
        <f t="shared" si="114"/>
        <v>4185.2555395806694</v>
      </c>
      <c r="DO57" s="18">
        <f t="shared" si="114"/>
        <v>3906.0967432715338</v>
      </c>
      <c r="DP57" s="18">
        <f t="shared" si="114"/>
        <v>3661.8044628520001</v>
      </c>
      <c r="DQ57" s="18">
        <f t="shared" si="114"/>
        <v>3446.2576740525155</v>
      </c>
      <c r="DR57" s="18">
        <f t="shared" si="114"/>
        <v>3255.6343896186731</v>
      </c>
      <c r="DS57" s="18">
        <f t="shared" ref="DS57:EL57" si="115">DS27+(1-AQ27/2048)*$CM57+$CN57</f>
        <v>6543.4752593421053</v>
      </c>
      <c r="DT57" s="18">
        <f t="shared" si="115"/>
        <v>5889.2526753983238</v>
      </c>
      <c r="DU57" s="18">
        <f t="shared" si="115"/>
        <v>5354.1252685963955</v>
      </c>
      <c r="DV57" s="18">
        <f t="shared" si="115"/>
        <v>4908.0356123531374</v>
      </c>
      <c r="DW57" s="18">
        <f t="shared" si="115"/>
        <v>4530.4559046236536</v>
      </c>
      <c r="DX57" s="18">
        <f t="shared" si="115"/>
        <v>4206.7438712002486</v>
      </c>
      <c r="DY57" s="18">
        <f t="shared" si="115"/>
        <v>3926.1487378412194</v>
      </c>
      <c r="DZ57" s="18">
        <f t="shared" si="115"/>
        <v>3680.5999518555368</v>
      </c>
      <c r="EA57" s="18">
        <f t="shared" si="115"/>
        <v>3463.9450957884137</v>
      </c>
      <c r="EB57" s="18">
        <f t="shared" si="115"/>
        <v>3272.3623396231947</v>
      </c>
      <c r="EC57" s="18">
        <f t="shared" si="115"/>
        <v>6545.8223110791796</v>
      </c>
      <c r="ED57" s="18">
        <f t="shared" si="115"/>
        <v>5891.3650219616902</v>
      </c>
      <c r="EE57" s="18">
        <f t="shared" si="115"/>
        <v>5356.0503535985999</v>
      </c>
      <c r="EF57" s="18">
        <f t="shared" si="115"/>
        <v>4909.7913028359608</v>
      </c>
      <c r="EG57" s="18">
        <f t="shared" si="115"/>
        <v>4532.0679838143251</v>
      </c>
      <c r="EH57" s="18">
        <f t="shared" si="115"/>
        <v>4208.2349614853611</v>
      </c>
      <c r="EI57" s="18">
        <f t="shared" si="115"/>
        <v>3927.5317197172553</v>
      </c>
      <c r="EJ57" s="18">
        <f t="shared" si="115"/>
        <v>3681.8897718027079</v>
      </c>
      <c r="EK57" s="18">
        <f t="shared" si="115"/>
        <v>3465.173694446441</v>
      </c>
      <c r="EL57" s="18">
        <f t="shared" si="115"/>
        <v>3273.5358654917318</v>
      </c>
      <c r="EM57" s="18">
        <f t="shared" si="58"/>
        <v>6573.0033240426001</v>
      </c>
      <c r="EN57" s="18">
        <f t="shared" si="46"/>
        <v>5915.8215289254304</v>
      </c>
      <c r="EO57" s="18">
        <f t="shared" si="47"/>
        <v>5378.5377971395337</v>
      </c>
      <c r="EP57" s="18">
        <f t="shared" si="48"/>
        <v>4930.6751117597005</v>
      </c>
      <c r="EQ57" s="18">
        <f t="shared" si="49"/>
        <v>4551.596031271858</v>
      </c>
      <c r="ER57" s="18">
        <f t="shared" si="50"/>
        <v>4226.599486670968</v>
      </c>
      <c r="ES57" s="18">
        <f t="shared" si="51"/>
        <v>3944.8922829279295</v>
      </c>
      <c r="ET57" s="18">
        <f t="shared" si="52"/>
        <v>3698.3712843246226</v>
      </c>
      <c r="EU57" s="18">
        <f t="shared" si="53"/>
        <v>3480.8505416454846</v>
      </c>
      <c r="EV57" s="18">
        <f t="shared" si="54"/>
        <v>3287.0943484567488</v>
      </c>
    </row>
    <row r="58" spans="1:152" x14ac:dyDescent="0.2">
      <c r="CM58" s="27">
        <f t="shared" si="42"/>
        <v>1.3061859268420308</v>
      </c>
      <c r="CN58" s="27">
        <v>-0.125</v>
      </c>
      <c r="CO58" s="18">
        <f t="shared" ref="CO58:CX58" si="116">CO28+(1-AG28/2048)*$CM58+$CN58</f>
        <v>6450.1819138825695</v>
      </c>
      <c r="CP58" s="18">
        <f t="shared" si="116"/>
        <v>5805.2882253258285</v>
      </c>
      <c r="CQ58" s="18">
        <f t="shared" si="116"/>
        <v>5277.8057368570107</v>
      </c>
      <c r="CR58" s="18">
        <f t="shared" si="116"/>
        <v>4838.0935033461665</v>
      </c>
      <c r="CS58" s="18">
        <f t="shared" si="116"/>
        <v>4465.9105102493977</v>
      </c>
      <c r="CT58" s="18">
        <f t="shared" si="116"/>
        <v>4146.8240593165046</v>
      </c>
      <c r="CU58" s="18">
        <f t="shared" si="116"/>
        <v>3870.2374550627073</v>
      </c>
      <c r="CV58" s="18">
        <f t="shared" si="116"/>
        <v>3628.1956767136262</v>
      </c>
      <c r="CW58" s="18">
        <f t="shared" si="116"/>
        <v>3415.3880853802593</v>
      </c>
      <c r="CX58" s="18">
        <f t="shared" si="116"/>
        <v>3225.7134710988648</v>
      </c>
      <c r="CY58" s="18">
        <f t="shared" ref="CY58:DR58" si="117">CY28+(1-AG28/2048)*$CM58+$CN58</f>
        <v>6486.3579160855306</v>
      </c>
      <c r="CZ58" s="18">
        <f t="shared" si="117"/>
        <v>5837.8466273084941</v>
      </c>
      <c r="DA58" s="18">
        <f t="shared" si="117"/>
        <v>5307.3987799564238</v>
      </c>
      <c r="DB58" s="18">
        <f t="shared" si="117"/>
        <v>4865.2146029929763</v>
      </c>
      <c r="DC58" s="18">
        <f t="shared" si="117"/>
        <v>4490.9403407162608</v>
      </c>
      <c r="DD58" s="18">
        <f t="shared" si="117"/>
        <v>4170.061728875452</v>
      </c>
      <c r="DE58" s="18">
        <f t="shared" si="117"/>
        <v>3891.9222356716086</v>
      </c>
      <c r="DF58" s="18">
        <f t="shared" si="117"/>
        <v>3648.5219515278509</v>
      </c>
      <c r="DG58" s="18">
        <f t="shared" si="117"/>
        <v>3434.5400865465326</v>
      </c>
      <c r="DH58" s="18">
        <f t="shared" si="117"/>
        <v>3243.8014722003454</v>
      </c>
      <c r="DI58" s="18">
        <f t="shared" si="117"/>
        <v>6488.8317609923233</v>
      </c>
      <c r="DJ58" s="18">
        <f t="shared" si="117"/>
        <v>5840.0730877246078</v>
      </c>
      <c r="DK58" s="18">
        <f t="shared" si="117"/>
        <v>5309.4284432782651</v>
      </c>
      <c r="DL58" s="18">
        <f t="shared" si="117"/>
        <v>4867.0662659006211</v>
      </c>
      <c r="DM58" s="18">
        <f t="shared" si="117"/>
        <v>4492.641395576019</v>
      </c>
      <c r="DN58" s="18">
        <f t="shared" si="117"/>
        <v>4171.6339051017803</v>
      </c>
      <c r="DO58" s="18">
        <f t="shared" si="117"/>
        <v>3893.3829145709678</v>
      </c>
      <c r="DP58" s="18">
        <f t="shared" si="117"/>
        <v>3649.8853863188492</v>
      </c>
      <c r="DQ58" s="18">
        <f t="shared" si="117"/>
        <v>3435.8497691442467</v>
      </c>
      <c r="DR58" s="18">
        <f t="shared" si="117"/>
        <v>3245.0383946537418</v>
      </c>
      <c r="DS58" s="18">
        <f t="shared" ref="DS58:EL58" si="118">DS28+(1-AQ28/2048)*$CM58+$CN58</f>
        <v>6522.9336873123739</v>
      </c>
      <c r="DT58" s="18">
        <f t="shared" si="118"/>
        <v>5870.7648214126539</v>
      </c>
      <c r="DU58" s="18">
        <f t="shared" si="118"/>
        <v>5337.3239584556377</v>
      </c>
      <c r="DV58" s="18">
        <f t="shared" si="118"/>
        <v>4892.6311026618978</v>
      </c>
      <c r="DW58" s="18">
        <f t="shared" si="118"/>
        <v>4516.2345438341372</v>
      </c>
      <c r="DX58" s="18">
        <f t="shared" si="118"/>
        <v>4193.5374232950426</v>
      </c>
      <c r="DY58" s="18">
        <f t="shared" si="118"/>
        <v>3913.8224240587338</v>
      </c>
      <c r="DZ58" s="18">
        <f t="shared" si="118"/>
        <v>3669.0441763103681</v>
      </c>
      <c r="EA58" s="18">
        <f t="shared" si="118"/>
        <v>3453.9037301372146</v>
      </c>
      <c r="EB58" s="18">
        <f t="shared" si="118"/>
        <v>3262.089357813767</v>
      </c>
      <c r="EC58" s="18">
        <f t="shared" si="118"/>
        <v>6525.3277898658971</v>
      </c>
      <c r="ED58" s="18">
        <f t="shared" si="118"/>
        <v>5872.9195137108236</v>
      </c>
      <c r="EE58" s="18">
        <f t="shared" si="118"/>
        <v>5339.2873090792982</v>
      </c>
      <c r="EF58" s="18">
        <f t="shared" si="118"/>
        <v>4894.4220016821728</v>
      </c>
      <c r="EG58" s="18">
        <f t="shared" si="118"/>
        <v>4517.8793347831379</v>
      </c>
      <c r="EH58" s="18">
        <f t="shared" si="118"/>
        <v>4195.0574964241669</v>
      </c>
      <c r="EI58" s="18">
        <f t="shared" si="118"/>
        <v>3915.2339635977255</v>
      </c>
      <c r="EJ58" s="18">
        <f t="shared" si="118"/>
        <v>3670.3610452591452</v>
      </c>
      <c r="EK58" s="18">
        <f t="shared" si="118"/>
        <v>3455.1711961949618</v>
      </c>
      <c r="EL58" s="18">
        <f t="shared" si="118"/>
        <v>3263.2864090905287</v>
      </c>
      <c r="EM58" s="18">
        <f t="shared" si="58"/>
        <v>6553.1823034442768</v>
      </c>
      <c r="EN58" s="18">
        <f t="shared" si="46"/>
        <v>5897.982191692533</v>
      </c>
      <c r="EO58" s="18">
        <f t="shared" si="47"/>
        <v>5362.3357352917146</v>
      </c>
      <c r="EP58" s="18">
        <f t="shared" si="48"/>
        <v>4915.8192588787606</v>
      </c>
      <c r="EQ58" s="18">
        <f t="shared" si="49"/>
        <v>4537.8805727883118</v>
      </c>
      <c r="ER58" s="18">
        <f t="shared" si="50"/>
        <v>4213.8623976594754</v>
      </c>
      <c r="ES58" s="18">
        <f t="shared" si="51"/>
        <v>3933.0034720849985</v>
      </c>
      <c r="ET58" s="18">
        <f t="shared" si="52"/>
        <v>3687.2251641630478</v>
      </c>
      <c r="EU58" s="18">
        <f t="shared" si="53"/>
        <v>3469.8876599066602</v>
      </c>
      <c r="EV58" s="18">
        <f t="shared" si="54"/>
        <v>3277.1817446855594</v>
      </c>
    </row>
    <row r="59" spans="1:152" x14ac:dyDescent="0.2">
      <c r="CM59" s="27">
        <f t="shared" si="42"/>
        <v>1.2937466199015744</v>
      </c>
      <c r="CN59" s="27">
        <v>-0.125</v>
      </c>
      <c r="CO59" s="18">
        <f t="shared" ref="CO59:CX59" si="119">CO29+(1-AG29/2048)*$CM59+$CN59</f>
        <v>6385.3389290572895</v>
      </c>
      <c r="CP59" s="18">
        <f t="shared" si="119"/>
        <v>5746.9282342528413</v>
      </c>
      <c r="CQ59" s="18">
        <f t="shared" si="119"/>
        <v>5224.77032310292</v>
      </c>
      <c r="CR59" s="18">
        <f t="shared" si="119"/>
        <v>4789.4670639802152</v>
      </c>
      <c r="CS59" s="18">
        <f t="shared" si="119"/>
        <v>4421.0187408463435</v>
      </c>
      <c r="CT59" s="18">
        <f t="shared" si="119"/>
        <v>4105.1358998881033</v>
      </c>
      <c r="CU59" s="18">
        <f t="shared" si="119"/>
        <v>3831.3272722883621</v>
      </c>
      <c r="CV59" s="18">
        <f t="shared" si="119"/>
        <v>3591.7173685599355</v>
      </c>
      <c r="CW59" s="18">
        <f t="shared" si="119"/>
        <v>3381.0533064481174</v>
      </c>
      <c r="CX59" s="18">
        <f t="shared" si="119"/>
        <v>3193.2854550350439</v>
      </c>
      <c r="CY59" s="18">
        <f t="shared" ref="CY59:DR59" si="120">CY29+(1-AG29/2048)*$CM59+$CN59</f>
        <v>6423.3259952306053</v>
      </c>
      <c r="CZ59" s="18">
        <f t="shared" si="120"/>
        <v>5781.1165938088252</v>
      </c>
      <c r="DA59" s="18">
        <f t="shared" si="120"/>
        <v>5255.8445034185324</v>
      </c>
      <c r="DB59" s="18">
        <f t="shared" si="120"/>
        <v>4817.9459607467024</v>
      </c>
      <c r="DC59" s="18">
        <f t="shared" si="120"/>
        <v>4447.301979462145</v>
      </c>
      <c r="DD59" s="18">
        <f t="shared" si="120"/>
        <v>4129.5374835277516</v>
      </c>
      <c r="DE59" s="18">
        <f t="shared" si="120"/>
        <v>3854.0983932292243</v>
      </c>
      <c r="DF59" s="18">
        <f t="shared" si="120"/>
        <v>3613.0621020664285</v>
      </c>
      <c r="DG59" s="18">
        <f t="shared" si="120"/>
        <v>3401.1641061869313</v>
      </c>
      <c r="DH59" s="18">
        <f t="shared" si="120"/>
        <v>3212.2789881217018</v>
      </c>
      <c r="DI59" s="18">
        <f t="shared" si="120"/>
        <v>6425.9281205607167</v>
      </c>
      <c r="DJ59" s="18">
        <f t="shared" si="120"/>
        <v>5783.4585066059253</v>
      </c>
      <c r="DK59" s="18">
        <f t="shared" si="120"/>
        <v>5257.9782993321833</v>
      </c>
      <c r="DL59" s="18">
        <f t="shared" si="120"/>
        <v>4819.8935594110135</v>
      </c>
      <c r="DM59" s="18">
        <f t="shared" si="120"/>
        <v>4449.0919671287566</v>
      </c>
      <c r="DN59" s="18">
        <f t="shared" si="120"/>
        <v>4131.1925040553351</v>
      </c>
      <c r="DO59" s="18">
        <f t="shared" si="120"/>
        <v>3855.6367411238434</v>
      </c>
      <c r="DP59" s="18">
        <f t="shared" si="120"/>
        <v>3614.498380237952</v>
      </c>
      <c r="DQ59" s="18">
        <f t="shared" si="120"/>
        <v>3402.5417019499318</v>
      </c>
      <c r="DR59" s="18">
        <f t="shared" si="120"/>
        <v>3213.5800507867575</v>
      </c>
      <c r="DS59" s="18">
        <f t="shared" ref="DS59:EL59" si="121">DS29+(1-AQ29/2048)*$CM59+$CN59</f>
        <v>6461.8632220444897</v>
      </c>
      <c r="DT59" s="18">
        <f t="shared" si="121"/>
        <v>5815.8000979413209</v>
      </c>
      <c r="DU59" s="18">
        <f t="shared" si="121"/>
        <v>5287.3730385165336</v>
      </c>
      <c r="DV59" s="18">
        <f t="shared" si="121"/>
        <v>4846.8327746460745</v>
      </c>
      <c r="DW59" s="18">
        <f t="shared" si="121"/>
        <v>4473.9538293321648</v>
      </c>
      <c r="DX59" s="18">
        <f t="shared" si="121"/>
        <v>4154.2741471619684</v>
      </c>
      <c r="DY59" s="18">
        <f t="shared" si="121"/>
        <v>3877.1758557483995</v>
      </c>
      <c r="DZ59" s="18">
        <f t="shared" si="121"/>
        <v>3634.6880600517547</v>
      </c>
      <c r="EA59" s="18">
        <f t="shared" si="121"/>
        <v>3421.5661674413409</v>
      </c>
      <c r="EB59" s="18">
        <f t="shared" si="121"/>
        <v>3231.547601528644</v>
      </c>
      <c r="EC59" s="18">
        <f t="shared" si="121"/>
        <v>6464.3908695399605</v>
      </c>
      <c r="ED59" s="18">
        <f t="shared" si="121"/>
        <v>5818.0749806872445</v>
      </c>
      <c r="EE59" s="18">
        <f t="shared" si="121"/>
        <v>5289.4448761528065</v>
      </c>
      <c r="EF59" s="18">
        <f t="shared" si="121"/>
        <v>4848.7236150907875</v>
      </c>
      <c r="EG59" s="18">
        <f t="shared" si="121"/>
        <v>4475.6912571049252</v>
      </c>
      <c r="EH59" s="18">
        <f t="shared" si="121"/>
        <v>4155.8801204559813</v>
      </c>
      <c r="EI59" s="18">
        <f t="shared" si="121"/>
        <v>3878.6679283144995</v>
      </c>
      <c r="EJ59" s="18">
        <f t="shared" si="121"/>
        <v>3636.0807804601382</v>
      </c>
      <c r="EK59" s="18">
        <f t="shared" si="121"/>
        <v>3422.9043337624726</v>
      </c>
      <c r="EL59" s="18">
        <f t="shared" si="121"/>
        <v>3232.8114252763794</v>
      </c>
      <c r="EM59" s="18">
        <f t="shared" si="58"/>
        <v>6494.1598180754354</v>
      </c>
      <c r="EN59" s="18">
        <f t="shared" si="46"/>
        <v>5844.8607109298828</v>
      </c>
      <c r="EO59" s="18">
        <f t="shared" si="47"/>
        <v>5314.0887028705411</v>
      </c>
      <c r="EP59" s="18">
        <f t="shared" si="48"/>
        <v>4871.581237976513</v>
      </c>
      <c r="EQ59" s="18">
        <f t="shared" si="49"/>
        <v>4497.0383696651388</v>
      </c>
      <c r="ER59" s="18">
        <f t="shared" si="50"/>
        <v>4175.9332936193705</v>
      </c>
      <c r="ES59" s="18">
        <f t="shared" si="51"/>
        <v>3897.6004520379324</v>
      </c>
      <c r="ET59" s="18">
        <f t="shared" si="52"/>
        <v>3654.0334540085332</v>
      </c>
      <c r="EU59" s="18">
        <f t="shared" si="53"/>
        <v>3438.6346079787136</v>
      </c>
      <c r="EV59" s="18">
        <f t="shared" si="54"/>
        <v>3247.6642823476686</v>
      </c>
    </row>
    <row r="60" spans="1:152" x14ac:dyDescent="0.2">
      <c r="CM60" s="27">
        <f t="shared" si="42"/>
        <v>1.2806065511729599</v>
      </c>
      <c r="CN60" s="27">
        <v>-0.125</v>
      </c>
      <c r="CO60" s="18">
        <f t="shared" ref="CO60:CX60" si="122">CO30+(1-AG30/2048)*$CM60+$CN60</f>
        <v>6317.0372382904388</v>
      </c>
      <c r="CP60" s="18">
        <f t="shared" si="122"/>
        <v>5685.45533433115</v>
      </c>
      <c r="CQ60" s="18">
        <f t="shared" si="122"/>
        <v>5168.9050848367333</v>
      </c>
      <c r="CR60" s="18">
        <f t="shared" si="122"/>
        <v>4738.2464139624335</v>
      </c>
      <c r="CS60" s="18">
        <f t="shared" si="122"/>
        <v>4373.7322164772622</v>
      </c>
      <c r="CT60" s="18">
        <f t="shared" si="122"/>
        <v>4061.224063426564</v>
      </c>
      <c r="CU60" s="18">
        <f t="shared" si="122"/>
        <v>3790.3418024123421</v>
      </c>
      <c r="CV60" s="18">
        <f t="shared" si="122"/>
        <v>3553.2935001029091</v>
      </c>
      <c r="CW60" s="18">
        <f t="shared" si="122"/>
        <v>3344.8871020114302</v>
      </c>
      <c r="CX60" s="18">
        <f t="shared" si="122"/>
        <v>3159.1277184939922</v>
      </c>
      <c r="CY60" s="18">
        <f t="shared" ref="CY60:DR60" si="123">CY30+(1-AG30/2048)*$CM60+$CN60</f>
        <v>6356.8147926242773</v>
      </c>
      <c r="CZ60" s="18">
        <f t="shared" si="123"/>
        <v>5721.2551332316052</v>
      </c>
      <c r="DA60" s="18">
        <f t="shared" si="123"/>
        <v>5201.4435650205005</v>
      </c>
      <c r="DB60" s="18">
        <f t="shared" si="123"/>
        <v>4768.0676688807343</v>
      </c>
      <c r="DC60" s="18">
        <f t="shared" si="123"/>
        <v>4401.2546074169113</v>
      </c>
      <c r="DD60" s="18">
        <f t="shared" si="123"/>
        <v>4086.7763231940776</v>
      </c>
      <c r="DE60" s="18">
        <f t="shared" si="123"/>
        <v>3814.1869100349741</v>
      </c>
      <c r="DF60" s="18">
        <f t="shared" si="123"/>
        <v>3575.6451096436513</v>
      </c>
      <c r="DG60" s="18">
        <f t="shared" si="123"/>
        <v>3365.945807246992</v>
      </c>
      <c r="DH60" s="18">
        <f t="shared" si="123"/>
        <v>3179.0164956609115</v>
      </c>
      <c r="DI60" s="18">
        <f t="shared" si="123"/>
        <v>6359.5437889286177</v>
      </c>
      <c r="DJ60" s="18">
        <f t="shared" si="123"/>
        <v>5723.8155973548555</v>
      </c>
      <c r="DK60" s="18">
        <f t="shared" si="123"/>
        <v>5203.6803438177476</v>
      </c>
      <c r="DL60" s="18">
        <f t="shared" si="123"/>
        <v>4770.1101636312751</v>
      </c>
      <c r="DM60" s="18">
        <f t="shared" si="123"/>
        <v>4403.1325465273103</v>
      </c>
      <c r="DN60" s="18">
        <f t="shared" si="123"/>
        <v>4088.5132798120803</v>
      </c>
      <c r="DO60" s="18">
        <f t="shared" si="123"/>
        <v>3815.8018385594078</v>
      </c>
      <c r="DP60" s="18">
        <f t="shared" si="123"/>
        <v>3577.1534037101596</v>
      </c>
      <c r="DQ60" s="18">
        <f t="shared" si="123"/>
        <v>3367.3905699963484</v>
      </c>
      <c r="DR60" s="18">
        <f t="shared" si="123"/>
        <v>3180.3809938130817</v>
      </c>
      <c r="DS60" s="18">
        <f t="shared" ref="DS60:EL60" si="124">DS30+(1-AQ30/2048)*$CM60+$CN60</f>
        <v>6397.2926012191901</v>
      </c>
      <c r="DT60" s="18">
        <f t="shared" si="124"/>
        <v>5757.7870334396766</v>
      </c>
      <c r="DU60" s="18">
        <f t="shared" si="124"/>
        <v>5234.5583792631978</v>
      </c>
      <c r="DV60" s="18">
        <f t="shared" si="124"/>
        <v>4798.4091506713803</v>
      </c>
      <c r="DW60" s="18">
        <f t="shared" si="124"/>
        <v>4429.24963483385</v>
      </c>
      <c r="DX60" s="18">
        <f t="shared" si="124"/>
        <v>4112.760523534972</v>
      </c>
      <c r="DY60" s="18">
        <f t="shared" si="124"/>
        <v>3838.4288657685333</v>
      </c>
      <c r="DZ60" s="18">
        <f t="shared" si="124"/>
        <v>3598.3630148312536</v>
      </c>
      <c r="EA60" s="18">
        <f t="shared" si="124"/>
        <v>3387.3752353266518</v>
      </c>
      <c r="EB60" s="18">
        <f t="shared" si="124"/>
        <v>3199.2553999583679</v>
      </c>
      <c r="EC60" s="18">
        <f t="shared" si="124"/>
        <v>6399.9524245486655</v>
      </c>
      <c r="ED60" s="18">
        <f t="shared" si="124"/>
        <v>5760.1867237826154</v>
      </c>
      <c r="EE60" s="18">
        <f t="shared" si="124"/>
        <v>5236.7376527670949</v>
      </c>
      <c r="EF60" s="18">
        <f t="shared" si="124"/>
        <v>4800.3989152572785</v>
      </c>
      <c r="EG60" s="18">
        <f t="shared" si="124"/>
        <v>4431.078698752076</v>
      </c>
      <c r="EH60" s="18">
        <f t="shared" si="124"/>
        <v>4114.451824766481</v>
      </c>
      <c r="EI60" s="18">
        <f t="shared" si="124"/>
        <v>3840.0008359200142</v>
      </c>
      <c r="EJ60" s="18">
        <f t="shared" si="124"/>
        <v>3599.8313672542372</v>
      </c>
      <c r="EK60" s="18">
        <f t="shared" si="124"/>
        <v>3388.7833770893149</v>
      </c>
      <c r="EL60" s="18">
        <f t="shared" si="124"/>
        <v>3200.5853116231056</v>
      </c>
      <c r="EM60" s="18">
        <f t="shared" si="58"/>
        <v>6431.6203486119803</v>
      </c>
      <c r="EN60" s="18">
        <f t="shared" si="46"/>
        <v>5788.7910249095457</v>
      </c>
      <c r="EO60" s="18">
        <f t="shared" si="47"/>
        <v>5262.9647653965694</v>
      </c>
      <c r="EP60" s="18">
        <f t="shared" si="48"/>
        <v>4824.7055504365908</v>
      </c>
      <c r="EQ60" s="18">
        <f t="shared" si="49"/>
        <v>4453.7611990036985</v>
      </c>
      <c r="ER60" s="18">
        <f t="shared" si="50"/>
        <v>4135.7429374869298</v>
      </c>
      <c r="ES60" s="18">
        <f t="shared" si="51"/>
        <v>3860.0868510811752</v>
      </c>
      <c r="ET60" s="18">
        <f t="shared" si="52"/>
        <v>3618.8631700161286</v>
      </c>
      <c r="EU60" s="18">
        <f t="shared" si="53"/>
        <v>3405.5192935245414</v>
      </c>
      <c r="EV60" s="18">
        <f t="shared" si="54"/>
        <v>3216.3879775815763</v>
      </c>
    </row>
    <row r="61" spans="1:152" x14ac:dyDescent="0.2">
      <c r="CM61" s="27">
        <f t="shared" si="42"/>
        <v>1.266772838014345</v>
      </c>
      <c r="CN61" s="27">
        <v>-0.125</v>
      </c>
      <c r="CO61" s="18">
        <f t="shared" ref="CO61:CX61" si="125">CO31+(1-AG31/2048)*$CM61+$CN61</f>
        <v>6245.3138374003756</v>
      </c>
      <c r="CP61" s="18">
        <f t="shared" si="125"/>
        <v>5621.0219621863898</v>
      </c>
      <c r="CQ61" s="18">
        <f t="shared" si="125"/>
        <v>5110.2402147065541</v>
      </c>
      <c r="CR61" s="18">
        <f t="shared" si="125"/>
        <v>4684.4592573304462</v>
      </c>
      <c r="CS61" s="18">
        <f t="shared" si="125"/>
        <v>4324.076570824519</v>
      </c>
      <c r="CT61" s="18">
        <f t="shared" si="125"/>
        <v>4015.1123133359683</v>
      </c>
      <c r="CU61" s="18">
        <f t="shared" si="125"/>
        <v>3747.3030594778688</v>
      </c>
      <c r="CV61" s="18">
        <f t="shared" si="125"/>
        <v>3512.9448530321442</v>
      </c>
      <c r="CW61" s="18">
        <f t="shared" si="125"/>
        <v>3306.9090616047342</v>
      </c>
      <c r="CX61" s="18">
        <f t="shared" si="125"/>
        <v>3123.2587631175065</v>
      </c>
      <c r="CY61" s="18">
        <f t="shared" ref="CY61:DR61" si="126">CY31+(1-AG31/2048)*$CM61+$CN61</f>
        <v>6286.8603342615552</v>
      </c>
      <c r="CZ61" s="18">
        <f t="shared" si="126"/>
        <v>5658.4112463499077</v>
      </c>
      <c r="DA61" s="18">
        <f t="shared" si="126"/>
        <v>5144.2253627547752</v>
      </c>
      <c r="DB61" s="18">
        <f t="shared" si="126"/>
        <v>4715.6067010261968</v>
      </c>
      <c r="DC61" s="18">
        <f t="shared" si="126"/>
        <v>4352.8231866459646</v>
      </c>
      <c r="DD61" s="18">
        <f t="shared" si="126"/>
        <v>4041.8013856475018</v>
      </c>
      <c r="DE61" s="18">
        <f t="shared" si="126"/>
        <v>3772.2092124644914</v>
      </c>
      <c r="DF61" s="18">
        <f t="shared" si="126"/>
        <v>3536.2912082584021</v>
      </c>
      <c r="DG61" s="18">
        <f t="shared" si="126"/>
        <v>3328.9042658253588</v>
      </c>
      <c r="DH61" s="18">
        <f t="shared" si="126"/>
        <v>3144.0320115480963</v>
      </c>
      <c r="DI61" s="18">
        <f t="shared" si="126"/>
        <v>6289.7147233709811</v>
      </c>
      <c r="DJ61" s="18">
        <f t="shared" si="126"/>
        <v>5660.9852406769523</v>
      </c>
      <c r="DK61" s="18">
        <f t="shared" si="126"/>
        <v>5146.5639612098312</v>
      </c>
      <c r="DL61" s="18">
        <f t="shared" si="126"/>
        <v>4717.7429959499786</v>
      </c>
      <c r="DM61" s="18">
        <f t="shared" si="126"/>
        <v>4354.788044574957</v>
      </c>
      <c r="DN61" s="18">
        <f t="shared" si="126"/>
        <v>4043.6192783998467</v>
      </c>
      <c r="DO61" s="18">
        <f t="shared" si="126"/>
        <v>3773.8999074841927</v>
      </c>
      <c r="DP61" s="18">
        <f t="shared" si="126"/>
        <v>3537.8708048093827</v>
      </c>
      <c r="DQ61" s="18">
        <f t="shared" si="126"/>
        <v>3330.415413000937</v>
      </c>
      <c r="DR61" s="18">
        <f t="shared" si="126"/>
        <v>3145.4592061028093</v>
      </c>
      <c r="DS61" s="18">
        <f t="shared" ref="DS61:EL61" si="127">DS31+(1-AQ31/2048)*$CM61+$CN61</f>
        <v>6329.2567997094657</v>
      </c>
      <c r="DT61" s="18">
        <f t="shared" si="127"/>
        <v>5696.5703060487376</v>
      </c>
      <c r="DU61" s="18">
        <f t="shared" si="127"/>
        <v>5178.9085574933451</v>
      </c>
      <c r="DV61" s="18">
        <f t="shared" si="127"/>
        <v>4747.3864077774006</v>
      </c>
      <c r="DW61" s="18">
        <f t="shared" si="127"/>
        <v>4382.14619062171</v>
      </c>
      <c r="DX61" s="18">
        <f t="shared" si="127"/>
        <v>4069.018963430939</v>
      </c>
      <c r="DY61" s="18">
        <f t="shared" si="127"/>
        <v>3797.6025663065557</v>
      </c>
      <c r="DZ61" s="18">
        <f t="shared" si="127"/>
        <v>3560.0888367770726</v>
      </c>
      <c r="EA61" s="18">
        <f t="shared" si="127"/>
        <v>3351.3494534154293</v>
      </c>
      <c r="EB61" s="18">
        <f t="shared" si="127"/>
        <v>3165.2302442720516</v>
      </c>
      <c r="EC61" s="18">
        <f t="shared" si="127"/>
        <v>6332.0473581715532</v>
      </c>
      <c r="ED61" s="18">
        <f t="shared" si="127"/>
        <v>5699.0940256793001</v>
      </c>
      <c r="EE61" s="18">
        <f t="shared" si="127"/>
        <v>5181.1941095321517</v>
      </c>
      <c r="EF61" s="18">
        <f t="shared" si="127"/>
        <v>4749.4740392007534</v>
      </c>
      <c r="EG61" s="18">
        <f t="shared" si="127"/>
        <v>4384.0659154974292</v>
      </c>
      <c r="EH61" s="18">
        <f t="shared" si="127"/>
        <v>4070.7946924109256</v>
      </c>
      <c r="EI61" s="18">
        <f t="shared" si="127"/>
        <v>3799.2535047715846</v>
      </c>
      <c r="EJ61" s="18">
        <f t="shared" si="127"/>
        <v>3561.6412477992367</v>
      </c>
      <c r="EK61" s="18">
        <f t="shared" si="127"/>
        <v>3352.8268078953579</v>
      </c>
      <c r="EL61" s="18">
        <f t="shared" si="127"/>
        <v>3166.6255235030953</v>
      </c>
      <c r="EM61" s="18">
        <f t="shared" si="58"/>
        <v>6365.597701194959</v>
      </c>
      <c r="EN61" s="18">
        <f t="shared" si="46"/>
        <v>5729.4146260616662</v>
      </c>
      <c r="EO61" s="18">
        <f t="shared" si="47"/>
        <v>5208.9913999827795</v>
      </c>
      <c r="EP61" s="18">
        <f t="shared" si="48"/>
        <v>4775.2175121572309</v>
      </c>
      <c r="EQ61" s="18">
        <f t="shared" si="49"/>
        <v>4408.0723778085121</v>
      </c>
      <c r="ER61" s="18">
        <f t="shared" si="50"/>
        <v>4093.3130516485544</v>
      </c>
      <c r="ES61" s="18">
        <f t="shared" si="51"/>
        <v>3820.4829192239677</v>
      </c>
      <c r="ET61" s="18">
        <f t="shared" si="52"/>
        <v>3581.7358436245809</v>
      </c>
      <c r="EU61" s="18">
        <f t="shared" si="53"/>
        <v>3370.5596172622795</v>
      </c>
      <c r="EV61" s="18">
        <f t="shared" si="54"/>
        <v>3183.3697370164869</v>
      </c>
    </row>
    <row r="62" spans="1:152" x14ac:dyDescent="0.2">
      <c r="CM62" s="27">
        <f t="shared" si="42"/>
        <v>1.2522529734985004</v>
      </c>
      <c r="CN62" s="27">
        <v>-0.125</v>
      </c>
      <c r="CO62" s="18">
        <f t="shared" ref="CO62:CX62" si="128">CO32+(1-AG32/2048)*$CM62+$CN62</f>
        <v>6170.2075755851474</v>
      </c>
      <c r="CP62" s="18">
        <f t="shared" si="128"/>
        <v>5553.4519764869428</v>
      </c>
      <c r="CQ62" s="18">
        <f t="shared" si="128"/>
        <v>5048.8079394931574</v>
      </c>
      <c r="CR62" s="18">
        <f t="shared" si="128"/>
        <v>4628.1344289077124</v>
      </c>
      <c r="CS62" s="18">
        <f t="shared" si="128"/>
        <v>4272.0799216650512</v>
      </c>
      <c r="CT62" s="18">
        <f t="shared" si="128"/>
        <v>3966.8254834491759</v>
      </c>
      <c r="CU62" s="18">
        <f t="shared" si="128"/>
        <v>3702.2321152449717</v>
      </c>
      <c r="CV62" s="18">
        <f t="shared" si="128"/>
        <v>3470.6904052024179</v>
      </c>
      <c r="CW62" s="18">
        <f t="shared" si="128"/>
        <v>3267.1397561490239</v>
      </c>
      <c r="CX62" s="18">
        <f t="shared" si="128"/>
        <v>3085.6980174342661</v>
      </c>
      <c r="CY62" s="18">
        <f t="shared" ref="CY62:DR62" si="129">CY32+(1-AG32/2048)*$CM62+$CN62</f>
        <v>6213.5005111873907</v>
      </c>
      <c r="CZ62" s="18">
        <f t="shared" si="129"/>
        <v>5592.4125463979153</v>
      </c>
      <c r="DA62" s="18">
        <f t="shared" si="129"/>
        <v>5084.2212936440228</v>
      </c>
      <c r="DB62" s="18">
        <f t="shared" si="129"/>
        <v>4660.5911431297718</v>
      </c>
      <c r="DC62" s="18">
        <f t="shared" si="129"/>
        <v>4302.0352206875941</v>
      </c>
      <c r="DD62" s="18">
        <f t="shared" si="129"/>
        <v>3994.6368829588459</v>
      </c>
      <c r="DE62" s="18">
        <f t="shared" si="129"/>
        <v>3728.1857450400521</v>
      </c>
      <c r="DF62" s="18">
        <f t="shared" si="129"/>
        <v>3495.0187793420432</v>
      </c>
      <c r="DG62" s="18">
        <f t="shared" si="129"/>
        <v>3290.0595455855059</v>
      </c>
      <c r="DH62" s="18">
        <f t="shared" si="129"/>
        <v>3107.3444852353878</v>
      </c>
      <c r="DI62" s="18">
        <f t="shared" si="129"/>
        <v>6216.478747013367</v>
      </c>
      <c r="DJ62" s="18">
        <f t="shared" si="129"/>
        <v>5595.0928056060638</v>
      </c>
      <c r="DK62" s="18">
        <f t="shared" si="129"/>
        <v>5086.6604651865073</v>
      </c>
      <c r="DL62" s="18">
        <f t="shared" si="129"/>
        <v>4662.820193265733</v>
      </c>
      <c r="DM62" s="18">
        <f t="shared" si="129"/>
        <v>4304.0837994098474</v>
      </c>
      <c r="DN62" s="18">
        <f t="shared" si="129"/>
        <v>3996.5346740156765</v>
      </c>
      <c r="DO62" s="18">
        <f t="shared" si="129"/>
        <v>3729.9511416062765</v>
      </c>
      <c r="DP62" s="18">
        <f t="shared" si="129"/>
        <v>3496.6788299215664</v>
      </c>
      <c r="DQ62" s="18">
        <f t="shared" si="129"/>
        <v>3291.636258669846</v>
      </c>
      <c r="DR62" s="18">
        <f t="shared" si="129"/>
        <v>3108.8336031483759</v>
      </c>
      <c r="DS62" s="18">
        <f t="shared" ref="DS62:EL62" si="130">DS32+(1-AQ32/2048)*$CM62+$CN62</f>
        <v>6257.7926693139534</v>
      </c>
      <c r="DT62" s="18">
        <f t="shared" si="130"/>
        <v>5632.2721388199252</v>
      </c>
      <c r="DU62" s="18">
        <f t="shared" si="130"/>
        <v>5120.4540430205097</v>
      </c>
      <c r="DV62" s="18">
        <f t="shared" si="130"/>
        <v>4693.7919351586424</v>
      </c>
      <c r="DW62" s="18">
        <f t="shared" si="130"/>
        <v>4332.6681282054142</v>
      </c>
      <c r="DX62" s="18">
        <f t="shared" si="130"/>
        <v>4023.0730110181667</v>
      </c>
      <c r="DY62" s="18">
        <f t="shared" si="130"/>
        <v>3754.7165119562683</v>
      </c>
      <c r="DZ62" s="18">
        <f t="shared" si="130"/>
        <v>3519.8933554128198</v>
      </c>
      <c r="EA62" s="18">
        <f t="shared" si="130"/>
        <v>3313.5083351819212</v>
      </c>
      <c r="EB62" s="18">
        <f t="shared" si="130"/>
        <v>3129.4905642986691</v>
      </c>
      <c r="EC62" s="18">
        <f t="shared" si="130"/>
        <v>6260.7124513941835</v>
      </c>
      <c r="ED62" s="18">
        <f t="shared" si="130"/>
        <v>5634.9071146759879</v>
      </c>
      <c r="EE62" s="18">
        <f t="shared" si="130"/>
        <v>5122.8446272464953</v>
      </c>
      <c r="EF62" s="18">
        <f t="shared" si="130"/>
        <v>4695.9763338283583</v>
      </c>
      <c r="EG62" s="18">
        <f t="shared" si="130"/>
        <v>4334.6779917380618</v>
      </c>
      <c r="EH62" s="18">
        <f t="shared" si="130"/>
        <v>4024.9320926860155</v>
      </c>
      <c r="EI62" s="18">
        <f t="shared" si="130"/>
        <v>3756.4454908551811</v>
      </c>
      <c r="EJ62" s="18">
        <f t="shared" si="130"/>
        <v>3521.5267575647526</v>
      </c>
      <c r="EK62" s="18">
        <f t="shared" si="130"/>
        <v>3315.0541021655722</v>
      </c>
      <c r="EL62" s="18">
        <f t="shared" si="130"/>
        <v>3130.9504553387842</v>
      </c>
      <c r="EM62" s="18">
        <f t="shared" si="58"/>
        <v>6296.1275659376042</v>
      </c>
      <c r="EN62" s="18">
        <f t="shared" si="46"/>
        <v>5666.9188739144383</v>
      </c>
      <c r="EO62" s="18">
        <f t="shared" si="47"/>
        <v>5152.1999637332328</v>
      </c>
      <c r="EP62" s="18">
        <f t="shared" si="48"/>
        <v>4723.1442114302936</v>
      </c>
      <c r="EQ62" s="18">
        <f t="shared" si="49"/>
        <v>4359.9967088012318</v>
      </c>
      <c r="ER62" s="18">
        <f t="shared" si="50"/>
        <v>4048.6665488256654</v>
      </c>
      <c r="ES62" s="18">
        <f t="shared" si="51"/>
        <v>3778.8095507404682</v>
      </c>
      <c r="ET62" s="18">
        <f t="shared" si="52"/>
        <v>3542.670343688997</v>
      </c>
      <c r="EU62" s="18">
        <f t="shared" si="53"/>
        <v>3333.7744774839075</v>
      </c>
      <c r="EV62" s="18">
        <f t="shared" si="54"/>
        <v>3148.6274094555515</v>
      </c>
    </row>
    <row r="63" spans="1:152" x14ac:dyDescent="0.2">
      <c r="CM63" s="27">
        <f t="shared" si="42"/>
        <v>1.2370548223541644</v>
      </c>
      <c r="CN63" s="27">
        <v>-0.125</v>
      </c>
      <c r="CO63" s="18">
        <f t="shared" ref="CO63:CX63" si="131">CO33+(1-AG33/2048)*$CM63+$CN63</f>
        <v>6091.759134379703</v>
      </c>
      <c r="CP63" s="18">
        <f t="shared" si="131"/>
        <v>5482.8522552300556</v>
      </c>
      <c r="CQ63" s="18">
        <f t="shared" si="131"/>
        <v>4984.6410114236023</v>
      </c>
      <c r="CR63" s="18">
        <f t="shared" si="131"/>
        <v>4569.3020388253426</v>
      </c>
      <c r="CS63" s="18">
        <f t="shared" si="131"/>
        <v>4217.7687753177624</v>
      </c>
      <c r="CT63" s="18">
        <f t="shared" si="131"/>
        <v>3916.3862159640171</v>
      </c>
      <c r="CU63" s="18">
        <f t="shared" si="131"/>
        <v>3655.1553898593565</v>
      </c>
      <c r="CV63" s="18">
        <f t="shared" si="131"/>
        <v>3426.5740585262938</v>
      </c>
      <c r="CW63" s="18">
        <f t="shared" si="131"/>
        <v>3225.6007268094522</v>
      </c>
      <c r="CX63" s="18">
        <f t="shared" si="131"/>
        <v>3046.4658263363112</v>
      </c>
      <c r="CY63" s="18">
        <f t="shared" ref="CY63:DR63" si="132">CY33+(1-AG33/2048)*$CM63+$CN63</f>
        <v>6136.7750589728803</v>
      </c>
      <c r="CZ63" s="18">
        <f t="shared" si="132"/>
        <v>5523.3635765670997</v>
      </c>
      <c r="DA63" s="18">
        <f t="shared" si="132"/>
        <v>5021.4633562011386</v>
      </c>
      <c r="DB63" s="18">
        <f t="shared" si="132"/>
        <v>4603.0503681443433</v>
      </c>
      <c r="DC63" s="18">
        <f t="shared" si="132"/>
        <v>4248.9164890700986</v>
      </c>
      <c r="DD63" s="18">
        <f t="shared" si="132"/>
        <v>3945.3047486092501</v>
      </c>
      <c r="DE63" s="18">
        <f t="shared" si="132"/>
        <v>3682.1424028811862</v>
      </c>
      <c r="DF63" s="18">
        <f t="shared" si="132"/>
        <v>3451.871601160376</v>
      </c>
      <c r="DG63" s="18">
        <f t="shared" si="132"/>
        <v>3249.4326868881931</v>
      </c>
      <c r="DH63" s="18">
        <f t="shared" si="132"/>
        <v>3068.9737886328999</v>
      </c>
      <c r="DI63" s="18">
        <f t="shared" si="132"/>
        <v>6139.8755283449218</v>
      </c>
      <c r="DJ63" s="18">
        <f t="shared" si="132"/>
        <v>5526.1606628410118</v>
      </c>
      <c r="DK63" s="18">
        <f t="shared" si="132"/>
        <v>5024.0017778712208</v>
      </c>
      <c r="DL63" s="18">
        <f t="shared" si="132"/>
        <v>4605.3706708586333</v>
      </c>
      <c r="DM63" s="18">
        <f t="shared" si="132"/>
        <v>4251.0495756772752</v>
      </c>
      <c r="DN63" s="18">
        <f t="shared" si="132"/>
        <v>3947.2814796272555</v>
      </c>
      <c r="DO63" s="18">
        <f t="shared" si="132"/>
        <v>3683.9817136988768</v>
      </c>
      <c r="DP63" s="18">
        <f t="shared" si="132"/>
        <v>3453.6031685049761</v>
      </c>
      <c r="DQ63" s="18">
        <f t="shared" si="132"/>
        <v>3251.0741118498622</v>
      </c>
      <c r="DR63" s="18">
        <f t="shared" si="132"/>
        <v>3070.5240233189206</v>
      </c>
      <c r="DS63" s="18">
        <f t="shared" ref="DS63:EL63" si="133">DS33+(1-AQ33/2048)*$CM63+$CN63</f>
        <v>6182.9389187960487</v>
      </c>
      <c r="DT63" s="18">
        <f t="shared" si="133"/>
        <v>5564.914397830692</v>
      </c>
      <c r="DU63" s="18">
        <f t="shared" si="133"/>
        <v>5059.2259993972039</v>
      </c>
      <c r="DV63" s="18">
        <f t="shared" si="133"/>
        <v>4637.6538654001106</v>
      </c>
      <c r="DW63" s="18">
        <f t="shared" si="133"/>
        <v>4280.8446353217387</v>
      </c>
      <c r="DX63" s="18">
        <f t="shared" si="133"/>
        <v>3974.9439662418558</v>
      </c>
      <c r="DY63" s="18">
        <f t="shared" si="133"/>
        <v>3709.7963484742222</v>
      </c>
      <c r="DZ63" s="18">
        <f t="shared" si="133"/>
        <v>3477.8017895557423</v>
      </c>
      <c r="EA63" s="18">
        <f t="shared" si="133"/>
        <v>3273.8723773828115</v>
      </c>
      <c r="EB63" s="18">
        <f t="shared" si="133"/>
        <v>3092.0557185444841</v>
      </c>
      <c r="EC63" s="18">
        <f t="shared" si="133"/>
        <v>6185.9863429855841</v>
      </c>
      <c r="ED63" s="18">
        <f t="shared" si="133"/>
        <v>5567.6762363630769</v>
      </c>
      <c r="EE63" s="18">
        <f t="shared" si="133"/>
        <v>5061.7203336768034</v>
      </c>
      <c r="EF63" s="18">
        <f t="shared" si="133"/>
        <v>4639.9336851870721</v>
      </c>
      <c r="EG63" s="18">
        <f t="shared" si="133"/>
        <v>4282.9407567423887</v>
      </c>
      <c r="EH63" s="18">
        <f t="shared" si="133"/>
        <v>3976.8854396851689</v>
      </c>
      <c r="EI63" s="18">
        <f t="shared" si="133"/>
        <v>3711.6023899741335</v>
      </c>
      <c r="EJ63" s="18">
        <f t="shared" si="133"/>
        <v>3479.5091275874615</v>
      </c>
      <c r="EK63" s="18">
        <f t="shared" si="133"/>
        <v>3275.4857196008011</v>
      </c>
      <c r="EL63" s="18">
        <f t="shared" si="133"/>
        <v>3093.5794306392518</v>
      </c>
      <c r="EM63" s="18">
        <f t="shared" si="58"/>
        <v>6223.2474977480269</v>
      </c>
      <c r="EN63" s="18">
        <f t="shared" si="46"/>
        <v>5601.3711048604582</v>
      </c>
      <c r="EO63" s="18">
        <f t="shared" si="47"/>
        <v>5092.6193862901873</v>
      </c>
      <c r="EP63" s="18">
        <f t="shared" si="48"/>
        <v>4668.5153233281026</v>
      </c>
      <c r="EQ63" s="18">
        <f t="shared" si="49"/>
        <v>4309.5603865280473</v>
      </c>
      <c r="ER63" s="18">
        <f t="shared" si="50"/>
        <v>4001.8273581430294</v>
      </c>
      <c r="ES63" s="18">
        <f t="shared" si="51"/>
        <v>3735.089696029635</v>
      </c>
      <c r="ET63" s="18">
        <f t="shared" si="52"/>
        <v>3501.6876334192502</v>
      </c>
      <c r="EU63" s="18">
        <f t="shared" si="53"/>
        <v>3295.1837599006512</v>
      </c>
      <c r="EV63" s="18">
        <f t="shared" si="54"/>
        <v>3112.1797762851907</v>
      </c>
    </row>
    <row r="64" spans="1:152" x14ac:dyDescent="0.2">
      <c r="CM64" s="27">
        <f t="shared" si="42"/>
        <v>1.2211866167060892</v>
      </c>
      <c r="CN64" s="27">
        <v>-0.125</v>
      </c>
      <c r="CO64" s="18">
        <f t="shared" ref="CO64:CX64" si="134">CO34+(1-AG34/2048)*$CM64+$CN64</f>
        <v>6010.0110056206149</v>
      </c>
      <c r="CP64" s="18">
        <f t="shared" si="134"/>
        <v>5409.3176916093462</v>
      </c>
      <c r="CQ64" s="18">
        <f t="shared" si="134"/>
        <v>4917.7732549349103</v>
      </c>
      <c r="CR64" s="18">
        <f t="shared" si="134"/>
        <v>4507.9954774871221</v>
      </c>
      <c r="CS64" s="18">
        <f t="shared" si="134"/>
        <v>4161.1672279692903</v>
      </c>
      <c r="CT64" s="18">
        <f t="shared" si="134"/>
        <v>3863.8293829081017</v>
      </c>
      <c r="CU64" s="18">
        <f t="shared" si="134"/>
        <v>3606.1016597739936</v>
      </c>
      <c r="CV64" s="18">
        <f t="shared" si="134"/>
        <v>3381.1368857543521</v>
      </c>
      <c r="CW64" s="18">
        <f t="shared" si="134"/>
        <v>3182.3144733274917</v>
      </c>
      <c r="CX64" s="18">
        <f t="shared" si="134"/>
        <v>3005.5834400591716</v>
      </c>
      <c r="CY64" s="18">
        <f t="shared" ref="CY64:DR64" si="135">CY34+(1-AG34/2048)*$CM64+$CN64</f>
        <v>6056.7255361923744</v>
      </c>
      <c r="CZ64" s="18">
        <f t="shared" si="135"/>
        <v>5451.3569813676868</v>
      </c>
      <c r="DA64" s="18">
        <f t="shared" si="135"/>
        <v>4955.9847021233609</v>
      </c>
      <c r="DB64" s="18">
        <f t="shared" si="135"/>
        <v>4543.0172123202319</v>
      </c>
      <c r="DC64" s="18">
        <f t="shared" si="135"/>
        <v>4193.4902298086399</v>
      </c>
      <c r="DD64" s="18">
        <f t="shared" si="135"/>
        <v>3893.8394644404971</v>
      </c>
      <c r="DE64" s="18">
        <f t="shared" si="135"/>
        <v>3634.107474505543</v>
      </c>
      <c r="DF64" s="18">
        <f t="shared" si="135"/>
        <v>3407.4138092009666</v>
      </c>
      <c r="DG64" s="18">
        <f t="shared" si="135"/>
        <v>3207.0456953948938</v>
      </c>
      <c r="DH64" s="18">
        <f t="shared" si="135"/>
        <v>3028.9407053450514</v>
      </c>
      <c r="DI64" s="18">
        <f t="shared" si="135"/>
        <v>6059.946559731824</v>
      </c>
      <c r="DJ64" s="18">
        <f t="shared" si="135"/>
        <v>5454.2631675242756</v>
      </c>
      <c r="DK64" s="18">
        <f t="shared" si="135"/>
        <v>4958.6211253799647</v>
      </c>
      <c r="DL64" s="18">
        <f t="shared" si="135"/>
        <v>4545.4277306166514</v>
      </c>
      <c r="DM64" s="18">
        <f t="shared" si="135"/>
        <v>4195.7094854425677</v>
      </c>
      <c r="DN64" s="18">
        <f t="shared" si="135"/>
        <v>3895.89419730497</v>
      </c>
      <c r="DO64" s="18">
        <f t="shared" si="135"/>
        <v>3636.0195896791583</v>
      </c>
      <c r="DP64" s="18">
        <f t="shared" si="135"/>
        <v>3409.2256349419072</v>
      </c>
      <c r="DQ64" s="18">
        <f t="shared" si="135"/>
        <v>3208.750943151073</v>
      </c>
      <c r="DR64" s="18">
        <f t="shared" si="135"/>
        <v>3030.5512171147761</v>
      </c>
      <c r="DS64" s="18">
        <f t="shared" ref="DS64:EL64" si="136">DS34+(1-AQ34/2048)*$CM64+$CN64</f>
        <v>6104.73609291719</v>
      </c>
      <c r="DT64" s="18">
        <f t="shared" si="136"/>
        <v>5494.5695880666335</v>
      </c>
      <c r="DU64" s="18">
        <f t="shared" si="136"/>
        <v>4995.2569677769498</v>
      </c>
      <c r="DV64" s="18">
        <f t="shared" si="136"/>
        <v>4579.0049720256757</v>
      </c>
      <c r="DW64" s="18">
        <f t="shared" si="136"/>
        <v>4226.6989907154621</v>
      </c>
      <c r="DX64" s="18">
        <f t="shared" si="136"/>
        <v>3924.6659305950811</v>
      </c>
      <c r="DY64" s="18">
        <f t="shared" si="136"/>
        <v>3662.8695383197987</v>
      </c>
      <c r="DZ64" s="18">
        <f t="shared" si="136"/>
        <v>3434.4197473586755</v>
      </c>
      <c r="EA64" s="18">
        <f t="shared" si="136"/>
        <v>3232.4630489550905</v>
      </c>
      <c r="EB64" s="18">
        <f t="shared" si="136"/>
        <v>3052.9459837074592</v>
      </c>
      <c r="EC64" s="18">
        <f t="shared" si="136"/>
        <v>6107.9095085694589</v>
      </c>
      <c r="ED64" s="18">
        <f t="shared" si="136"/>
        <v>5497.4319939552433</v>
      </c>
      <c r="EE64" s="18">
        <f t="shared" si="136"/>
        <v>4997.8538288075861</v>
      </c>
      <c r="EF64" s="18">
        <f t="shared" si="136"/>
        <v>4581.3791330433341</v>
      </c>
      <c r="EG64" s="18">
        <f t="shared" si="136"/>
        <v>4228.8861545861073</v>
      </c>
      <c r="EH64" s="18">
        <f t="shared" si="136"/>
        <v>3926.6887483860783</v>
      </c>
      <c r="EI64" s="18">
        <f t="shared" si="136"/>
        <v>3664.7517574015042</v>
      </c>
      <c r="EJ64" s="18">
        <f t="shared" si="136"/>
        <v>3436.2047936630765</v>
      </c>
      <c r="EK64" s="18">
        <f t="shared" si="136"/>
        <v>3234.1430925357035</v>
      </c>
      <c r="EL64" s="18">
        <f t="shared" si="136"/>
        <v>3054.5326915335936</v>
      </c>
      <c r="EM64" s="18">
        <f t="shared" si="58"/>
        <v>6146.996896147366</v>
      </c>
      <c r="EN64" s="18">
        <f t="shared" si="46"/>
        <v>5532.7942465908782</v>
      </c>
      <c r="EO64" s="18">
        <f t="shared" si="47"/>
        <v>5030.2779538060859</v>
      </c>
      <c r="EP64" s="18">
        <f t="shared" si="48"/>
        <v>4611.355709923715</v>
      </c>
      <c r="EQ64" s="18">
        <f t="shared" si="49"/>
        <v>4256.7894490311173</v>
      </c>
      <c r="ER64" s="18">
        <f t="shared" si="50"/>
        <v>3952.8211374191787</v>
      </c>
      <c r="ES64" s="18">
        <f t="shared" si="51"/>
        <v>3689.3477089920539</v>
      </c>
      <c r="ET64" s="18">
        <f t="shared" si="52"/>
        <v>3458.1653357277023</v>
      </c>
      <c r="EU64" s="18">
        <f t="shared" si="53"/>
        <v>3254.8083269564672</v>
      </c>
      <c r="EV64" s="18">
        <f t="shared" si="54"/>
        <v>3074.0465413820361</v>
      </c>
    </row>
    <row r="65" spans="91:152" x14ac:dyDescent="0.2">
      <c r="CM65" s="27">
        <f t="shared" si="42"/>
        <v>1.214182955651689</v>
      </c>
      <c r="CN65" s="27">
        <v>-0.125</v>
      </c>
      <c r="CO65" s="18">
        <f t="shared" ref="CO65:CX65" si="137">CO35+(1-AG35/2048)*$CM65+$CN65</f>
        <v>5974.5075060086001</v>
      </c>
      <c r="CP65" s="18">
        <f t="shared" si="137"/>
        <v>5377.1262028808533</v>
      </c>
      <c r="CQ65" s="18">
        <f t="shared" si="137"/>
        <v>4888.1841693982669</v>
      </c>
      <c r="CR65" s="18">
        <f t="shared" si="137"/>
        <v>4480.6257257816897</v>
      </c>
      <c r="CS65" s="18">
        <f t="shared" si="137"/>
        <v>4135.7110517878791</v>
      </c>
      <c r="CT65" s="18">
        <f t="shared" si="137"/>
        <v>3840.0392582570421</v>
      </c>
      <c r="CU65" s="18">
        <f t="shared" si="137"/>
        <v>3583.7746040208353</v>
      </c>
      <c r="CV65" s="18">
        <f t="shared" si="137"/>
        <v>3361.1629533569262</v>
      </c>
      <c r="CW65" s="18">
        <f t="shared" si="137"/>
        <v>3163.5150460135224</v>
      </c>
      <c r="CX65" s="18">
        <f t="shared" si="137"/>
        <v>2987.8280172638301</v>
      </c>
      <c r="CY65" s="18">
        <f t="shared" ref="CY65:DR65" si="138">CY35+(1-AG35/2048)*$CM65+$CN65</f>
        <v>6021.9465318901084</v>
      </c>
      <c r="CZ65" s="18">
        <f t="shared" si="138"/>
        <v>5419.8151589722702</v>
      </c>
      <c r="DA65" s="18">
        <f t="shared" si="138"/>
        <v>4926.9837508084092</v>
      </c>
      <c r="DB65" s="18">
        <f t="shared" si="138"/>
        <v>4516.1846872829756</v>
      </c>
      <c r="DC65" s="18">
        <f t="shared" si="138"/>
        <v>4168.5284697377583</v>
      </c>
      <c r="DD65" s="18">
        <f t="shared" si="138"/>
        <v>3870.5072526457452</v>
      </c>
      <c r="DE65" s="18">
        <f t="shared" si="138"/>
        <v>3612.2068394698649</v>
      </c>
      <c r="DF65" s="18">
        <f t="shared" si="138"/>
        <v>3387.8474054152744</v>
      </c>
      <c r="DG65" s="18">
        <f t="shared" si="138"/>
        <v>3188.6298244213795</v>
      </c>
      <c r="DH65" s="18">
        <f t="shared" si="138"/>
        <v>3011.5475302045843</v>
      </c>
      <c r="DI65" s="18">
        <f t="shared" si="138"/>
        <v>6025.2189818811921</v>
      </c>
      <c r="DJ65" s="18">
        <f t="shared" si="138"/>
        <v>5422.7558300775736</v>
      </c>
      <c r="DK65" s="18">
        <f t="shared" si="138"/>
        <v>4929.6491849438244</v>
      </c>
      <c r="DL65" s="18">
        <f t="shared" si="138"/>
        <v>4518.6200997422184</v>
      </c>
      <c r="DM65" s="18">
        <f t="shared" si="138"/>
        <v>4170.7690066420309</v>
      </c>
      <c r="DN65" s="18">
        <f t="shared" si="138"/>
        <v>3872.5809060799379</v>
      </c>
      <c r="DO65" s="18">
        <f t="shared" si="138"/>
        <v>3614.135878996728</v>
      </c>
      <c r="DP65" s="18">
        <f t="shared" si="138"/>
        <v>3389.6881585352594</v>
      </c>
      <c r="DQ65" s="18">
        <f t="shared" si="138"/>
        <v>3190.3622979460711</v>
      </c>
      <c r="DR65" s="18">
        <f t="shared" si="138"/>
        <v>3013.1837552001261</v>
      </c>
      <c r="DS65" s="18">
        <f t="shared" ref="DS65:EL65" si="139">DS35+(1-AQ35/2048)*$CM65+$CN65</f>
        <v>6070.7449619857443</v>
      </c>
      <c r="DT65" s="18">
        <f t="shared" si="139"/>
        <v>5463.7226632199463</v>
      </c>
      <c r="DU65" s="18">
        <f t="shared" si="139"/>
        <v>4966.8830144651656</v>
      </c>
      <c r="DV65" s="18">
        <f t="shared" si="139"/>
        <v>4552.7436688598982</v>
      </c>
      <c r="DW65" s="18">
        <f t="shared" si="139"/>
        <v>4202.2613659191566</v>
      </c>
      <c r="DX65" s="18">
        <f t="shared" si="139"/>
        <v>3901.8184356123061</v>
      </c>
      <c r="DY65" s="18">
        <f t="shared" si="139"/>
        <v>3641.4196420006451</v>
      </c>
      <c r="DZ65" s="18">
        <f t="shared" si="139"/>
        <v>3415.2965223440701</v>
      </c>
      <c r="EA65" s="18">
        <f t="shared" si="139"/>
        <v>3214.4642874131869</v>
      </c>
      <c r="EB65" s="18">
        <f t="shared" si="139"/>
        <v>3035.9467452524023</v>
      </c>
      <c r="EC65" s="18">
        <f t="shared" si="139"/>
        <v>6073.9721384036475</v>
      </c>
      <c r="ED65" s="18">
        <f t="shared" si="139"/>
        <v>5466.6223649239018</v>
      </c>
      <c r="EE65" s="18">
        <f t="shared" si="139"/>
        <v>4969.5110636563941</v>
      </c>
      <c r="EF65" s="18">
        <f t="shared" si="139"/>
        <v>4555.1442546775752</v>
      </c>
      <c r="EG65" s="18">
        <f t="shared" si="139"/>
        <v>4204.4769670475544</v>
      </c>
      <c r="EH65" s="18">
        <f t="shared" si="139"/>
        <v>3903.8615396427249</v>
      </c>
      <c r="EI65" s="18">
        <f t="shared" si="139"/>
        <v>3643.3198139314609</v>
      </c>
      <c r="EJ65" s="18">
        <f t="shared" si="139"/>
        <v>3417.1118090791401</v>
      </c>
      <c r="EK65" s="18">
        <f t="shared" si="139"/>
        <v>3216.1727925756059</v>
      </c>
      <c r="EL65" s="18">
        <f t="shared" si="139"/>
        <v>3037.5603334613538</v>
      </c>
      <c r="EM65" s="18">
        <f t="shared" si="58"/>
        <v>6113.8397397925601</v>
      </c>
      <c r="EN65" s="18">
        <f t="shared" si="46"/>
        <v>5502.7008192331969</v>
      </c>
      <c r="EO65" s="18">
        <f t="shared" si="47"/>
        <v>5002.5824801724584</v>
      </c>
      <c r="EP65" s="18">
        <f t="shared" si="48"/>
        <v>4585.7110217428044</v>
      </c>
      <c r="EQ65" s="18">
        <f t="shared" si="49"/>
        <v>4232.9213424637865</v>
      </c>
      <c r="ER65" s="18">
        <f t="shared" si="50"/>
        <v>3930.4950454116388</v>
      </c>
      <c r="ES65" s="18">
        <f t="shared" si="51"/>
        <v>3668.3813899637939</v>
      </c>
      <c r="ET65" s="18">
        <f t="shared" si="52"/>
        <v>3439.5113711764125</v>
      </c>
      <c r="EU65" s="18">
        <f t="shared" si="53"/>
        <v>3237.2512424575439</v>
      </c>
      <c r="EV65" s="18">
        <f t="shared" si="54"/>
        <v>3057.4644613741057</v>
      </c>
    </row>
  </sheetData>
  <conditionalFormatting sqref="X7 X35">
    <cfRule type="cellIs" dxfId="54" priority="136" operator="lessThan">
      <formula>0</formula>
    </cfRule>
    <cfRule type="cellIs" dxfId="53" priority="137" operator="lessThan">
      <formula>0</formula>
    </cfRule>
  </conditionalFormatting>
  <conditionalFormatting sqref="EW12:EX35 EW7:EX10">
    <cfRule type="cellIs" dxfId="52" priority="138" operator="lessThan">
      <formula>0</formula>
    </cfRule>
  </conditionalFormatting>
  <conditionalFormatting sqref="BK7:BK10 BK12:BK35 BU7:BU8 CE7:CE9 CO7 CY7 DI7 DS7 EC7">
    <cfRule type="cellIs" dxfId="51" priority="139" operator="lessThan">
      <formula>0</formula>
    </cfRule>
  </conditionalFormatting>
  <conditionalFormatting sqref="W8:W35">
    <cfRule type="cellIs" dxfId="50" priority="129" operator="lessThan">
      <formula>0</formula>
    </cfRule>
    <cfRule type="cellIs" dxfId="49" priority="130" operator="lessThan">
      <formula>0</formula>
    </cfRule>
  </conditionalFormatting>
  <conditionalFormatting sqref="EW11:EX11">
    <cfRule type="cellIs" dxfId="48" priority="133" operator="lessThan">
      <formula>0</formula>
    </cfRule>
  </conditionalFormatting>
  <conditionalFormatting sqref="Y7:Y35">
    <cfRule type="cellIs" dxfId="47" priority="125" operator="lessThan">
      <formula>0</formula>
    </cfRule>
    <cfRule type="cellIs" dxfId="46" priority="126" operator="lessThan">
      <formula>0</formula>
    </cfRule>
  </conditionalFormatting>
  <conditionalFormatting sqref="X8:X15 X23:X35 X17:X19">
    <cfRule type="cellIs" dxfId="45" priority="127" operator="lessThan">
      <formula>0</formula>
    </cfRule>
    <cfRule type="cellIs" dxfId="44" priority="128" operator="lessThan">
      <formula>0</formula>
    </cfRule>
  </conditionalFormatting>
  <conditionalFormatting sqref="Z7:Z35">
    <cfRule type="cellIs" dxfId="43" priority="123" operator="lessThan">
      <formula>0</formula>
    </cfRule>
    <cfRule type="cellIs" dxfId="42" priority="124" operator="lessThan">
      <formula>0</formula>
    </cfRule>
  </conditionalFormatting>
  <conditionalFormatting sqref="AC7:AC35">
    <cfRule type="cellIs" dxfId="41" priority="117" operator="lessThan">
      <formula>0</formula>
    </cfRule>
    <cfRule type="cellIs" dxfId="40" priority="118" operator="lessThan">
      <formula>0</formula>
    </cfRule>
  </conditionalFormatting>
  <conditionalFormatting sqref="AA7:AA35">
    <cfRule type="cellIs" dxfId="39" priority="121" operator="lessThan">
      <formula>0</formula>
    </cfRule>
    <cfRule type="cellIs" dxfId="38" priority="122" operator="lessThan">
      <formula>0</formula>
    </cfRule>
  </conditionalFormatting>
  <conditionalFormatting sqref="AB7:AB35">
    <cfRule type="cellIs" dxfId="37" priority="119" operator="lessThan">
      <formula>0</formula>
    </cfRule>
    <cfRule type="cellIs" dxfId="36" priority="120" operator="lessThan">
      <formula>0</formula>
    </cfRule>
  </conditionalFormatting>
  <conditionalFormatting sqref="AD7:AD35">
    <cfRule type="cellIs" dxfId="35" priority="115" operator="lessThan">
      <formula>0</formula>
    </cfRule>
    <cfRule type="cellIs" dxfId="34" priority="116" operator="lessThan">
      <formula>0</formula>
    </cfRule>
  </conditionalFormatting>
  <conditionalFormatting sqref="AE7:AF35">
    <cfRule type="cellIs" dxfId="33" priority="113" operator="lessThan">
      <formula>0</formula>
    </cfRule>
    <cfRule type="cellIs" dxfId="32" priority="114" operator="lessThan">
      <formula>0</formula>
    </cfRule>
  </conditionalFormatting>
  <conditionalFormatting sqref="BK11">
    <cfRule type="cellIs" dxfId="31" priority="112" operator="lessThan">
      <formula>0</formula>
    </cfRule>
  </conditionalFormatting>
  <conditionalFormatting sqref="BL7:BL35">
    <cfRule type="cellIs" dxfId="30" priority="111" operator="lessThan">
      <formula>0</formula>
    </cfRule>
  </conditionalFormatting>
  <conditionalFormatting sqref="BM7:BM35">
    <cfRule type="cellIs" dxfId="29" priority="110" operator="lessThan">
      <formula>0</formula>
    </cfRule>
  </conditionalFormatting>
  <conditionalFormatting sqref="BN7:BT35">
    <cfRule type="cellIs" dxfId="28" priority="109" operator="lessThan">
      <formula>0</formula>
    </cfRule>
  </conditionalFormatting>
  <conditionalFormatting sqref="BU9:BU35">
    <cfRule type="cellIs" dxfId="27" priority="108" operator="lessThan">
      <formula>0</formula>
    </cfRule>
  </conditionalFormatting>
  <conditionalFormatting sqref="BV7:CD35">
    <cfRule type="cellIs" dxfId="26" priority="107" operator="lessThan">
      <formula>0</formula>
    </cfRule>
  </conditionalFormatting>
  <conditionalFormatting sqref="CE10:CE35">
    <cfRule type="cellIs" dxfId="25" priority="106" operator="lessThan">
      <formula>0</formula>
    </cfRule>
  </conditionalFormatting>
  <conditionalFormatting sqref="CF7:CN35">
    <cfRule type="cellIs" dxfId="24" priority="105" operator="lessThan">
      <formula>0</formula>
    </cfRule>
  </conditionalFormatting>
  <conditionalFormatting sqref="EM7">
    <cfRule type="cellIs" dxfId="23" priority="26" operator="lessThan">
      <formula>0</formula>
    </cfRule>
  </conditionalFormatting>
  <conditionalFormatting sqref="CO8:CO35">
    <cfRule type="cellIs" dxfId="22" priority="23" operator="lessThan">
      <formula>0</formula>
    </cfRule>
  </conditionalFormatting>
  <conditionalFormatting sqref="CP7:CX35">
    <cfRule type="cellIs" dxfId="21" priority="22" operator="lessThan">
      <formula>0</formula>
    </cfRule>
  </conditionalFormatting>
  <conditionalFormatting sqref="CY8:CY35">
    <cfRule type="cellIs" dxfId="20" priority="21" operator="lessThan">
      <formula>0</formula>
    </cfRule>
  </conditionalFormatting>
  <conditionalFormatting sqref="CZ7:DH35">
    <cfRule type="cellIs" dxfId="19" priority="20" operator="lessThan">
      <formula>0</formula>
    </cfRule>
  </conditionalFormatting>
  <conditionalFormatting sqref="DI8:DI35">
    <cfRule type="cellIs" dxfId="18" priority="19" operator="lessThan">
      <formula>0</formula>
    </cfRule>
  </conditionalFormatting>
  <conditionalFormatting sqref="DJ7:DR35">
    <cfRule type="cellIs" dxfId="17" priority="18" operator="lessThan">
      <formula>0</formula>
    </cfRule>
  </conditionalFormatting>
  <conditionalFormatting sqref="DS8:DS35">
    <cfRule type="cellIs" dxfId="16" priority="17" operator="lessThan">
      <formula>0</formula>
    </cfRule>
  </conditionalFormatting>
  <conditionalFormatting sqref="DT7:EB35">
    <cfRule type="cellIs" dxfId="15" priority="16" operator="lessThan">
      <formula>0</formula>
    </cfRule>
  </conditionalFormatting>
  <conditionalFormatting sqref="EC8">
    <cfRule type="cellIs" dxfId="14" priority="15" operator="lessThan">
      <formula>0</formula>
    </cfRule>
  </conditionalFormatting>
  <conditionalFormatting sqref="EC9:EC35">
    <cfRule type="cellIs" dxfId="13" priority="14" operator="lessThan">
      <formula>0</formula>
    </cfRule>
  </conditionalFormatting>
  <conditionalFormatting sqref="ED7:EL35">
    <cfRule type="cellIs" dxfId="12" priority="13" operator="lessThan">
      <formula>0</formula>
    </cfRule>
  </conditionalFormatting>
  <conditionalFormatting sqref="EM8:EM35">
    <cfRule type="cellIs" dxfId="11" priority="12" operator="lessThan">
      <formula>0</formula>
    </cfRule>
  </conditionalFormatting>
  <conditionalFormatting sqref="EN7:EV35">
    <cfRule type="cellIs" dxfId="10" priority="11" operator="lessThan">
      <formula>0</formula>
    </cfRule>
  </conditionalFormatting>
  <conditionalFormatting sqref="X20">
    <cfRule type="cellIs" dxfId="9" priority="9" operator="lessThan">
      <formula>0</formula>
    </cfRule>
    <cfRule type="cellIs" dxfId="8" priority="10" operator="lessThan">
      <formula>0</formula>
    </cfRule>
  </conditionalFormatting>
  <conditionalFormatting sqref="X21">
    <cfRule type="cellIs" dxfId="7" priority="7" operator="lessThan">
      <formula>0</formula>
    </cfRule>
    <cfRule type="cellIs" dxfId="6" priority="8" operator="lessThan">
      <formula>0</formula>
    </cfRule>
  </conditionalFormatting>
  <conditionalFormatting sqref="X22">
    <cfRule type="cellIs" dxfId="5" priority="5" operator="lessThan">
      <formula>0</formula>
    </cfRule>
    <cfRule type="cellIs" dxfId="4" priority="6" operator="lessThan">
      <formula>0</formula>
    </cfRule>
  </conditionalFormatting>
  <conditionalFormatting sqref="X16">
    <cfRule type="cellIs" dxfId="3" priority="3" operator="lessThan">
      <formula>0</formula>
    </cfRule>
    <cfRule type="cellIs" dxfId="2" priority="4" operator="lessThan">
      <formula>0</formula>
    </cfRule>
  </conditionalFormatting>
  <conditionalFormatting sqref="W7:AF35">
    <cfRule type="cellIs" dxfId="1" priority="1" operator="lessThan">
      <formula>0</formula>
    </cfRule>
    <cfRule type="cellIs" dxfId="0" priority="2" operator="lessThan">
      <formula>0</formula>
    </cfRule>
  </conditionalFormatting>
  <pageMargins left="0.75" right="0.75" top="1" bottom="1" header="0.5" footer="0.5"/>
  <pageSetup paperSize="9" firstPageNumber="0" orientation="portrait" r:id="rId1"/>
  <headerFooter>
    <oddHeader>&amp;C&amp;"Times New Roman,Regular"&amp;12&amp;K000000&amp;A</oddHeader>
    <oddFooter>&amp;C&amp;"Times New Roman,Regular"&amp;12&amp;K000000Page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MJ152"/>
  <sheetViews>
    <sheetView zoomScale="80" zoomScaleNormal="80" workbookViewId="0">
      <selection activeCell="B6" sqref="B6"/>
    </sheetView>
  </sheetViews>
  <sheetFormatPr baseColWidth="10" defaultColWidth="11.5" defaultRowHeight="15" x14ac:dyDescent="0.2"/>
  <cols>
    <col min="1" max="1" width="13.33203125" style="10" customWidth="1"/>
    <col min="2" max="2" width="21.33203125" style="10" customWidth="1"/>
    <col min="3" max="3" width="10.1640625" style="10" customWidth="1"/>
    <col min="4" max="4" width="8.33203125" style="28" customWidth="1"/>
    <col min="5" max="5" width="6.6640625" style="10" customWidth="1"/>
    <col min="6" max="6" width="11.83203125" style="10" customWidth="1"/>
    <col min="7" max="7" width="14.33203125" style="29" customWidth="1"/>
    <col min="8" max="8" width="16.6640625" style="10" customWidth="1"/>
    <col min="9" max="10" width="9.6640625" style="10" customWidth="1"/>
    <col min="11" max="11" width="14.6640625" style="30" customWidth="1"/>
    <col min="12" max="12" width="10" style="10" customWidth="1"/>
    <col min="13" max="14" width="9.6640625" style="10" customWidth="1"/>
    <col min="15" max="15" width="11" style="10" customWidth="1"/>
    <col min="16" max="16" width="9.6640625" style="10" customWidth="1"/>
    <col min="17" max="17" width="16.83203125" style="94" customWidth="1"/>
    <col min="18" max="18" width="9.6640625" style="10" customWidth="1"/>
    <col min="19" max="19" width="10.1640625" style="10" customWidth="1"/>
    <col min="20" max="20" width="17.33203125" style="10" customWidth="1"/>
    <col min="21" max="32" width="13.6640625" style="10" customWidth="1"/>
    <col min="33" max="33" width="28" style="10" customWidth="1"/>
    <col min="34" max="1024" width="13.6640625" style="10" customWidth="1"/>
    <col min="1025" max="1025" width="13.6640625" customWidth="1"/>
  </cols>
  <sheetData>
    <row r="1" spans="1:1024" ht="18.5" customHeight="1" x14ac:dyDescent="0.2">
      <c r="A1" s="163" t="s">
        <v>319</v>
      </c>
      <c r="B1" s="163"/>
      <c r="C1" s="163"/>
      <c r="D1" s="164" t="s">
        <v>320</v>
      </c>
      <c r="E1" s="164"/>
      <c r="F1" s="164"/>
      <c r="G1" s="164"/>
      <c r="H1" s="164"/>
      <c r="I1" s="164"/>
      <c r="J1" s="164"/>
      <c r="K1" s="164"/>
      <c r="L1" s="164"/>
      <c r="M1" s="164"/>
      <c r="N1" s="164"/>
      <c r="O1" s="164"/>
      <c r="P1" s="164"/>
      <c r="Q1" s="164"/>
      <c r="R1" s="164"/>
      <c r="S1" s="164"/>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36" customFormat="1" ht="49.5" customHeight="1" x14ac:dyDescent="0.2">
      <c r="A2" s="31" t="s">
        <v>321</v>
      </c>
      <c r="B2" s="31" t="s">
        <v>322</v>
      </c>
      <c r="C2" s="114" t="s">
        <v>810</v>
      </c>
      <c r="D2" s="32" t="s">
        <v>323</v>
      </c>
      <c r="E2" s="33" t="s">
        <v>324</v>
      </c>
      <c r="F2" s="32" t="s">
        <v>325</v>
      </c>
      <c r="G2" s="34" t="s">
        <v>326</v>
      </c>
      <c r="H2" s="32" t="s">
        <v>327</v>
      </c>
      <c r="I2" s="32" t="s">
        <v>328</v>
      </c>
      <c r="J2" s="32" t="s">
        <v>329</v>
      </c>
      <c r="K2" s="35" t="s">
        <v>330</v>
      </c>
      <c r="L2" s="32" t="s">
        <v>331</v>
      </c>
      <c r="M2" s="32" t="s">
        <v>332</v>
      </c>
      <c r="N2" s="32"/>
      <c r="O2" s="32" t="s">
        <v>333</v>
      </c>
      <c r="P2" s="32"/>
      <c r="Q2" s="92" t="s">
        <v>334</v>
      </c>
      <c r="R2" s="32" t="s">
        <v>789</v>
      </c>
      <c r="S2" s="32" t="s">
        <v>335</v>
      </c>
      <c r="T2" s="36" t="s">
        <v>336</v>
      </c>
      <c r="U2" s="36" t="s">
        <v>337</v>
      </c>
      <c r="V2" s="36" t="s">
        <v>338</v>
      </c>
      <c r="W2" s="36" t="s">
        <v>339</v>
      </c>
      <c r="AB2" s="36" t="s">
        <v>340</v>
      </c>
      <c r="AC2" s="36" t="s">
        <v>723</v>
      </c>
      <c r="AD2" s="36" t="s">
        <v>806</v>
      </c>
    </row>
    <row r="3" spans="1:1024" ht="14" customHeight="1" x14ac:dyDescent="0.2">
      <c r="A3" s="99">
        <f>65</f>
        <v>65</v>
      </c>
      <c r="B3" s="37">
        <f>145*$C$3</f>
        <v>2.61</v>
      </c>
      <c r="C3">
        <v>1.7999999999999999E-2</v>
      </c>
      <c r="D3" s="38">
        <f>2048*$C$3</f>
        <v>36.863999999999997</v>
      </c>
      <c r="E3" s="39">
        <v>1512</v>
      </c>
      <c r="F3" s="29">
        <f>-($D3*1.5+$B3+F4)/$E3</f>
        <v>-3.8287698412698405E-2</v>
      </c>
      <c r="G3" s="29">
        <f>-($D3*0.5+$B3+G4)/$E3</f>
        <v>-1.390674603174603E-2</v>
      </c>
      <c r="H3" s="29">
        <f>-($D3*0.5)/$E3</f>
        <v>-1.2190476190476189E-2</v>
      </c>
      <c r="I3" s="29">
        <f>-$H3</f>
        <v>1.2190476190476189E-2</v>
      </c>
      <c r="J3" s="29">
        <f>($D3*0.5+$B3+J4)/$E3</f>
        <v>1.3956349206349205E-2</v>
      </c>
      <c r="K3" s="30">
        <f>($D3*1.5+$B3+K4)/$E3</f>
        <v>3.8337301587301587E-2</v>
      </c>
      <c r="L3" s="40">
        <f>$A$3*O3/180</f>
        <v>1.1344640305555556</v>
      </c>
      <c r="M3" s="105">
        <f>-3.207*O3/180</f>
        <v>-5.597270993833333E-2</v>
      </c>
      <c r="N3" s="40"/>
      <c r="O3" s="41">
        <v>3.1415926999999999</v>
      </c>
      <c r="P3" s="40"/>
      <c r="Q3" s="93">
        <v>-9.5249999999999994E-6</v>
      </c>
      <c r="R3" s="40">
        <f>70.4034+0.012</f>
        <v>70.415400000000005</v>
      </c>
      <c r="S3" s="42">
        <v>31518</v>
      </c>
      <c r="T3" s="39">
        <f>63.76*O3/180</f>
        <v>1.1128219475111112</v>
      </c>
      <c r="U3" s="40">
        <f>$L$3-$T$3</f>
        <v>2.1642083044444371E-2</v>
      </c>
      <c r="V3" s="10">
        <f>SIN($U$3)</f>
        <v>2.1640393631737552E-2</v>
      </c>
      <c r="W3" s="10">
        <f t="shared" ref="W3:AB3" si="0">SIN($L$3+$M$3+F$3-$T$3)</f>
        <v>-7.2554517630810916E-2</v>
      </c>
      <c r="X3" s="10">
        <f t="shared" si="0"/>
        <v>-4.8218668293764672E-2</v>
      </c>
      <c r="Y3" s="10">
        <f t="shared" si="0"/>
        <v>-4.650432463714689E-2</v>
      </c>
      <c r="Z3" s="10">
        <f t="shared" si="0"/>
        <v>-2.213834194808471E-2</v>
      </c>
      <c r="AA3" s="10">
        <f t="shared" si="0"/>
        <v>-2.0372868118349371E-2</v>
      </c>
      <c r="AB3" s="10">
        <f t="shared" si="0"/>
        <v>4.006663973267887E-3</v>
      </c>
      <c r="AC3">
        <f>-1.37*O3/180</f>
        <v>-2.3911011105555557E-2</v>
      </c>
      <c r="AD3" t="s">
        <v>350</v>
      </c>
      <c r="AE3">
        <v>1536</v>
      </c>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F4" s="10">
        <v>-1.4999999999999999E-2</v>
      </c>
      <c r="G4" s="29">
        <f>F4</f>
        <v>-1.4999999999999999E-2</v>
      </c>
      <c r="J4" s="30">
        <f>K4</f>
        <v>0.06</v>
      </c>
      <c r="K4" s="30">
        <v>0.06</v>
      </c>
      <c r="R4" s="40">
        <f>0.012+70.4034</f>
        <v>70.415400000000005</v>
      </c>
      <c r="AD4" s="10" t="s">
        <v>350</v>
      </c>
      <c r="AE4">
        <v>1536</v>
      </c>
    </row>
    <row r="5" spans="1:1024" x14ac:dyDescent="0.2">
      <c r="R5" s="10">
        <f>0.012+70.3842</f>
        <v>70.396200000000007</v>
      </c>
      <c r="AD5" s="10" t="s">
        <v>353</v>
      </c>
      <c r="AE5">
        <v>1536</v>
      </c>
    </row>
    <row r="6" spans="1:1024" ht="21" customHeight="1" x14ac:dyDescent="0.2">
      <c r="A6" s="10" t="s">
        <v>811</v>
      </c>
      <c r="B6" s="10">
        <v>1.01</v>
      </c>
      <c r="R6" s="10">
        <f>0.012+70.3842</f>
        <v>70.396200000000007</v>
      </c>
      <c r="AD6" s="10" t="s">
        <v>353</v>
      </c>
      <c r="AE6">
        <v>1536</v>
      </c>
    </row>
    <row r="7" spans="1:1024" x14ac:dyDescent="0.2">
      <c r="R7" s="10">
        <f>0.012+70.3842</f>
        <v>70.396200000000007</v>
      </c>
      <c r="AD7" s="10" t="s">
        <v>353</v>
      </c>
      <c r="AE7">
        <v>1536</v>
      </c>
    </row>
    <row r="8" spans="1:1024" x14ac:dyDescent="0.2">
      <c r="R8" s="10">
        <f>0.012+70.3804</f>
        <v>70.392399999999995</v>
      </c>
      <c r="AD8" s="10" t="s">
        <v>355</v>
      </c>
      <c r="AE8">
        <v>1536</v>
      </c>
    </row>
    <row r="9" spans="1:1024" x14ac:dyDescent="0.2">
      <c r="R9" s="10">
        <f>0.012+70.3804</f>
        <v>70.392399999999995</v>
      </c>
      <c r="AD9" s="10" t="s">
        <v>355</v>
      </c>
      <c r="AE9">
        <v>1536</v>
      </c>
    </row>
    <row r="10" spans="1:1024" x14ac:dyDescent="0.2">
      <c r="R10" s="10">
        <f>0.012+70.3804</f>
        <v>70.392399999999995</v>
      </c>
      <c r="AD10" s="10" t="s">
        <v>355</v>
      </c>
      <c r="AE10">
        <v>1536</v>
      </c>
    </row>
    <row r="11" spans="1:1024" x14ac:dyDescent="0.2">
      <c r="R11" s="10">
        <f>0.012+70.3804</f>
        <v>70.392399999999995</v>
      </c>
      <c r="AD11" s="10" t="s">
        <v>355</v>
      </c>
      <c r="AE11">
        <v>1536</v>
      </c>
    </row>
    <row r="12" spans="1:1024" x14ac:dyDescent="0.2">
      <c r="C12" s="29"/>
      <c r="K12" s="10"/>
      <c r="L12" s="30"/>
      <c r="N12" s="29"/>
      <c r="R12" s="10">
        <f>0.012+70.3692</f>
        <v>70.381200000000007</v>
      </c>
      <c r="AD12" s="10" t="s">
        <v>361</v>
      </c>
      <c r="AE12">
        <v>1536</v>
      </c>
    </row>
    <row r="13" spans="1:1024" x14ac:dyDescent="0.2">
      <c r="R13" s="10">
        <f>0.012+70.3692</f>
        <v>70.381200000000007</v>
      </c>
      <c r="AD13" s="10" t="s">
        <v>361</v>
      </c>
      <c r="AE13">
        <v>1536</v>
      </c>
      <c r="AG13" s="29"/>
      <c r="AH13" s="29"/>
    </row>
    <row r="14" spans="1:1024" x14ac:dyDescent="0.2">
      <c r="R14" s="10">
        <f>0.012+70.3692</f>
        <v>70.381200000000007</v>
      </c>
      <c r="AD14" s="10" t="s">
        <v>361</v>
      </c>
      <c r="AE14">
        <v>1536</v>
      </c>
      <c r="AG14" s="29"/>
      <c r="AH14" s="29"/>
    </row>
    <row r="15" spans="1:1024" x14ac:dyDescent="0.2">
      <c r="R15" s="10">
        <f>0.012+70.3692</f>
        <v>70.381200000000007</v>
      </c>
      <c r="AD15" s="10" t="s">
        <v>361</v>
      </c>
      <c r="AE15">
        <v>1536</v>
      </c>
      <c r="AG15" s="29"/>
      <c r="AH15" s="29"/>
    </row>
    <row r="16" spans="1:1024" x14ac:dyDescent="0.2">
      <c r="C16" s="29"/>
      <c r="K16" s="10"/>
      <c r="L16" s="30"/>
      <c r="N16" s="29"/>
      <c r="R16" s="10">
        <f t="shared" ref="R16:R22" si="1">0.012+70.3899</f>
        <v>70.401899999999998</v>
      </c>
      <c r="AD16" s="10" t="s">
        <v>366</v>
      </c>
      <c r="AE16">
        <v>1536</v>
      </c>
      <c r="AG16" s="29"/>
      <c r="AH16" s="29"/>
    </row>
    <row r="17" spans="2:34" x14ac:dyDescent="0.2">
      <c r="R17" s="10">
        <f t="shared" si="1"/>
        <v>70.401899999999998</v>
      </c>
      <c r="AD17" s="10" t="s">
        <v>366</v>
      </c>
      <c r="AE17">
        <v>1536</v>
      </c>
      <c r="AG17" s="29"/>
      <c r="AH17" s="29"/>
    </row>
    <row r="18" spans="2:34" x14ac:dyDescent="0.2">
      <c r="R18" s="10">
        <f t="shared" si="1"/>
        <v>70.401899999999998</v>
      </c>
      <c r="AD18" s="10" t="s">
        <v>366</v>
      </c>
      <c r="AE18">
        <v>1536</v>
      </c>
      <c r="AG18" s="29"/>
      <c r="AH18" s="29"/>
    </row>
    <row r="19" spans="2:34" x14ac:dyDescent="0.2">
      <c r="R19" s="10">
        <f t="shared" si="1"/>
        <v>70.401899999999998</v>
      </c>
      <c r="AD19" s="10" t="s">
        <v>366</v>
      </c>
      <c r="AE19">
        <v>1536</v>
      </c>
      <c r="AG19" s="29"/>
      <c r="AH19" s="29"/>
    </row>
    <row r="20" spans="2:34" x14ac:dyDescent="0.2">
      <c r="C20" s="29"/>
      <c r="K20" s="10"/>
      <c r="L20" s="30"/>
      <c r="N20" s="29"/>
      <c r="R20" s="10">
        <f t="shared" si="1"/>
        <v>70.401899999999998</v>
      </c>
      <c r="AD20" s="10" t="s">
        <v>366</v>
      </c>
      <c r="AE20">
        <v>1536</v>
      </c>
      <c r="AG20" s="29"/>
      <c r="AH20" s="29"/>
    </row>
    <row r="21" spans="2:34" x14ac:dyDescent="0.2">
      <c r="B21" s="30"/>
      <c r="R21" s="10">
        <f t="shared" si="1"/>
        <v>70.401899999999998</v>
      </c>
      <c r="AD21" s="10" t="s">
        <v>366</v>
      </c>
      <c r="AE21">
        <v>1536</v>
      </c>
      <c r="AG21" s="29"/>
      <c r="AH21" s="29"/>
    </row>
    <row r="22" spans="2:34" x14ac:dyDescent="0.2">
      <c r="R22" s="10">
        <f t="shared" si="1"/>
        <v>70.401899999999998</v>
      </c>
      <c r="AD22" s="10" t="s">
        <v>366</v>
      </c>
      <c r="AE22">
        <v>1536</v>
      </c>
      <c r="AG22" s="29"/>
      <c r="AH22" s="29"/>
    </row>
    <row r="23" spans="2:34" x14ac:dyDescent="0.2">
      <c r="R23" s="10">
        <f t="shared" ref="R23:R31" si="2">0.012+70.3857</f>
        <v>70.3977</v>
      </c>
      <c r="AD23" s="10" t="s">
        <v>375</v>
      </c>
      <c r="AE23">
        <v>1024</v>
      </c>
      <c r="AG23" s="29"/>
      <c r="AH23" s="29"/>
    </row>
    <row r="24" spans="2:34" x14ac:dyDescent="0.2">
      <c r="C24" s="29"/>
      <c r="K24" s="10"/>
      <c r="L24" s="30"/>
      <c r="N24" s="29"/>
      <c r="R24" s="10">
        <f t="shared" si="2"/>
        <v>70.3977</v>
      </c>
      <c r="AD24" s="10" t="s">
        <v>375</v>
      </c>
      <c r="AE24">
        <v>1024</v>
      </c>
      <c r="AG24" s="29"/>
      <c r="AH24" s="29"/>
    </row>
    <row r="25" spans="2:34" x14ac:dyDescent="0.2">
      <c r="R25" s="10">
        <f t="shared" si="2"/>
        <v>70.3977</v>
      </c>
      <c r="AD25" s="10" t="s">
        <v>375</v>
      </c>
      <c r="AE25">
        <v>1024</v>
      </c>
      <c r="AG25" s="29"/>
      <c r="AH25" s="29"/>
    </row>
    <row r="26" spans="2:34" x14ac:dyDescent="0.2">
      <c r="R26" s="10">
        <f t="shared" si="2"/>
        <v>70.3977</v>
      </c>
      <c r="AD26" s="10" t="s">
        <v>375</v>
      </c>
      <c r="AE26">
        <v>1024</v>
      </c>
      <c r="AG26" s="29"/>
      <c r="AH26" s="29"/>
    </row>
    <row r="27" spans="2:34" x14ac:dyDescent="0.2">
      <c r="R27" s="10">
        <f t="shared" si="2"/>
        <v>70.3977</v>
      </c>
      <c r="AD27" s="10" t="s">
        <v>375</v>
      </c>
      <c r="AE27">
        <v>1024</v>
      </c>
      <c r="AG27" s="29"/>
      <c r="AH27" s="29"/>
    </row>
    <row r="28" spans="2:34" x14ac:dyDescent="0.2">
      <c r="C28" s="29"/>
      <c r="K28" s="10"/>
      <c r="L28" s="30"/>
      <c r="N28" s="29"/>
      <c r="R28" s="10">
        <f t="shared" si="2"/>
        <v>70.3977</v>
      </c>
      <c r="AD28" s="10" t="s">
        <v>375</v>
      </c>
      <c r="AE28">
        <v>1024</v>
      </c>
      <c r="AG28" s="29"/>
      <c r="AH28" s="29"/>
    </row>
    <row r="29" spans="2:34" x14ac:dyDescent="0.2">
      <c r="R29" s="10">
        <f t="shared" si="2"/>
        <v>70.3977</v>
      </c>
      <c r="AD29" s="10" t="s">
        <v>375</v>
      </c>
      <c r="AE29">
        <v>1024</v>
      </c>
      <c r="AG29" s="29"/>
      <c r="AH29" s="29"/>
    </row>
    <row r="30" spans="2:34" x14ac:dyDescent="0.2">
      <c r="R30" s="10">
        <f t="shared" si="2"/>
        <v>70.3977</v>
      </c>
      <c r="AD30" s="10" t="s">
        <v>375</v>
      </c>
      <c r="AE30">
        <v>1024</v>
      </c>
      <c r="AG30" s="29"/>
      <c r="AH30" s="29"/>
    </row>
    <row r="31" spans="2:34" x14ac:dyDescent="0.2">
      <c r="R31" s="10">
        <f t="shared" si="2"/>
        <v>70.3977</v>
      </c>
      <c r="AG31" s="29"/>
      <c r="AH31" s="29"/>
    </row>
    <row r="32" spans="2:34" x14ac:dyDescent="0.2">
      <c r="C32" s="29"/>
      <c r="K32" s="10"/>
      <c r="L32" s="30"/>
      <c r="N32" s="29"/>
      <c r="AG32" s="29"/>
      <c r="AH32" s="29"/>
    </row>
    <row r="33" spans="3:34" x14ac:dyDescent="0.2">
      <c r="AG33" s="29"/>
      <c r="AH33" s="29"/>
    </row>
    <row r="34" spans="3:34" x14ac:dyDescent="0.2">
      <c r="AG34" s="29"/>
      <c r="AH34" s="29"/>
    </row>
    <row r="35" spans="3:34" x14ac:dyDescent="0.2">
      <c r="AG35" s="29"/>
      <c r="AH35" s="29"/>
    </row>
    <row r="36" spans="3:34" x14ac:dyDescent="0.2">
      <c r="C36" s="29"/>
      <c r="K36" s="10"/>
      <c r="L36" s="30"/>
      <c r="N36" s="29"/>
      <c r="AG36" s="29"/>
      <c r="AH36" s="29"/>
    </row>
    <row r="37" spans="3:34" x14ac:dyDescent="0.2">
      <c r="AG37" s="29"/>
      <c r="AH37" s="29"/>
    </row>
    <row r="38" spans="3:34" x14ac:dyDescent="0.2">
      <c r="AG38" s="29"/>
      <c r="AH38" s="29"/>
    </row>
    <row r="39" spans="3:34" x14ac:dyDescent="0.2">
      <c r="AG39" s="29"/>
      <c r="AH39" s="29"/>
    </row>
    <row r="40" spans="3:34" x14ac:dyDescent="0.2">
      <c r="C40" s="29"/>
      <c r="K40" s="10"/>
      <c r="L40" s="30"/>
      <c r="N40" s="29"/>
      <c r="AG40" s="29"/>
      <c r="AH40" s="29"/>
    </row>
    <row r="41" spans="3:34" x14ac:dyDescent="0.2">
      <c r="AG41" s="29"/>
      <c r="AH41" s="29"/>
    </row>
    <row r="42" spans="3:34" x14ac:dyDescent="0.2">
      <c r="AG42" s="29"/>
      <c r="AH42" s="29"/>
    </row>
    <row r="43" spans="3:34" x14ac:dyDescent="0.2">
      <c r="AG43" s="29"/>
      <c r="AH43" s="29"/>
    </row>
    <row r="44" spans="3:34" x14ac:dyDescent="0.2">
      <c r="C44" s="29"/>
      <c r="K44" s="10"/>
      <c r="L44" s="30"/>
      <c r="N44" s="29"/>
      <c r="AG44" s="29"/>
      <c r="AH44" s="29"/>
    </row>
    <row r="45" spans="3:34" x14ac:dyDescent="0.2">
      <c r="AG45" s="29"/>
      <c r="AH45" s="29"/>
    </row>
    <row r="46" spans="3:34" x14ac:dyDescent="0.2">
      <c r="AG46" s="29"/>
      <c r="AH46" s="29"/>
    </row>
    <row r="47" spans="3:34" x14ac:dyDescent="0.2">
      <c r="AG47" s="29"/>
      <c r="AH47" s="29"/>
    </row>
    <row r="48" spans="3:34" x14ac:dyDescent="0.2">
      <c r="C48" s="29"/>
      <c r="K48" s="10"/>
      <c r="L48" s="30"/>
      <c r="N48" s="29"/>
      <c r="AG48" s="29"/>
      <c r="AH48" s="29"/>
    </row>
    <row r="52" spans="3:14" x14ac:dyDescent="0.2">
      <c r="C52" s="29"/>
      <c r="K52" s="10"/>
      <c r="L52" s="30"/>
      <c r="N52" s="29"/>
    </row>
    <row r="56" spans="3:14" x14ac:dyDescent="0.2">
      <c r="C56" s="29"/>
      <c r="K56" s="10"/>
      <c r="L56" s="30"/>
      <c r="N56" s="29"/>
    </row>
    <row r="60" spans="3:14" x14ac:dyDescent="0.2">
      <c r="C60" s="29"/>
      <c r="K60" s="10"/>
      <c r="L60" s="30"/>
      <c r="N60" s="29"/>
    </row>
    <row r="64" spans="3:14" x14ac:dyDescent="0.2">
      <c r="C64" s="29"/>
      <c r="K64" s="10"/>
      <c r="L64" s="30"/>
      <c r="N64" s="29"/>
    </row>
    <row r="68" spans="3:14" x14ac:dyDescent="0.2">
      <c r="C68" s="29"/>
      <c r="K68" s="10"/>
      <c r="L68" s="30"/>
      <c r="N68" s="29"/>
    </row>
    <row r="72" spans="3:14" x14ac:dyDescent="0.2">
      <c r="C72" s="29"/>
      <c r="K72" s="10"/>
      <c r="L72" s="30"/>
      <c r="N72" s="29"/>
    </row>
    <row r="76" spans="3:14" x14ac:dyDescent="0.2">
      <c r="C76" s="29"/>
      <c r="K76" s="10"/>
      <c r="L76" s="30"/>
      <c r="N76" s="29"/>
    </row>
    <row r="80" spans="3:14" x14ac:dyDescent="0.2">
      <c r="C80" s="29"/>
      <c r="K80" s="10"/>
      <c r="L80" s="30"/>
      <c r="N80" s="29"/>
    </row>
    <row r="84" spans="3:14" x14ac:dyDescent="0.2">
      <c r="C84" s="29"/>
      <c r="K84" s="10"/>
      <c r="L84" s="30"/>
      <c r="N84" s="29"/>
    </row>
    <row r="85" spans="3:14" x14ac:dyDescent="0.2">
      <c r="C85" s="113"/>
    </row>
    <row r="88" spans="3:14" x14ac:dyDescent="0.2">
      <c r="C88" s="29"/>
      <c r="K88" s="10"/>
      <c r="L88" s="30"/>
      <c r="N88" s="29"/>
    </row>
    <row r="89" spans="3:14" x14ac:dyDescent="0.2">
      <c r="C89" s="113"/>
    </row>
    <row r="92" spans="3:14" x14ac:dyDescent="0.2">
      <c r="C92" s="29"/>
      <c r="K92" s="10"/>
      <c r="L92" s="30"/>
      <c r="N92" s="29"/>
    </row>
    <row r="93" spans="3:14" x14ac:dyDescent="0.2">
      <c r="C93" s="113"/>
    </row>
    <row r="96" spans="3:14" x14ac:dyDescent="0.2">
      <c r="C96" s="29"/>
      <c r="K96" s="10"/>
      <c r="L96" s="30"/>
      <c r="N96" s="29"/>
    </row>
    <row r="97" spans="3:14" x14ac:dyDescent="0.2">
      <c r="C97" s="113"/>
    </row>
    <row r="100" spans="3:14" x14ac:dyDescent="0.2">
      <c r="C100" s="29"/>
      <c r="K100" s="10"/>
      <c r="L100" s="30"/>
      <c r="N100" s="29"/>
    </row>
    <row r="104" spans="3:14" x14ac:dyDescent="0.2">
      <c r="C104" s="29"/>
      <c r="K104" s="10"/>
      <c r="L104" s="30"/>
      <c r="N104" s="29"/>
    </row>
    <row r="108" spans="3:14" x14ac:dyDescent="0.2">
      <c r="C108" s="29"/>
      <c r="K108" s="10"/>
      <c r="L108" s="30"/>
      <c r="N108" s="29"/>
    </row>
    <row r="112" spans="3:14" x14ac:dyDescent="0.2">
      <c r="C112" s="29"/>
      <c r="K112" s="10"/>
      <c r="L112" s="30"/>
      <c r="N112" s="29"/>
    </row>
    <row r="116" spans="3:14" x14ac:dyDescent="0.2">
      <c r="C116" s="29"/>
      <c r="K116" s="10"/>
      <c r="L116" s="30"/>
      <c r="N116" s="29"/>
    </row>
    <row r="120" spans="3:14" x14ac:dyDescent="0.2">
      <c r="C120" s="29"/>
      <c r="K120" s="10"/>
      <c r="L120" s="30"/>
      <c r="N120" s="29"/>
    </row>
    <row r="124" spans="3:14" x14ac:dyDescent="0.2">
      <c r="C124" s="29"/>
      <c r="K124" s="10"/>
      <c r="L124" s="30"/>
      <c r="N124" s="29"/>
    </row>
    <row r="128" spans="3:14" x14ac:dyDescent="0.2">
      <c r="C128" s="29"/>
      <c r="K128" s="10"/>
      <c r="L128" s="30"/>
      <c r="N128" s="29"/>
    </row>
    <row r="132" spans="3:14" x14ac:dyDescent="0.2">
      <c r="C132" s="29"/>
      <c r="K132" s="10"/>
      <c r="L132" s="30"/>
      <c r="N132" s="29"/>
    </row>
    <row r="136" spans="3:14" x14ac:dyDescent="0.2">
      <c r="C136" s="29"/>
      <c r="K136" s="10"/>
      <c r="L136" s="30"/>
      <c r="N136" s="29"/>
    </row>
    <row r="140" spans="3:14" x14ac:dyDescent="0.2">
      <c r="C140" s="29"/>
      <c r="K140" s="10"/>
      <c r="L140" s="30"/>
      <c r="N140" s="29"/>
    </row>
    <row r="144" spans="3:14" x14ac:dyDescent="0.2">
      <c r="C144" s="29"/>
      <c r="K144" s="10"/>
      <c r="L144" s="30"/>
      <c r="N144" s="29"/>
    </row>
    <row r="148" spans="3:14" x14ac:dyDescent="0.2">
      <c r="C148" s="29"/>
      <c r="K148" s="10"/>
      <c r="L148" s="30"/>
      <c r="N148" s="29"/>
    </row>
    <row r="152" spans="3:14" x14ac:dyDescent="0.2">
      <c r="C152" s="29"/>
      <c r="K152" s="10"/>
      <c r="L152" s="30"/>
      <c r="N152" s="29"/>
    </row>
  </sheetData>
  <mergeCells count="2">
    <mergeCell ref="A1:C1"/>
    <mergeCell ref="D1:S1"/>
  </mergeCells>
  <pageMargins left="0.75" right="0.75" top="1" bottom="1" header="0.5" footer="0.5"/>
  <pageSetup paperSize="9" orientation="portrait" useFirstPageNumber="1" horizontalDpi="0" verticalDpi="0"/>
  <headerFooter>
    <oddHeader>&amp;C&amp;"Times New Roman,Regular"&amp;12&amp;K000000&amp;A</oddHeader>
    <oddFooter>&amp;C&amp;"Times New Roman,Regular"&amp;12&amp;K000000Page &amp;P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34"/>
  <sheetViews>
    <sheetView zoomScale="116" zoomScaleNormal="116" zoomScalePageLayoutView="116" workbookViewId="0">
      <selection activeCell="E24" sqref="E24"/>
    </sheetView>
  </sheetViews>
  <sheetFormatPr baseColWidth="10" defaultColWidth="11.5" defaultRowHeight="15" x14ac:dyDescent="0.2"/>
  <cols>
    <col min="1" max="4" width="13.6640625" style="10" customWidth="1"/>
    <col min="5" max="5" width="25.6640625" style="29" customWidth="1"/>
    <col min="6" max="6" width="25.6640625" style="10" customWidth="1"/>
    <col min="7" max="9" width="13.6640625" style="10" customWidth="1"/>
    <col min="10" max="10" width="21.1640625" style="10" customWidth="1"/>
    <col min="11" max="16" width="13.6640625" style="10" customWidth="1"/>
    <col min="17" max="1025" width="13.6640625" customWidth="1"/>
  </cols>
  <sheetData>
    <row r="1" spans="1:16" ht="13" customHeight="1" x14ac:dyDescent="0.2">
      <c r="A1" s="10" t="s">
        <v>341</v>
      </c>
      <c r="B1" s="43" t="s">
        <v>342</v>
      </c>
      <c r="C1" s="43" t="s">
        <v>343</v>
      </c>
      <c r="D1" s="43" t="s">
        <v>344</v>
      </c>
      <c r="E1" s="108" t="s">
        <v>345</v>
      </c>
      <c r="F1" s="10" t="s">
        <v>346</v>
      </c>
      <c r="G1" s="43" t="s">
        <v>347</v>
      </c>
      <c r="H1" s="43" t="s">
        <v>25</v>
      </c>
      <c r="I1" s="43" t="s">
        <v>348</v>
      </c>
      <c r="J1" s="109" t="s">
        <v>724</v>
      </c>
      <c r="P1" s="32" t="s">
        <v>333</v>
      </c>
    </row>
    <row r="2" spans="1:16" ht="13" customHeight="1" x14ac:dyDescent="0.2">
      <c r="A2" s="44">
        <f>'crmcfgWLEN.txt'!AA7</f>
        <v>1029.3104234942298</v>
      </c>
      <c r="B2" s="45" t="s">
        <v>349</v>
      </c>
      <c r="C2" s="43" t="s">
        <v>350</v>
      </c>
      <c r="D2" s="43" t="s">
        <v>351</v>
      </c>
      <c r="E2" s="108">
        <f>EchelleFPAparam!$R3+(EchelleFPAparam!$Q$3*J2)</f>
        <v>65.55765000000001</v>
      </c>
      <c r="F2" s="30">
        <f>E2*$P$2/180</f>
        <v>1.1441968592730833</v>
      </c>
      <c r="G2" s="43">
        <v>51</v>
      </c>
      <c r="H2" s="43">
        <v>55</v>
      </c>
      <c r="I2" s="43">
        <v>59</v>
      </c>
      <c r="J2" s="109">
        <v>510000</v>
      </c>
      <c r="P2" s="41">
        <v>3.1415926999999999</v>
      </c>
    </row>
    <row r="3" spans="1:16" ht="13" customHeight="1" x14ac:dyDescent="0.2">
      <c r="A3" s="44">
        <f>'crmcfgWLEN.txt'!AA8</f>
        <v>1027.6321761507729</v>
      </c>
      <c r="B3" s="45" t="s">
        <v>352</v>
      </c>
      <c r="C3" s="43" t="s">
        <v>350</v>
      </c>
      <c r="D3" s="43" t="s">
        <v>351</v>
      </c>
      <c r="E3" s="108">
        <f>EchelleFPAparam!$R4+(EchelleFPAparam!$Q$3*J3)</f>
        <v>65.367150000000009</v>
      </c>
      <c r="F3" s="30">
        <f t="shared" ref="F3:F30" si="0">E3*$P$2/180</f>
        <v>1.1408720069989167</v>
      </c>
      <c r="G3" s="43">
        <f>G2</f>
        <v>51</v>
      </c>
      <c r="H3" s="43">
        <f>H2</f>
        <v>55</v>
      </c>
      <c r="I3" s="43">
        <f>I2</f>
        <v>59</v>
      </c>
      <c r="J3" s="109">
        <v>530000</v>
      </c>
    </row>
    <row r="4" spans="1:16" ht="13" customHeight="1" x14ac:dyDescent="0.2">
      <c r="A4" s="44">
        <f>'crmcfgWLEN.txt'!AA9</f>
        <v>1232.4899889904257</v>
      </c>
      <c r="B4" s="45" t="s">
        <v>815</v>
      </c>
      <c r="C4" s="43" t="s">
        <v>353</v>
      </c>
      <c r="D4" s="43" t="s">
        <v>351</v>
      </c>
      <c r="E4" s="108">
        <f>EchelleFPAparam!$R5+(EchelleFPAparam!$Q$3*J4)</f>
        <v>65.728950000000012</v>
      </c>
      <c r="F4" s="30">
        <f t="shared" si="0"/>
        <v>1.1471866083259168</v>
      </c>
      <c r="G4" s="43">
        <v>42</v>
      </c>
      <c r="H4" s="43">
        <v>46</v>
      </c>
      <c r="I4" s="43">
        <v>50</v>
      </c>
      <c r="J4" s="109">
        <v>490000</v>
      </c>
    </row>
    <row r="5" spans="1:16" ht="13" customHeight="1" x14ac:dyDescent="0.2">
      <c r="A5" s="44">
        <f>'crmcfgWLEN.txt'!AA10</f>
        <v>1228.4876515479609</v>
      </c>
      <c r="B5" s="45" t="s">
        <v>816</v>
      </c>
      <c r="C5" s="43" t="s">
        <v>353</v>
      </c>
      <c r="D5" s="43" t="s">
        <v>351</v>
      </c>
      <c r="E5" s="108">
        <f>EchelleFPAparam!$R6+(EchelleFPAparam!$Q$3*J5)</f>
        <v>65.347950000000012</v>
      </c>
      <c r="F5" s="30">
        <f t="shared" si="0"/>
        <v>1.1405369037775834</v>
      </c>
      <c r="G5" s="43">
        <f>G4</f>
        <v>42</v>
      </c>
      <c r="H5" s="43">
        <f>H4</f>
        <v>46</v>
      </c>
      <c r="I5" s="43">
        <f>I4</f>
        <v>50</v>
      </c>
      <c r="J5" s="109">
        <v>530000</v>
      </c>
    </row>
    <row r="6" spans="1:16" ht="13" customHeight="1" x14ac:dyDescent="0.2">
      <c r="A6" s="44">
        <f>'crmcfgWLEN.txt'!AA11</f>
        <v>1226.4661010088366</v>
      </c>
      <c r="B6" s="45" t="s">
        <v>817</v>
      </c>
      <c r="C6" s="43" t="s">
        <v>353</v>
      </c>
      <c r="D6" s="43" t="s">
        <v>351</v>
      </c>
      <c r="E6" s="108">
        <f>EchelleFPAparam!$R7+(EchelleFPAparam!$Q$3*J6)</f>
        <v>65.157450000000011</v>
      </c>
      <c r="F6" s="30">
        <f t="shared" si="0"/>
        <v>1.137212051503417</v>
      </c>
      <c r="G6" s="43">
        <v>42</v>
      </c>
      <c r="H6" s="43">
        <v>46</v>
      </c>
      <c r="I6" s="43">
        <v>50</v>
      </c>
      <c r="J6" s="109">
        <v>550000</v>
      </c>
    </row>
    <row r="7" spans="1:16" ht="13" customHeight="1" x14ac:dyDescent="0.2">
      <c r="A7" s="44">
        <f>'crmcfgWLEN.txt'!AA12</f>
        <v>1582.3392072879956</v>
      </c>
      <c r="B7" s="45" t="s">
        <v>354</v>
      </c>
      <c r="C7" s="43" t="s">
        <v>355</v>
      </c>
      <c r="D7" s="43" t="s">
        <v>356</v>
      </c>
      <c r="E7" s="108">
        <f>EchelleFPAparam!$R8+(EchelleFPAparam!$Q$3*J7)</f>
        <v>66.29665</v>
      </c>
      <c r="F7" s="30">
        <f t="shared" si="0"/>
        <v>1.1570948426358609</v>
      </c>
      <c r="G7" s="43">
        <v>32</v>
      </c>
      <c r="H7" s="43">
        <v>36</v>
      </c>
      <c r="I7" s="43">
        <v>39</v>
      </c>
      <c r="J7" s="109">
        <v>430000</v>
      </c>
    </row>
    <row r="8" spans="1:16" ht="13" customHeight="1" x14ac:dyDescent="0.2">
      <c r="A8" s="44">
        <f>'crmcfgWLEN.txt'!AA13</f>
        <v>1574.7976559510153</v>
      </c>
      <c r="B8" s="45" t="s">
        <v>357</v>
      </c>
      <c r="C8" s="43" t="s">
        <v>355</v>
      </c>
      <c r="D8" s="43" t="s">
        <v>356</v>
      </c>
      <c r="E8" s="108">
        <f>EchelleFPAparam!$R9+(EchelleFPAparam!$Q$3*J8)</f>
        <v>65.725149999999999</v>
      </c>
      <c r="F8" s="30">
        <f t="shared" si="0"/>
        <v>1.1471202858133611</v>
      </c>
      <c r="G8" s="43">
        <f t="shared" ref="G8:I10" si="1">G7</f>
        <v>32</v>
      </c>
      <c r="H8" s="43">
        <f t="shared" si="1"/>
        <v>36</v>
      </c>
      <c r="I8" s="43">
        <f t="shared" si="1"/>
        <v>39</v>
      </c>
      <c r="J8" s="109">
        <v>490000</v>
      </c>
    </row>
    <row r="9" spans="1:16" ht="13" customHeight="1" x14ac:dyDescent="0.2">
      <c r="A9" s="44">
        <f>'crmcfgWLEN.txt'!AA14</f>
        <v>1567.0994264851336</v>
      </c>
      <c r="B9" s="45" t="s">
        <v>358</v>
      </c>
      <c r="C9" s="43" t="s">
        <v>355</v>
      </c>
      <c r="D9" s="43" t="s">
        <v>356</v>
      </c>
      <c r="E9" s="108">
        <f>EchelleFPAparam!$R10+(EchelleFPAparam!$Q$3*J9)</f>
        <v>65.153649999999999</v>
      </c>
      <c r="F9" s="30">
        <f t="shared" si="0"/>
        <v>1.1371457289908611</v>
      </c>
      <c r="G9" s="43">
        <f t="shared" si="1"/>
        <v>32</v>
      </c>
      <c r="H9" s="43">
        <f t="shared" si="1"/>
        <v>36</v>
      </c>
      <c r="I9" s="43">
        <f t="shared" si="1"/>
        <v>39</v>
      </c>
      <c r="J9" s="109">
        <v>550000</v>
      </c>
    </row>
    <row r="10" spans="1:16" ht="13" customHeight="1" x14ac:dyDescent="0.2">
      <c r="A10" s="44">
        <f>'crmcfgWLEN.txt'!AA15</f>
        <v>1559.2452847945824</v>
      </c>
      <c r="B10" s="45" t="s">
        <v>359</v>
      </c>
      <c r="C10" s="43" t="s">
        <v>355</v>
      </c>
      <c r="D10" s="43" t="s">
        <v>356</v>
      </c>
      <c r="E10" s="108">
        <f>EchelleFPAparam!$R11+(EchelleFPAparam!$Q$3*J10)</f>
        <v>64.582149999999999</v>
      </c>
      <c r="F10" s="30">
        <f t="shared" si="0"/>
        <v>1.127171172168361</v>
      </c>
      <c r="G10" s="43">
        <f t="shared" si="1"/>
        <v>32</v>
      </c>
      <c r="H10" s="43">
        <f t="shared" si="1"/>
        <v>36</v>
      </c>
      <c r="I10" s="43">
        <f t="shared" si="1"/>
        <v>39</v>
      </c>
      <c r="J10" s="109">
        <v>610000</v>
      </c>
    </row>
    <row r="11" spans="1:16" ht="13" customHeight="1" x14ac:dyDescent="0.2">
      <c r="A11" s="44">
        <f>'crmcfgWLEN.txt'!AA16</f>
        <v>2200.9571121033268</v>
      </c>
      <c r="B11" s="45" t="s">
        <v>360</v>
      </c>
      <c r="C11" s="43" t="s">
        <v>361</v>
      </c>
      <c r="D11" s="43" t="s">
        <v>356</v>
      </c>
      <c r="E11" s="108">
        <f>EchelleFPAparam!$R12+(EchelleFPAparam!$Q$3*J11)</f>
        <v>66.856950000000012</v>
      </c>
      <c r="F11" s="30">
        <f t="shared" si="0"/>
        <v>1.1668739225792502</v>
      </c>
      <c r="G11" s="43">
        <v>23</v>
      </c>
      <c r="H11" s="43">
        <v>26</v>
      </c>
      <c r="I11" s="43">
        <v>29</v>
      </c>
      <c r="J11" s="109">
        <v>370000</v>
      </c>
    </row>
    <row r="12" spans="1:16" ht="13" customHeight="1" x14ac:dyDescent="0.2">
      <c r="A12" s="44">
        <f>'crmcfgWLEN.txt'!AA17</f>
        <v>2183.7885410626845</v>
      </c>
      <c r="B12" s="45" t="s">
        <v>362</v>
      </c>
      <c r="C12" s="43" t="s">
        <v>361</v>
      </c>
      <c r="D12" s="43" t="s">
        <v>356</v>
      </c>
      <c r="E12" s="108">
        <f>EchelleFPAparam!$R13+(EchelleFPAparam!$Q$3*J12)</f>
        <v>65.904450000000011</v>
      </c>
      <c r="F12" s="30">
        <f t="shared" si="0"/>
        <v>1.1502496612084168</v>
      </c>
      <c r="G12" s="43">
        <f t="shared" ref="G12:I14" si="2">G11</f>
        <v>23</v>
      </c>
      <c r="H12" s="43">
        <f t="shared" si="2"/>
        <v>26</v>
      </c>
      <c r="I12" s="43">
        <f t="shared" si="2"/>
        <v>29</v>
      </c>
      <c r="J12" s="109">
        <v>470000</v>
      </c>
    </row>
    <row r="13" spans="1:16" ht="13" customHeight="1" x14ac:dyDescent="0.2">
      <c r="A13" s="44">
        <f>'crmcfgWLEN.txt'!AA18</f>
        <v>2166.0164588730586</v>
      </c>
      <c r="B13" s="45" t="s">
        <v>363</v>
      </c>
      <c r="C13" s="43" t="s">
        <v>361</v>
      </c>
      <c r="D13" s="43" t="s">
        <v>356</v>
      </c>
      <c r="E13" s="108">
        <f>EchelleFPAparam!$R14+(EchelleFPAparam!$Q$3*J13)</f>
        <v>64.951950000000011</v>
      </c>
      <c r="F13" s="30">
        <f t="shared" si="0"/>
        <v>1.1336253998375836</v>
      </c>
      <c r="G13" s="43">
        <f t="shared" si="2"/>
        <v>23</v>
      </c>
      <c r="H13" s="43">
        <f t="shared" si="2"/>
        <v>26</v>
      </c>
      <c r="I13" s="43">
        <f t="shared" si="2"/>
        <v>29</v>
      </c>
      <c r="J13" s="109">
        <v>570000</v>
      </c>
    </row>
    <row r="14" spans="1:16" ht="13" customHeight="1" x14ac:dyDescent="0.2">
      <c r="A14" s="44">
        <f>'crmcfgWLEN.txt'!AA19</f>
        <v>2147.6457770217726</v>
      </c>
      <c r="B14" s="45" t="s">
        <v>364</v>
      </c>
      <c r="C14" s="43" t="s">
        <v>361</v>
      </c>
      <c r="D14" s="43" t="s">
        <v>356</v>
      </c>
      <c r="E14" s="108">
        <f>EchelleFPAparam!$R15+(EchelleFPAparam!$Q$3*J14)</f>
        <v>63.99945000000001</v>
      </c>
      <c r="F14" s="30">
        <f t="shared" si="0"/>
        <v>1.1170011384667502</v>
      </c>
      <c r="G14" s="43">
        <f t="shared" si="2"/>
        <v>23</v>
      </c>
      <c r="H14" s="43">
        <f t="shared" si="2"/>
        <v>26</v>
      </c>
      <c r="I14" s="43">
        <f t="shared" si="2"/>
        <v>29</v>
      </c>
      <c r="J14" s="109">
        <v>670000</v>
      </c>
    </row>
    <row r="15" spans="1:16" ht="13" customHeight="1" x14ac:dyDescent="0.2">
      <c r="A15" s="44">
        <f>'crmcfgWLEN.txt'!AA20</f>
        <v>3425.8910424003661</v>
      </c>
      <c r="B15" s="45" t="s">
        <v>365</v>
      </c>
      <c r="C15" s="43" t="s">
        <v>366</v>
      </c>
      <c r="D15" s="43" t="s">
        <v>367</v>
      </c>
      <c r="E15" s="108">
        <f>EchelleFPAparam!$R16+(EchelleFPAparam!$Q$3*J15)</f>
        <v>69.163650000000004</v>
      </c>
      <c r="F15" s="30">
        <f t="shared" si="0"/>
        <v>1.2071334330297501</v>
      </c>
      <c r="G15" s="43">
        <v>14</v>
      </c>
      <c r="H15" s="43">
        <v>17</v>
      </c>
      <c r="I15" s="43">
        <v>20</v>
      </c>
      <c r="J15" s="109">
        <v>130000</v>
      </c>
      <c r="K15" s="100"/>
    </row>
    <row r="16" spans="1:16" ht="13" customHeight="1" x14ac:dyDescent="0.2">
      <c r="A16" s="44">
        <f>'crmcfgWLEN.txt'!AA21</f>
        <v>3411.6084651258498</v>
      </c>
      <c r="B16" s="45" t="s">
        <v>368</v>
      </c>
      <c r="C16" s="43" t="s">
        <v>366</v>
      </c>
      <c r="D16" s="43" t="s">
        <v>367</v>
      </c>
      <c r="E16" s="108">
        <f>EchelleFPAparam!$R17+(EchelleFPAparam!$Q$3*J16)</f>
        <v>68.592150000000004</v>
      </c>
      <c r="F16" s="30">
        <f t="shared" si="0"/>
        <v>1.19715887620725</v>
      </c>
      <c r="G16" s="43">
        <f t="shared" ref="G16:I21" si="3">G15</f>
        <v>14</v>
      </c>
      <c r="H16" s="43">
        <f t="shared" si="3"/>
        <v>17</v>
      </c>
      <c r="I16" s="43">
        <f t="shared" si="3"/>
        <v>20</v>
      </c>
      <c r="J16" s="109">
        <v>190000</v>
      </c>
    </row>
    <row r="17" spans="1:11" ht="13" customHeight="1" x14ac:dyDescent="0.2">
      <c r="A17" s="44">
        <f>'crmcfgWLEN.txt'!AA22</f>
        <v>3376.9649877350294</v>
      </c>
      <c r="B17" s="45" t="s">
        <v>369</v>
      </c>
      <c r="C17" s="43" t="s">
        <v>366</v>
      </c>
      <c r="D17" s="43" t="s">
        <v>367</v>
      </c>
      <c r="E17" s="108">
        <f>EchelleFPAparam!$R18+(EchelleFPAparam!$Q$3*J17)</f>
        <v>67.258650000000003</v>
      </c>
      <c r="F17" s="30">
        <f t="shared" si="0"/>
        <v>1.1738849102880833</v>
      </c>
      <c r="G17" s="43">
        <f t="shared" si="3"/>
        <v>14</v>
      </c>
      <c r="H17" s="43">
        <f t="shared" si="3"/>
        <v>17</v>
      </c>
      <c r="I17" s="43">
        <f t="shared" si="3"/>
        <v>20</v>
      </c>
      <c r="J17" s="109">
        <v>330000</v>
      </c>
    </row>
    <row r="18" spans="1:11" ht="13" customHeight="1" x14ac:dyDescent="0.2">
      <c r="A18" s="44">
        <f>'crmcfgWLEN.txt'!AA23</f>
        <v>3340.4923669965474</v>
      </c>
      <c r="B18" s="45" t="s">
        <v>370</v>
      </c>
      <c r="C18" s="43" t="s">
        <v>366</v>
      </c>
      <c r="D18" s="43" t="s">
        <v>367</v>
      </c>
      <c r="E18" s="108">
        <f>EchelleFPAparam!$R19+(EchelleFPAparam!$Q$3*J18)</f>
        <v>65.925150000000002</v>
      </c>
      <c r="F18" s="30">
        <f t="shared" si="0"/>
        <v>1.1506109443689165</v>
      </c>
      <c r="G18" s="43">
        <f t="shared" si="3"/>
        <v>14</v>
      </c>
      <c r="H18" s="43">
        <f t="shared" si="3"/>
        <v>17</v>
      </c>
      <c r="I18" s="43">
        <f t="shared" si="3"/>
        <v>20</v>
      </c>
      <c r="J18" s="109">
        <v>470000</v>
      </c>
    </row>
    <row r="19" spans="1:11" ht="13" customHeight="1" x14ac:dyDescent="0.2">
      <c r="A19" s="44">
        <f>'crmcfgWLEN.txt'!AA24</f>
        <v>3302.2103584162628</v>
      </c>
      <c r="B19" s="45" t="s">
        <v>371</v>
      </c>
      <c r="C19" s="43" t="s">
        <v>366</v>
      </c>
      <c r="D19" s="43" t="s">
        <v>367</v>
      </c>
      <c r="E19" s="108">
        <f>EchelleFPAparam!$R20+(EchelleFPAparam!$Q$3*J19)</f>
        <v>64.591650000000001</v>
      </c>
      <c r="F19" s="30">
        <f t="shared" si="0"/>
        <v>1.12733697844975</v>
      </c>
      <c r="G19" s="43">
        <f t="shared" si="3"/>
        <v>14</v>
      </c>
      <c r="H19" s="43">
        <f t="shared" si="3"/>
        <v>17</v>
      </c>
      <c r="I19" s="43">
        <f t="shared" si="3"/>
        <v>20</v>
      </c>
      <c r="J19" s="109">
        <v>610000</v>
      </c>
    </row>
    <row r="20" spans="1:11" ht="13" customHeight="1" x14ac:dyDescent="0.2">
      <c r="A20" s="44">
        <f>'crmcfgWLEN.txt'!AA25</f>
        <v>3262.1396975604544</v>
      </c>
      <c r="B20" s="45" t="s">
        <v>372</v>
      </c>
      <c r="C20" s="43" t="s">
        <v>366</v>
      </c>
      <c r="D20" s="43" t="s">
        <v>367</v>
      </c>
      <c r="E20" s="108">
        <f>EchelleFPAparam!$R21+(EchelleFPAparam!$Q$3*J20)</f>
        <v>63.258150000000001</v>
      </c>
      <c r="F20" s="30">
        <f t="shared" si="0"/>
        <v>1.1040630125305833</v>
      </c>
      <c r="G20" s="43">
        <f t="shared" si="3"/>
        <v>14</v>
      </c>
      <c r="H20" s="43">
        <f t="shared" si="3"/>
        <v>17</v>
      </c>
      <c r="I20" s="43">
        <f t="shared" si="3"/>
        <v>20</v>
      </c>
      <c r="J20" s="109">
        <v>750000</v>
      </c>
    </row>
    <row r="21" spans="1:11" ht="13" customHeight="1" x14ac:dyDescent="0.2">
      <c r="A21" s="44">
        <f>'crmcfgWLEN.txt'!AA26</f>
        <v>3244.4243552026169</v>
      </c>
      <c r="B21" s="45" t="s">
        <v>373</v>
      </c>
      <c r="C21" s="43" t="s">
        <v>366</v>
      </c>
      <c r="D21" s="43" t="s">
        <v>367</v>
      </c>
      <c r="E21" s="108">
        <f>EchelleFPAparam!$R22+(EchelleFPAparam!$Q$3*J21)</f>
        <v>62.68665</v>
      </c>
      <c r="F21" s="30">
        <f t="shared" si="0"/>
        <v>1.0940884557080834</v>
      </c>
      <c r="G21" s="43">
        <f t="shared" si="3"/>
        <v>14</v>
      </c>
      <c r="H21" s="43">
        <f t="shared" si="3"/>
        <v>17</v>
      </c>
      <c r="I21" s="43">
        <f t="shared" si="3"/>
        <v>20</v>
      </c>
      <c r="J21" s="109">
        <v>810000</v>
      </c>
    </row>
    <row r="22" spans="1:11" ht="13" customHeight="1" x14ac:dyDescent="0.2">
      <c r="A22" s="44">
        <f>'crmcfgWLEN.txt'!AA27</f>
        <v>4518.5271410255909</v>
      </c>
      <c r="B22" s="45" t="s">
        <v>374</v>
      </c>
      <c r="C22" s="43" t="s">
        <v>375</v>
      </c>
      <c r="D22" s="43" t="s">
        <v>367</v>
      </c>
      <c r="E22" s="108">
        <f>EchelleFPAparam!$R23+(EchelleFPAparam!$Q$3*J22)</f>
        <v>70.388175000000004</v>
      </c>
      <c r="F22" s="30">
        <f t="shared" si="0"/>
        <v>1.2285054263684585</v>
      </c>
      <c r="G22" s="43">
        <v>10</v>
      </c>
      <c r="H22" s="43">
        <v>13</v>
      </c>
      <c r="I22" s="43">
        <v>16</v>
      </c>
      <c r="J22" s="109">
        <v>1000</v>
      </c>
      <c r="K22" s="100"/>
    </row>
    <row r="23" spans="1:11" ht="13" customHeight="1" x14ac:dyDescent="0.2">
      <c r="A23" s="44">
        <f>'crmcfgWLEN.txt'!AA28</f>
        <v>4504.0894029035544</v>
      </c>
      <c r="B23" s="45" t="s">
        <v>376</v>
      </c>
      <c r="C23" s="43" t="s">
        <v>375</v>
      </c>
      <c r="D23" s="43" t="s">
        <v>367</v>
      </c>
      <c r="E23" s="108">
        <f>EchelleFPAparam!$R24+(EchelleFPAparam!$Q$3*J23)</f>
        <v>69.921450000000007</v>
      </c>
      <c r="F23" s="30">
        <f t="shared" si="0"/>
        <v>1.22035953829675</v>
      </c>
      <c r="G23" s="43">
        <f t="shared" ref="G23:I30" si="4">G22</f>
        <v>10</v>
      </c>
      <c r="H23" s="43">
        <f t="shared" si="4"/>
        <v>13</v>
      </c>
      <c r="I23" s="43">
        <f t="shared" si="4"/>
        <v>16</v>
      </c>
      <c r="J23" s="109">
        <v>50000</v>
      </c>
      <c r="K23" s="100"/>
    </row>
    <row r="24" spans="1:11" ht="13" customHeight="1" x14ac:dyDescent="0.2">
      <c r="A24" s="44">
        <f>'crmcfgWLEN.txt'!AA29</f>
        <v>4461.1952410399117</v>
      </c>
      <c r="B24" s="45" t="s">
        <v>377</v>
      </c>
      <c r="C24" s="43" t="s">
        <v>375</v>
      </c>
      <c r="D24" s="43" t="s">
        <v>367</v>
      </c>
      <c r="E24" s="108">
        <f>EchelleFPAparam!$R25+(EchelleFPAparam!$Q$3*J24)</f>
        <v>68.587950000000006</v>
      </c>
      <c r="F24" s="30">
        <f>E24*$P$2/180</f>
        <v>1.1970855723775833</v>
      </c>
      <c r="G24" s="43">
        <f t="shared" si="4"/>
        <v>10</v>
      </c>
      <c r="H24" s="43">
        <f t="shared" si="4"/>
        <v>13</v>
      </c>
      <c r="I24" s="43">
        <f t="shared" si="4"/>
        <v>16</v>
      </c>
      <c r="J24" s="109">
        <v>190000</v>
      </c>
    </row>
    <row r="25" spans="1:11" ht="13" customHeight="1" x14ac:dyDescent="0.2">
      <c r="A25" s="44">
        <f>'crmcfgWLEN.txt'!AA30</f>
        <v>4415.884659217103</v>
      </c>
      <c r="B25" s="45" t="s">
        <v>378</v>
      </c>
      <c r="C25" s="43" t="s">
        <v>375</v>
      </c>
      <c r="D25" s="43" t="s">
        <v>367</v>
      </c>
      <c r="E25" s="108">
        <f>EchelleFPAparam!$R26+(EchelleFPAparam!$Q$3*J25)</f>
        <v>67.254450000000006</v>
      </c>
      <c r="F25" s="30">
        <f t="shared" si="0"/>
        <v>1.1738116064584168</v>
      </c>
      <c r="G25" s="43">
        <f t="shared" si="4"/>
        <v>10</v>
      </c>
      <c r="H25" s="43">
        <f t="shared" si="4"/>
        <v>13</v>
      </c>
      <c r="I25" s="43">
        <f t="shared" si="4"/>
        <v>16</v>
      </c>
      <c r="J25" s="109">
        <v>330000</v>
      </c>
    </row>
    <row r="26" spans="1:11" ht="13" customHeight="1" x14ac:dyDescent="0.2">
      <c r="A26" s="44">
        <f>'crmcfgWLEN.txt'!AA31</f>
        <v>4368.1822000494658</v>
      </c>
      <c r="B26" s="45" t="s">
        <v>379</v>
      </c>
      <c r="C26" s="43" t="s">
        <v>375</v>
      </c>
      <c r="D26" s="43" t="s">
        <v>367</v>
      </c>
      <c r="E26" s="108">
        <f>EchelleFPAparam!$R27+(EchelleFPAparam!$Q$3*J26)</f>
        <v>65.920950000000005</v>
      </c>
      <c r="F26" s="30">
        <f t="shared" si="0"/>
        <v>1.1505376405392502</v>
      </c>
      <c r="G26" s="43">
        <f t="shared" si="4"/>
        <v>10</v>
      </c>
      <c r="H26" s="43">
        <f t="shared" si="4"/>
        <v>13</v>
      </c>
      <c r="I26" s="43">
        <f t="shared" si="4"/>
        <v>16</v>
      </c>
      <c r="J26" s="109">
        <v>470000</v>
      </c>
    </row>
    <row r="27" spans="1:11" ht="13" customHeight="1" x14ac:dyDescent="0.2">
      <c r="A27" s="44">
        <f>'crmcfgWLEN.txt'!AA32</f>
        <v>4318.1137017189667</v>
      </c>
      <c r="B27" s="45" t="s">
        <v>380</v>
      </c>
      <c r="C27" s="43" t="s">
        <v>375</v>
      </c>
      <c r="D27" s="43" t="s">
        <v>367</v>
      </c>
      <c r="E27" s="108">
        <f>EchelleFPAparam!$R28+(EchelleFPAparam!$Q$3*J27)</f>
        <v>64.587450000000004</v>
      </c>
      <c r="F27" s="30">
        <f t="shared" si="0"/>
        <v>1.1272636746200835</v>
      </c>
      <c r="G27" s="43">
        <f t="shared" si="4"/>
        <v>10</v>
      </c>
      <c r="H27" s="43">
        <f t="shared" si="4"/>
        <v>13</v>
      </c>
      <c r="I27" s="43">
        <f t="shared" si="4"/>
        <v>16</v>
      </c>
      <c r="J27" s="109">
        <v>610000</v>
      </c>
    </row>
    <row r="28" spans="1:11" ht="13" customHeight="1" x14ac:dyDescent="0.2">
      <c r="A28" s="44">
        <f>'crmcfgWLEN.txt'!AA33</f>
        <v>4265.7062839798773</v>
      </c>
      <c r="B28" s="45" t="s">
        <v>381</v>
      </c>
      <c r="C28" s="43" t="s">
        <v>375</v>
      </c>
      <c r="D28" s="43" t="s">
        <v>367</v>
      </c>
      <c r="E28" s="108">
        <f>EchelleFPAparam!$R29+(EchelleFPAparam!$Q$3*J28)</f>
        <v>63.253950000000003</v>
      </c>
      <c r="F28" s="30">
        <f t="shared" si="0"/>
        <v>1.1039897087009167</v>
      </c>
      <c r="G28" s="43">
        <f t="shared" si="4"/>
        <v>10</v>
      </c>
      <c r="H28" s="43">
        <f t="shared" si="4"/>
        <v>13</v>
      </c>
      <c r="I28" s="43">
        <f t="shared" si="4"/>
        <v>16</v>
      </c>
      <c r="J28" s="109">
        <v>750000</v>
      </c>
    </row>
    <row r="29" spans="1:11" ht="13" customHeight="1" x14ac:dyDescent="0.2">
      <c r="A29" s="44">
        <f>'crmcfgWLEN.txt'!AA34</f>
        <v>4210.9883334692731</v>
      </c>
      <c r="B29" s="45" t="s">
        <v>382</v>
      </c>
      <c r="C29" s="43" t="s">
        <v>375</v>
      </c>
      <c r="D29" s="43" t="s">
        <v>367</v>
      </c>
      <c r="E29" s="108">
        <f>EchelleFPAparam!$R30+(EchelleFPAparam!$Q$3*J29)</f>
        <v>61.920450000000002</v>
      </c>
      <c r="F29" s="30">
        <f t="shared" si="0"/>
        <v>1.08071574278175</v>
      </c>
      <c r="G29" s="43">
        <f t="shared" si="4"/>
        <v>10</v>
      </c>
      <c r="H29" s="43">
        <f t="shared" si="4"/>
        <v>13</v>
      </c>
      <c r="I29" s="43">
        <f t="shared" si="4"/>
        <v>16</v>
      </c>
      <c r="J29" s="109">
        <v>890000</v>
      </c>
    </row>
    <row r="30" spans="1:11" ht="13" customHeight="1" x14ac:dyDescent="0.2">
      <c r="A30" s="44">
        <f>'crmcfgWLEN.txt'!AA35</f>
        <v>4186.8377781092722</v>
      </c>
      <c r="B30" s="45" t="s">
        <v>383</v>
      </c>
      <c r="C30" s="43" t="s">
        <v>375</v>
      </c>
      <c r="D30" s="43" t="s">
        <v>367</v>
      </c>
      <c r="E30" s="108">
        <f>EchelleFPAparam!$R31+(EchelleFPAparam!$Q$3*J30)</f>
        <v>61.348950000000002</v>
      </c>
      <c r="F30" s="30">
        <f t="shared" si="0"/>
        <v>1.0707411859592499</v>
      </c>
      <c r="G30" s="43">
        <f t="shared" si="4"/>
        <v>10</v>
      </c>
      <c r="H30" s="43">
        <f t="shared" si="4"/>
        <v>13</v>
      </c>
      <c r="I30" s="43">
        <f t="shared" si="4"/>
        <v>16</v>
      </c>
      <c r="J30" s="109">
        <v>950000</v>
      </c>
    </row>
    <row r="31" spans="1:11" x14ac:dyDescent="0.2">
      <c r="E31" s="108">
        <f>EchelleFPAparam!$R$3+(EchelleFPAparam!$Q$3*J31)</f>
        <v>70.415400000000005</v>
      </c>
    </row>
    <row r="34" spans="6:6" x14ac:dyDescent="0.2">
      <c r="F34" s="94"/>
    </row>
  </sheetData>
  <pageMargins left="0.75" right="0.75" top="1" bottom="1" header="0.5" footer="0.5"/>
  <pageSetup paperSize="0" scale="0" firstPageNumber="0" orientation="portrait" usePrinterDefaults="0" horizontalDpi="0" verticalDpi="0" copies="0"/>
  <headerFooter>
    <oddHeader>&amp;C&amp;"Times New Roman,Regular"&amp;12&amp;K000000&amp;A</oddHeader>
    <oddFooter>&amp;C&amp;"Times New Roman,Regular"&amp;12&amp;K000000Page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9D664-AC31-594B-A6B3-87C27CD443C5}">
  <dimension ref="A1:D25"/>
  <sheetViews>
    <sheetView workbookViewId="0">
      <selection activeCell="D2" sqref="D2"/>
    </sheetView>
  </sheetViews>
  <sheetFormatPr baseColWidth="10" defaultRowHeight="15" x14ac:dyDescent="0.2"/>
  <cols>
    <col min="1" max="1" width="11.1640625" style="110" bestFit="1" customWidth="1"/>
    <col min="3" max="3" width="10.83203125" style="111"/>
    <col min="4" max="4" width="10.83203125" style="97"/>
  </cols>
  <sheetData>
    <row r="1" spans="1:4" x14ac:dyDescent="0.2">
      <c r="A1" s="110" t="s">
        <v>792</v>
      </c>
      <c r="B1" t="s">
        <v>793</v>
      </c>
      <c r="C1" s="111" t="s">
        <v>794</v>
      </c>
      <c r="D1" s="97" t="s">
        <v>795</v>
      </c>
    </row>
    <row r="2" spans="1:4" x14ac:dyDescent="0.2">
      <c r="A2" s="110">
        <f>-(EchelleFPAparam!$R$3-B2)/EchelleFPAparam!$Q$3</f>
        <v>1065133.8582677168</v>
      </c>
      <c r="B2" s="98">
        <f>C2+0.27</f>
        <v>60.27</v>
      </c>
      <c r="C2" s="111">
        <v>60</v>
      </c>
      <c r="D2" s="97">
        <f>-(EchelleFPAparam!$R$3-C2)/EchelleFPAparam!$Q$3</f>
        <v>1093480.3149606306</v>
      </c>
    </row>
    <row r="3" spans="1:4" x14ac:dyDescent="0.2">
      <c r="A3" s="110">
        <f>-(EchelleFPAparam!$R$3-B3)/EchelleFPAparam!$Q$3</f>
        <v>1012640.4199475069</v>
      </c>
      <c r="B3" s="98">
        <f t="shared" ref="B3:B23" si="0">C3+0.27</f>
        <v>60.77</v>
      </c>
      <c r="C3" s="111">
        <f>C2+0.5</f>
        <v>60.5</v>
      </c>
      <c r="D3" s="97">
        <f>-(EchelleFPAparam!$R$3-C3)/EchelleFPAparam!$Q$3</f>
        <v>1040986.8766404205</v>
      </c>
    </row>
    <row r="4" spans="1:4" x14ac:dyDescent="0.2">
      <c r="A4" s="110">
        <f>-(EchelleFPAparam!$R$3-B4)/EchelleFPAparam!$Q$3</f>
        <v>960146.98162729689</v>
      </c>
      <c r="B4" s="98">
        <f t="shared" si="0"/>
        <v>61.27</v>
      </c>
      <c r="C4" s="111">
        <f>C3+0.5</f>
        <v>61</v>
      </c>
      <c r="D4" s="97">
        <f>-(EchelleFPAparam!$R$3-C4)/EchelleFPAparam!$Q$3</f>
        <v>988493.43832021055</v>
      </c>
    </row>
    <row r="5" spans="1:4" x14ac:dyDescent="0.2">
      <c r="A5" s="110">
        <f>-(EchelleFPAparam!$R$3-B5)/EchelleFPAparam!$Q$3</f>
        <v>907653.54330708692</v>
      </c>
      <c r="B5" s="98">
        <f t="shared" si="0"/>
        <v>61.77</v>
      </c>
      <c r="C5" s="111">
        <f t="shared" ref="C5:C23" si="1">C4+0.5</f>
        <v>61.5</v>
      </c>
      <c r="D5" s="97">
        <f>-(EchelleFPAparam!$R$3-C5)/EchelleFPAparam!$Q$3</f>
        <v>936000.00000000058</v>
      </c>
    </row>
    <row r="6" spans="1:4" x14ac:dyDescent="0.2">
      <c r="A6" s="110">
        <f>-(EchelleFPAparam!$R$3-B6)/EchelleFPAparam!$Q$3</f>
        <v>855160.10498687695</v>
      </c>
      <c r="B6" s="98">
        <f t="shared" si="0"/>
        <v>62.27</v>
      </c>
      <c r="C6" s="111">
        <f t="shared" si="1"/>
        <v>62</v>
      </c>
      <c r="D6" s="97">
        <f>-(EchelleFPAparam!$R$3-C6)/EchelleFPAparam!$Q$3</f>
        <v>883506.56167979061</v>
      </c>
    </row>
    <row r="7" spans="1:4" x14ac:dyDescent="0.2">
      <c r="A7" s="110">
        <f>-(EchelleFPAparam!$R$3-B7)/EchelleFPAparam!$Q$3</f>
        <v>802666.66666666698</v>
      </c>
      <c r="B7" s="98">
        <f t="shared" si="0"/>
        <v>62.77</v>
      </c>
      <c r="C7" s="111">
        <f t="shared" si="1"/>
        <v>62.5</v>
      </c>
      <c r="D7" s="97">
        <f>-(EchelleFPAparam!$R$3-C7)/EchelleFPAparam!$Q$3</f>
        <v>831013.12335958064</v>
      </c>
    </row>
    <row r="8" spans="1:4" x14ac:dyDescent="0.2">
      <c r="A8" s="110">
        <f>-(EchelleFPAparam!$R$3-B8)/EchelleFPAparam!$Q$3</f>
        <v>750173.22834645701</v>
      </c>
      <c r="B8" s="98">
        <f t="shared" si="0"/>
        <v>63.27</v>
      </c>
      <c r="C8" s="111">
        <f t="shared" si="1"/>
        <v>63</v>
      </c>
      <c r="D8" s="97">
        <f>-(EchelleFPAparam!$R$3-C8)/EchelleFPAparam!$Q$3</f>
        <v>778519.68503937067</v>
      </c>
    </row>
    <row r="9" spans="1:4" x14ac:dyDescent="0.2">
      <c r="A9" s="110">
        <f>-(EchelleFPAparam!$R$3-B9)/EchelleFPAparam!$Q$3</f>
        <v>697679.79002624704</v>
      </c>
      <c r="B9" s="98">
        <f t="shared" si="0"/>
        <v>63.77</v>
      </c>
      <c r="C9" s="111">
        <f t="shared" si="1"/>
        <v>63.5</v>
      </c>
      <c r="D9" s="97">
        <f>-(EchelleFPAparam!$R$3-C9)/EchelleFPAparam!$Q$3</f>
        <v>726026.2467191607</v>
      </c>
    </row>
    <row r="10" spans="1:4" x14ac:dyDescent="0.2">
      <c r="A10" s="110">
        <f>-(EchelleFPAparam!$R$3-B10)/EchelleFPAparam!$Q$3</f>
        <v>645186.35170603776</v>
      </c>
      <c r="B10" s="98">
        <f t="shared" si="0"/>
        <v>64.27</v>
      </c>
      <c r="C10" s="111">
        <f t="shared" si="1"/>
        <v>64</v>
      </c>
      <c r="D10" s="97">
        <f>-(EchelleFPAparam!$R$3-C10)/EchelleFPAparam!$Q$3</f>
        <v>673532.80839895073</v>
      </c>
    </row>
    <row r="11" spans="1:4" x14ac:dyDescent="0.2">
      <c r="A11" s="110">
        <f>-(EchelleFPAparam!$R$3-B11)/EchelleFPAparam!$Q$3</f>
        <v>592692.91338582779</v>
      </c>
      <c r="B11" s="98">
        <f t="shared" si="0"/>
        <v>64.77</v>
      </c>
      <c r="C11" s="111">
        <f t="shared" si="1"/>
        <v>64.5</v>
      </c>
      <c r="D11" s="97">
        <f>-(EchelleFPAparam!$R$3-C11)/EchelleFPAparam!$Q$3</f>
        <v>621039.37007874076</v>
      </c>
    </row>
    <row r="12" spans="1:4" x14ac:dyDescent="0.2">
      <c r="A12" s="110">
        <f>-(EchelleFPAparam!$R$3-B12)/EchelleFPAparam!$Q$3</f>
        <v>540199.47506561782</v>
      </c>
      <c r="B12" s="98">
        <f t="shared" si="0"/>
        <v>65.27</v>
      </c>
      <c r="C12" s="111">
        <f t="shared" si="1"/>
        <v>65</v>
      </c>
      <c r="D12" s="97">
        <f>-(EchelleFPAparam!$R$3-C12)/EchelleFPAparam!$Q$3</f>
        <v>568545.93175853079</v>
      </c>
    </row>
    <row r="13" spans="1:4" x14ac:dyDescent="0.2">
      <c r="A13" s="110">
        <f>-(EchelleFPAparam!$R$3-B13)/EchelleFPAparam!$Q$3</f>
        <v>487706.03674540785</v>
      </c>
      <c r="B13" s="98">
        <f t="shared" si="0"/>
        <v>65.77</v>
      </c>
      <c r="C13" s="111">
        <f t="shared" si="1"/>
        <v>65.5</v>
      </c>
      <c r="D13" s="97">
        <f>-(EchelleFPAparam!$R$3-C13)/EchelleFPAparam!$Q$3</f>
        <v>516052.49343832082</v>
      </c>
    </row>
    <row r="14" spans="1:4" x14ac:dyDescent="0.2">
      <c r="A14" s="110">
        <f>-(EchelleFPAparam!$R$3-B14)/EchelleFPAparam!$Q$3</f>
        <v>435212.59842519788</v>
      </c>
      <c r="B14" s="98">
        <f t="shared" si="0"/>
        <v>66.27</v>
      </c>
      <c r="C14" s="111">
        <f t="shared" si="1"/>
        <v>66</v>
      </c>
      <c r="D14" s="97">
        <f>-(EchelleFPAparam!$R$3-C14)/EchelleFPAparam!$Q$3</f>
        <v>463559.05511811085</v>
      </c>
    </row>
    <row r="15" spans="1:4" x14ac:dyDescent="0.2">
      <c r="A15" s="110">
        <f>-(EchelleFPAparam!$R$3-B15)/EchelleFPAparam!$Q$3</f>
        <v>382719.16010498785</v>
      </c>
      <c r="B15" s="98">
        <f t="shared" si="0"/>
        <v>66.77</v>
      </c>
      <c r="C15" s="111">
        <f t="shared" si="1"/>
        <v>66.5</v>
      </c>
      <c r="D15" s="97">
        <f>-(EchelleFPAparam!$R$3-C15)/EchelleFPAparam!$Q$3</f>
        <v>411065.61679790082</v>
      </c>
    </row>
    <row r="16" spans="1:4" x14ac:dyDescent="0.2">
      <c r="A16" s="110">
        <f>-(EchelleFPAparam!$R$3-B16)/EchelleFPAparam!$Q$3</f>
        <v>330225.72178477788</v>
      </c>
      <c r="B16" s="98">
        <f t="shared" si="0"/>
        <v>67.27</v>
      </c>
      <c r="C16" s="111">
        <f t="shared" si="1"/>
        <v>67</v>
      </c>
      <c r="D16" s="97">
        <f>-(EchelleFPAparam!$R$3-C16)/EchelleFPAparam!$Q$3</f>
        <v>358572.17847769085</v>
      </c>
    </row>
    <row r="17" spans="1:4" x14ac:dyDescent="0.2">
      <c r="A17" s="110">
        <f>-(EchelleFPAparam!$R$3-B17)/EchelleFPAparam!$Q$3</f>
        <v>277732.28346456791</v>
      </c>
      <c r="B17" s="98">
        <f t="shared" si="0"/>
        <v>67.77</v>
      </c>
      <c r="C17" s="111">
        <f t="shared" si="1"/>
        <v>67.5</v>
      </c>
      <c r="D17" s="97">
        <f>-(EchelleFPAparam!$R$3-C17)/EchelleFPAparam!$Q$3</f>
        <v>306078.74015748088</v>
      </c>
    </row>
    <row r="18" spans="1:4" x14ac:dyDescent="0.2">
      <c r="A18" s="110">
        <f>-(EchelleFPAparam!$R$3-B18)/EchelleFPAparam!$Q$3</f>
        <v>225238.84514435794</v>
      </c>
      <c r="B18" s="98">
        <f t="shared" si="0"/>
        <v>68.27</v>
      </c>
      <c r="C18" s="111">
        <f t="shared" si="1"/>
        <v>68</v>
      </c>
      <c r="D18" s="97">
        <f>-(EchelleFPAparam!$R$3-C18)/EchelleFPAparam!$Q$3</f>
        <v>253585.3018372709</v>
      </c>
    </row>
    <row r="19" spans="1:4" x14ac:dyDescent="0.2">
      <c r="A19" s="110">
        <f>-(EchelleFPAparam!$R$3-B19)/EchelleFPAparam!$Q$3</f>
        <v>172745.40682414797</v>
      </c>
      <c r="B19" s="98">
        <f t="shared" si="0"/>
        <v>68.77</v>
      </c>
      <c r="C19" s="111">
        <f t="shared" si="1"/>
        <v>68.5</v>
      </c>
      <c r="D19" s="97">
        <f>-(EchelleFPAparam!$R$3-C19)/EchelleFPAparam!$Q$3</f>
        <v>201091.86351706093</v>
      </c>
    </row>
    <row r="20" spans="1:4" x14ac:dyDescent="0.2">
      <c r="A20" s="110">
        <f>-(EchelleFPAparam!$R$3-B20)/EchelleFPAparam!$Q$3</f>
        <v>120251.968503938</v>
      </c>
      <c r="B20" s="98">
        <f t="shared" si="0"/>
        <v>69.27</v>
      </c>
      <c r="C20" s="111">
        <f t="shared" si="1"/>
        <v>69</v>
      </c>
      <c r="D20" s="97">
        <f>-(EchelleFPAparam!$R$3-C20)/EchelleFPAparam!$Q$3</f>
        <v>148598.42519685096</v>
      </c>
    </row>
    <row r="21" spans="1:4" x14ac:dyDescent="0.2">
      <c r="A21" s="110">
        <f>-(EchelleFPAparam!$R$3-B21)/EchelleFPAparam!$Q$3</f>
        <v>67758.530183728013</v>
      </c>
      <c r="B21" s="98">
        <f t="shared" si="0"/>
        <v>69.77</v>
      </c>
      <c r="C21" s="111">
        <f t="shared" si="1"/>
        <v>69.5</v>
      </c>
      <c r="D21" s="97">
        <f>-(EchelleFPAparam!$R$3-C21)/EchelleFPAparam!$Q$3</f>
        <v>96104.986876640978</v>
      </c>
    </row>
    <row r="22" spans="1:4" x14ac:dyDescent="0.2">
      <c r="A22" s="110">
        <f>-(EchelleFPAparam!$R$3-B22)/EchelleFPAparam!$Q$3</f>
        <v>15265.091863518037</v>
      </c>
      <c r="B22" s="98">
        <f t="shared" si="0"/>
        <v>70.27</v>
      </c>
      <c r="C22" s="111">
        <f t="shared" si="1"/>
        <v>70</v>
      </c>
      <c r="D22" s="97">
        <f>-(EchelleFPAparam!$R$3-C22)/EchelleFPAparam!$Q$3</f>
        <v>43611.548556431007</v>
      </c>
    </row>
    <row r="23" spans="1:4" x14ac:dyDescent="0.2">
      <c r="A23" s="110">
        <f>-(EchelleFPAparam!$R$3-B23)/EchelleFPAparam!$Q$3</f>
        <v>-37228.346456691943</v>
      </c>
      <c r="B23" s="98">
        <f t="shared" si="0"/>
        <v>70.77</v>
      </c>
      <c r="C23" s="111">
        <f t="shared" si="1"/>
        <v>70.5</v>
      </c>
      <c r="D23" s="97">
        <f>-(EchelleFPAparam!$R$3-C23)/EchelleFPAparam!$Q$3</f>
        <v>-8881.8897637789687</v>
      </c>
    </row>
    <row r="24" spans="1:4" x14ac:dyDescent="0.2">
      <c r="B24" s="98"/>
    </row>
    <row r="25" spans="1:4" x14ac:dyDescent="0.2">
      <c r="B25" s="9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89FE-611B-4147-968D-BFAC880E8641}">
  <dimension ref="A1:AMJ786"/>
  <sheetViews>
    <sheetView zoomScale="90" zoomScaleNormal="90" workbookViewId="0">
      <selection activeCell="H19" sqref="H19"/>
    </sheetView>
  </sheetViews>
  <sheetFormatPr baseColWidth="10" defaultColWidth="11.5" defaultRowHeight="15" x14ac:dyDescent="0.2"/>
  <cols>
    <col min="1" max="1" width="13.33203125" style="10" customWidth="1"/>
    <col min="2" max="2" width="21.33203125" style="10" customWidth="1"/>
    <col min="3" max="3" width="10.1640625" style="10" customWidth="1"/>
    <col min="4" max="4" width="8.33203125" style="28" customWidth="1"/>
    <col min="5" max="5" width="6.6640625" style="10" customWidth="1"/>
    <col min="6" max="6" width="11.83203125" style="10" customWidth="1"/>
    <col min="7" max="7" width="14.33203125" style="29" customWidth="1"/>
    <col min="8" max="8" width="16.6640625" style="10" customWidth="1"/>
    <col min="9" max="10" width="9.6640625" style="10" customWidth="1"/>
    <col min="11" max="11" width="14.6640625" style="30" customWidth="1"/>
    <col min="12" max="12" width="12.5" style="10" customWidth="1"/>
    <col min="13" max="14" width="9.6640625" style="10" customWidth="1"/>
    <col min="15" max="15" width="11" style="10" customWidth="1"/>
    <col min="16" max="16" width="9.6640625" style="10" customWidth="1"/>
    <col min="17" max="17" width="16.83203125" style="94" customWidth="1"/>
    <col min="18" max="18" width="9.6640625" style="10" customWidth="1"/>
    <col min="19" max="19" width="10.1640625" style="10" customWidth="1"/>
    <col min="20" max="20" width="17.33203125" style="10" customWidth="1"/>
    <col min="21" max="32" width="13.6640625" style="10" customWidth="1"/>
    <col min="33" max="33" width="28" style="10" customWidth="1"/>
    <col min="34" max="1024" width="13.6640625" style="10" customWidth="1"/>
    <col min="1025" max="1025" width="13.6640625" customWidth="1"/>
  </cols>
  <sheetData>
    <row r="1" spans="1:1024" ht="18.5" customHeight="1" x14ac:dyDescent="0.2">
      <c r="A1" s="163"/>
      <c r="B1" s="163"/>
      <c r="C1" s="163"/>
      <c r="D1" s="164" t="s">
        <v>320</v>
      </c>
      <c r="E1" s="164"/>
      <c r="F1" s="164"/>
      <c r="G1" s="164"/>
      <c r="H1" s="164"/>
      <c r="I1" s="164"/>
      <c r="J1" s="164"/>
      <c r="K1" s="164"/>
      <c r="L1" s="164"/>
      <c r="M1" s="164"/>
      <c r="N1" s="164"/>
      <c r="O1" s="164"/>
      <c r="P1" s="164"/>
      <c r="Q1" s="164"/>
      <c r="R1" s="164"/>
      <c r="S1" s="164"/>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36" customFormat="1" ht="49.5" customHeight="1" x14ac:dyDescent="0.2">
      <c r="A2" s="31"/>
      <c r="B2" s="31"/>
      <c r="C2" s="114"/>
      <c r="D2" s="32"/>
      <c r="E2" s="33"/>
      <c r="F2" s="32"/>
      <c r="G2" s="34"/>
      <c r="H2" s="32"/>
      <c r="I2" s="32"/>
      <c r="J2" s="32"/>
      <c r="K2" s="35"/>
      <c r="L2" s="32"/>
      <c r="M2" s="32"/>
      <c r="N2" s="32"/>
      <c r="O2" s="32"/>
      <c r="P2" s="32"/>
      <c r="Q2" s="92"/>
      <c r="R2" s="32"/>
      <c r="S2" s="32"/>
      <c r="AD2" s="36" t="s">
        <v>806</v>
      </c>
    </row>
    <row r="3" spans="1:1024" ht="14" customHeight="1" x14ac:dyDescent="0.2">
      <c r="A3" s="99"/>
      <c r="B3" s="99"/>
      <c r="C3" s="99"/>
      <c r="D3" s="99"/>
      <c r="E3" s="99"/>
      <c r="F3" s="99"/>
      <c r="G3" s="99"/>
      <c r="H3" s="99"/>
      <c r="I3" s="99"/>
      <c r="J3" s="99"/>
      <c r="K3" s="99"/>
      <c r="L3" s="99"/>
      <c r="M3" s="99"/>
      <c r="N3" s="99"/>
      <c r="O3" s="99"/>
      <c r="P3" s="99"/>
      <c r="Q3" s="99"/>
      <c r="R3" s="99"/>
      <c r="S3" s="99"/>
      <c r="T3" s="99"/>
      <c r="U3" s="40"/>
      <c r="AC3"/>
      <c r="AD3" t="s">
        <v>350</v>
      </c>
      <c r="AE3">
        <f>EchelleFPAparam!$AE3</f>
        <v>1536</v>
      </c>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F4" s="99"/>
      <c r="G4" s="99"/>
      <c r="J4" s="99"/>
      <c r="K4" s="99"/>
      <c r="AD4" s="10" t="s">
        <v>350</v>
      </c>
      <c r="AE4">
        <f>EchelleFPAparam!$AE4</f>
        <v>1536</v>
      </c>
    </row>
    <row r="5" spans="1:1024" x14ac:dyDescent="0.2">
      <c r="AD5" s="10" t="s">
        <v>353</v>
      </c>
      <c r="AE5">
        <f>EchelleFPAparam!$AE5</f>
        <v>1536</v>
      </c>
    </row>
    <row r="6" spans="1:1024" ht="45.75" customHeight="1" x14ac:dyDescent="0.2">
      <c r="A6" s="10" t="s">
        <v>811</v>
      </c>
      <c r="B6" s="10">
        <f>EchelleFPAparam!$B$6</f>
        <v>1.01</v>
      </c>
      <c r="AD6" s="10" t="s">
        <v>353</v>
      </c>
      <c r="AE6">
        <f>EchelleFPAparam!$AE6</f>
        <v>1536</v>
      </c>
    </row>
    <row r="7" spans="1:1024" x14ac:dyDescent="0.2">
      <c r="AD7" s="10" t="s">
        <v>353</v>
      </c>
      <c r="AE7">
        <f>EchelleFPAparam!$AE7</f>
        <v>1536</v>
      </c>
    </row>
    <row r="8" spans="1:1024" x14ac:dyDescent="0.2">
      <c r="A8" s="10" t="s">
        <v>799</v>
      </c>
      <c r="B8" s="10" t="s">
        <v>244</v>
      </c>
      <c r="C8" s="10" t="s">
        <v>800</v>
      </c>
      <c r="D8" s="28" t="s">
        <v>801</v>
      </c>
      <c r="E8" s="10" t="s">
        <v>804</v>
      </c>
      <c r="F8" s="10" t="s">
        <v>805</v>
      </c>
      <c r="AD8" s="10" t="s">
        <v>355</v>
      </c>
      <c r="AE8">
        <f>EchelleFPAparam!$AE8</f>
        <v>1536</v>
      </c>
    </row>
    <row r="9" spans="1:1024" x14ac:dyDescent="0.2">
      <c r="A9" s="10">
        <v>2190.8505399999999</v>
      </c>
      <c r="B9" s="10">
        <v>4875.3870999999999</v>
      </c>
      <c r="C9" s="10">
        <v>0</v>
      </c>
      <c r="D9" s="28">
        <f>INT(B9/2048)+1</f>
        <v>3</v>
      </c>
      <c r="E9" s="10">
        <v>26</v>
      </c>
      <c r="F9" s="10">
        <f>(C9-$AE$12)*EchelleFPAparam!$C$3/EchelleFPAparam!$E$3</f>
        <v>-1.8285714285714284E-2</v>
      </c>
      <c r="AD9" s="10" t="s">
        <v>355</v>
      </c>
      <c r="AE9">
        <f>EchelleFPAparam!$AE9</f>
        <v>1536</v>
      </c>
    </row>
    <row r="10" spans="1:1024" x14ac:dyDescent="0.2">
      <c r="B10" s="10">
        <f>B9-3072+(D9-2)*EchelleFPAparam!$B$3/EchelleFPAparam!$C$3</f>
        <v>1948.3870999999999</v>
      </c>
      <c r="AD10" s="10" t="s">
        <v>355</v>
      </c>
      <c r="AE10">
        <f>EchelleFPAparam!$AE10</f>
        <v>1536</v>
      </c>
    </row>
    <row r="11" spans="1:1024" x14ac:dyDescent="0.2">
      <c r="A11" s="10" t="s">
        <v>802</v>
      </c>
      <c r="B11" s="10">
        <f>B10*EchelleFPAparam!$C$3*COS(EchelleFPAparam!$AC$3)*$B$6</f>
        <v>35.411552028333674</v>
      </c>
      <c r="AD11" s="10" t="s">
        <v>355</v>
      </c>
      <c r="AE11">
        <f>EchelleFPAparam!$AE11</f>
        <v>1536</v>
      </c>
    </row>
    <row r="12" spans="1:1024" x14ac:dyDescent="0.2">
      <c r="A12" s="10" t="s">
        <v>803</v>
      </c>
      <c r="B12" s="10">
        <f>ATAN(B11/EchelleFPAparam!$E$3)</f>
        <v>2.3416057937491377E-2</v>
      </c>
      <c r="C12" s="29">
        <f>EchelleFPAparam!$M$3+$B12</f>
        <v>-3.2556652000841957E-2</v>
      </c>
      <c r="F12" s="10">
        <f>ASIN($E9*$A9/(COS(F9)*2*EchelleFPAparam!$S$3*COS(-$C12/2)))-$C12/2</f>
        <v>1.1451145173865935</v>
      </c>
      <c r="G12" s="29">
        <f>$F12*180/EchelleFPAparam!$O$3</f>
        <v>65.610227936163355</v>
      </c>
      <c r="H12" s="10">
        <v>500</v>
      </c>
      <c r="J12" s="10">
        <f>A9</f>
        <v>2190.8505399999999</v>
      </c>
      <c r="K12" s="10">
        <f>B9</f>
        <v>4875.3870999999999</v>
      </c>
      <c r="L12" s="30">
        <f>C9</f>
        <v>0</v>
      </c>
      <c r="M12" s="10">
        <f>E9</f>
        <v>26</v>
      </c>
      <c r="N12" s="29">
        <f>G12</f>
        <v>65.610227936163355</v>
      </c>
      <c r="O12" s="10">
        <f>H12</f>
        <v>500</v>
      </c>
      <c r="AD12" s="10" t="s">
        <v>361</v>
      </c>
      <c r="AE12">
        <f>EchelleFPAparam!$AE12</f>
        <v>1536</v>
      </c>
    </row>
    <row r="13" spans="1:1024" x14ac:dyDescent="0.2">
      <c r="A13" s="10">
        <v>2190.8505399999999</v>
      </c>
      <c r="B13" s="10">
        <v>3700.7449000000001</v>
      </c>
      <c r="C13" s="10">
        <v>818</v>
      </c>
      <c r="D13" s="28">
        <f>INT(B13/2048)+1</f>
        <v>2</v>
      </c>
      <c r="E13" s="10">
        <v>26</v>
      </c>
      <c r="F13" s="10">
        <f>(C13-$AE$12)*EchelleFPAparam!$C$3/EchelleFPAparam!$E$3</f>
        <v>-8.547619047619047E-3</v>
      </c>
      <c r="AD13" s="10" t="s">
        <v>361</v>
      </c>
      <c r="AE13">
        <f>EchelleFPAparam!$AE13</f>
        <v>1536</v>
      </c>
      <c r="AG13" s="29">
        <f>N12</f>
        <v>65.610227936163355</v>
      </c>
      <c r="AH13" s="29">
        <f>O12</f>
        <v>500</v>
      </c>
    </row>
    <row r="14" spans="1:1024" x14ac:dyDescent="0.2">
      <c r="B14" s="10">
        <f>B13-3072+(D13-2)*EchelleFPAparam!$B$3/EchelleFPAparam!$C$3</f>
        <v>628.74490000000014</v>
      </c>
      <c r="AD14" s="10" t="s">
        <v>361</v>
      </c>
      <c r="AE14">
        <f>EchelleFPAparam!$AE14</f>
        <v>1536</v>
      </c>
      <c r="AG14" s="29">
        <f>N16</f>
        <v>66.068156583753165</v>
      </c>
      <c r="AH14" s="29">
        <f>O16</f>
        <v>450</v>
      </c>
    </row>
    <row r="15" spans="1:1024" x14ac:dyDescent="0.2">
      <c r="B15" s="10">
        <f>B14*EchelleFPAparam!$C$3*COS(EchelleFPAparam!$AC$3)*$B$6</f>
        <v>11.427314797403172</v>
      </c>
      <c r="AD15" s="10" t="s">
        <v>361</v>
      </c>
      <c r="AE15">
        <f>EchelleFPAparam!$AE15</f>
        <v>1536</v>
      </c>
      <c r="AG15" s="29">
        <f>N20</f>
        <v>66.546781420622054</v>
      </c>
      <c r="AH15" s="29">
        <f>O20</f>
        <v>400</v>
      </c>
    </row>
    <row r="16" spans="1:1024" x14ac:dyDescent="0.2">
      <c r="B16" s="10">
        <f>ATAN(B15/EchelleFPAparam!$E$3)</f>
        <v>7.557603988418168E-3</v>
      </c>
      <c r="C16" s="29">
        <f>EchelleFPAparam!$M$3+$B16</f>
        <v>-4.841510594991516E-2</v>
      </c>
      <c r="F16" s="10">
        <f>ASIN($E13*$A13/(COS(F13)*2*EchelleFPAparam!$S$3*COS(-$C16/2)))-$C16/2</f>
        <v>1.1531068801443105</v>
      </c>
      <c r="G16" s="29">
        <f>$F16*180/EchelleFPAparam!$O$3</f>
        <v>66.068156583753165</v>
      </c>
      <c r="H16" s="10">
        <v>450</v>
      </c>
      <c r="J16" s="10">
        <f>A13</f>
        <v>2190.8505399999999</v>
      </c>
      <c r="K16" s="10">
        <f>B13</f>
        <v>3700.7449000000001</v>
      </c>
      <c r="L16" s="30">
        <f>C13</f>
        <v>818</v>
      </c>
      <c r="M16" s="10">
        <f>E13</f>
        <v>26</v>
      </c>
      <c r="N16" s="29">
        <f>G16</f>
        <v>66.068156583753165</v>
      </c>
      <c r="O16" s="10">
        <f>H16</f>
        <v>450</v>
      </c>
      <c r="AD16" s="10" t="s">
        <v>366</v>
      </c>
      <c r="AE16">
        <f>EchelleFPAparam!$AE16</f>
        <v>1536</v>
      </c>
      <c r="AG16" s="29">
        <f>N24</f>
        <v>67.021861575556244</v>
      </c>
      <c r="AH16" s="29">
        <f>O24</f>
        <v>350</v>
      </c>
    </row>
    <row r="17" spans="1:34" x14ac:dyDescent="0.2">
      <c r="A17" s="10">
        <v>2190.8505399999999</v>
      </c>
      <c r="B17" s="10">
        <v>2390.1722</v>
      </c>
      <c r="C17" s="10">
        <v>782</v>
      </c>
      <c r="D17" s="28">
        <f>INT(B17/2048)+1</f>
        <v>2</v>
      </c>
      <c r="E17" s="10">
        <v>26</v>
      </c>
      <c r="F17" s="10">
        <f>(C17-$AE$12)*EchelleFPAparam!$C$3/EchelleFPAparam!$E$3</f>
        <v>-8.9761904761904762E-3</v>
      </c>
      <c r="AD17" s="10" t="s">
        <v>366</v>
      </c>
      <c r="AE17">
        <f>EchelleFPAparam!$AE17</f>
        <v>1536</v>
      </c>
      <c r="AG17" s="29">
        <f>N28</f>
        <v>66.545308463259587</v>
      </c>
      <c r="AH17" s="29">
        <f>O28</f>
        <v>400</v>
      </c>
    </row>
    <row r="18" spans="1:34" x14ac:dyDescent="0.2">
      <c r="B18" s="10">
        <f>B17-3072+(D17-2)*EchelleFPAparam!$B$3/EchelleFPAparam!$C$3</f>
        <v>-681.82780000000002</v>
      </c>
      <c r="AD18" s="10" t="s">
        <v>366</v>
      </c>
      <c r="AE18">
        <f>EchelleFPAparam!$AE18</f>
        <v>1536</v>
      </c>
      <c r="AG18" s="29">
        <f>N32</f>
        <v>66.066744753172244</v>
      </c>
      <c r="AH18" s="29">
        <f>O32</f>
        <v>450</v>
      </c>
    </row>
    <row r="19" spans="1:34" x14ac:dyDescent="0.2">
      <c r="B19" s="10">
        <f>B18*EchelleFPAparam!$C$3*COS(EchelleFPAparam!$AC$3)*$B$6</f>
        <v>-12.392086056238149</v>
      </c>
      <c r="AD19" s="10" t="s">
        <v>366</v>
      </c>
      <c r="AE19">
        <f>EchelleFPAparam!$AE19</f>
        <v>1536</v>
      </c>
      <c r="AG19" s="29">
        <f>N36</f>
        <v>65.594268143746405</v>
      </c>
      <c r="AH19" s="29">
        <f>O36</f>
        <v>500</v>
      </c>
    </row>
    <row r="20" spans="1:34" x14ac:dyDescent="0.2">
      <c r="B20" s="10">
        <f>ATAN(B19/EchelleFPAparam!$E$3)</f>
        <v>-8.1956406099746547E-3</v>
      </c>
      <c r="C20" s="29">
        <f>EchelleFPAparam!$M$3+$B20</f>
        <v>-6.4168350548307981E-2</v>
      </c>
      <c r="F20" s="10">
        <f>ASIN($E17*$A17/(COS(F17)*2*EchelleFPAparam!$S$3*COS(-$C20/2)))-$C20/2</f>
        <v>1.1614604595528992</v>
      </c>
      <c r="G20" s="29">
        <f>$F20*180/EchelleFPAparam!$O$3</f>
        <v>66.546781420622054</v>
      </c>
      <c r="H20" s="10">
        <v>400</v>
      </c>
      <c r="J20" s="10">
        <f>A17</f>
        <v>2190.8505399999999</v>
      </c>
      <c r="K20" s="10">
        <f>B17</f>
        <v>2390.1722</v>
      </c>
      <c r="L20" s="30">
        <f>C17</f>
        <v>782</v>
      </c>
      <c r="M20" s="10">
        <f>E17</f>
        <v>26</v>
      </c>
      <c r="N20" s="29">
        <f>G20</f>
        <v>66.546781420622054</v>
      </c>
      <c r="O20" s="10">
        <f>H20</f>
        <v>400</v>
      </c>
      <c r="AD20" s="10" t="s">
        <v>366</v>
      </c>
      <c r="AE20">
        <f>EchelleFPAparam!$AE20</f>
        <v>1536</v>
      </c>
      <c r="AG20" s="29">
        <f>N40</f>
        <v>65.115739964993224</v>
      </c>
      <c r="AH20" s="29">
        <f>O40</f>
        <v>550</v>
      </c>
    </row>
    <row r="21" spans="1:34" x14ac:dyDescent="0.2">
      <c r="A21" s="10">
        <v>2190.8505399999999</v>
      </c>
      <c r="B21" s="30">
        <v>1254.075</v>
      </c>
      <c r="C21" s="10">
        <v>747</v>
      </c>
      <c r="D21" s="28">
        <f>INT(B21/2048)+1</f>
        <v>1</v>
      </c>
      <c r="E21" s="10">
        <v>26</v>
      </c>
      <c r="F21" s="10">
        <f>(C21-$AE$12)*EchelleFPAparam!$C$3/EchelleFPAparam!$E$3</f>
        <v>-9.392857142857142E-3</v>
      </c>
      <c r="AD21" s="10" t="s">
        <v>366</v>
      </c>
      <c r="AE21">
        <f>EchelleFPAparam!$AE21</f>
        <v>1536</v>
      </c>
      <c r="AG21" s="29">
        <f>N44</f>
        <v>65.115379255372346</v>
      </c>
      <c r="AH21" s="29">
        <f>O44</f>
        <v>550</v>
      </c>
    </row>
    <row r="22" spans="1:34" x14ac:dyDescent="0.2">
      <c r="B22" s="10">
        <f>B21-3072+(D21-2)*EchelleFPAparam!$B$3/EchelleFPAparam!$C$3</f>
        <v>-1962.925</v>
      </c>
      <c r="AD22" s="10" t="s">
        <v>366</v>
      </c>
      <c r="AE22">
        <f>EchelleFPAparam!$AE22</f>
        <v>1536</v>
      </c>
      <c r="AG22" s="29">
        <f>N48</f>
        <v>64.64151942236893</v>
      </c>
      <c r="AH22" s="29">
        <f>O48</f>
        <v>600</v>
      </c>
    </row>
    <row r="23" spans="1:34" x14ac:dyDescent="0.2">
      <c r="B23" s="10">
        <f>B22*EchelleFPAparam!$C$3*COS(EchelleFPAparam!$AC$3)*$B$6</f>
        <v>-35.675775499240814</v>
      </c>
      <c r="AD23" s="10" t="s">
        <v>375</v>
      </c>
      <c r="AE23">
        <f>EchelleFPAparam!$AE23</f>
        <v>1024</v>
      </c>
      <c r="AG23" s="29">
        <f>N52</f>
        <v>64.641716465705997</v>
      </c>
      <c r="AH23" s="29">
        <f>O52</f>
        <v>600</v>
      </c>
    </row>
    <row r="24" spans="1:34" x14ac:dyDescent="0.2">
      <c r="B24" s="10">
        <f>ATAN(B23/EchelleFPAparam!$E$3)</f>
        <v>-2.3590712393612857E-2</v>
      </c>
      <c r="C24" s="29">
        <f>EchelleFPAparam!$M$3+$B24</f>
        <v>-7.9563422331946188E-2</v>
      </c>
      <c r="F24" s="10">
        <f>ASIN($E21*$A21/(COS(F21)*2*EchelleFPAparam!$S$3*COS(-$C24/2)))-$C24/2</f>
        <v>1.1697521725898778</v>
      </c>
      <c r="G24" s="29">
        <f>$F24*180/EchelleFPAparam!$O$3</f>
        <v>67.021861575556244</v>
      </c>
      <c r="H24" s="10">
        <v>350</v>
      </c>
      <c r="J24" s="10">
        <f>A21</f>
        <v>2190.8505399999999</v>
      </c>
      <c r="K24" s="10">
        <f>B21</f>
        <v>1254.075</v>
      </c>
      <c r="L24" s="30">
        <f>C21</f>
        <v>747</v>
      </c>
      <c r="M24" s="10">
        <f>E21</f>
        <v>26</v>
      </c>
      <c r="N24" s="29">
        <f>G24</f>
        <v>67.021861575556244</v>
      </c>
      <c r="O24" s="10">
        <f>H24</f>
        <v>350</v>
      </c>
      <c r="AD24" s="10" t="s">
        <v>375</v>
      </c>
      <c r="AE24">
        <f>EchelleFPAparam!$AE24</f>
        <v>1024</v>
      </c>
      <c r="AG24" s="29">
        <f>N56</f>
        <v>64.639783922724121</v>
      </c>
      <c r="AH24" s="29">
        <f>O56</f>
        <v>600</v>
      </c>
    </row>
    <row r="25" spans="1:34" x14ac:dyDescent="0.2">
      <c r="A25" s="10">
        <v>2021.5403200000001</v>
      </c>
      <c r="B25" s="10">
        <v>496.70155</v>
      </c>
      <c r="C25" s="10">
        <v>1320</v>
      </c>
      <c r="D25" s="28">
        <f>INT(B25/2048)+1</f>
        <v>1</v>
      </c>
      <c r="E25" s="10">
        <v>28</v>
      </c>
      <c r="F25" s="10">
        <f>(C25-$AE$12)*EchelleFPAparam!$C$3/EchelleFPAparam!$E$3</f>
        <v>-2.5714285714285713E-3</v>
      </c>
      <c r="AD25" s="10" t="s">
        <v>375</v>
      </c>
      <c r="AE25">
        <f>EchelleFPAparam!$AE25</f>
        <v>1024</v>
      </c>
      <c r="AG25" s="29">
        <f>N60</f>
        <v>64.641578893425475</v>
      </c>
      <c r="AH25" s="29">
        <f>O60</f>
        <v>600</v>
      </c>
    </row>
    <row r="26" spans="1:34" x14ac:dyDescent="0.2">
      <c r="B26" s="10">
        <f>B25-3072+(D25-2)*EchelleFPAparam!$B$3/EchelleFPAparam!$C$3</f>
        <v>-2720.2984500000002</v>
      </c>
      <c r="AD26" s="10" t="s">
        <v>375</v>
      </c>
      <c r="AE26">
        <f>EchelleFPAparam!$AE26</f>
        <v>1024</v>
      </c>
      <c r="AG26" s="29">
        <f>N64</f>
        <v>64.641889618882772</v>
      </c>
      <c r="AH26" s="29">
        <f>O64</f>
        <v>600</v>
      </c>
    </row>
    <row r="27" spans="1:34" x14ac:dyDescent="0.2">
      <c r="B27" s="10">
        <f>B26*EchelleFPAparam!$C$3*COS(EchelleFPAparam!$AC$3)*$B$6</f>
        <v>-49.440888874069451</v>
      </c>
      <c r="AD27" s="10" t="s">
        <v>375</v>
      </c>
      <c r="AE27">
        <f>EchelleFPAparam!$AE27</f>
        <v>1024</v>
      </c>
      <c r="AG27" s="29">
        <f>N68</f>
        <v>64.642246472532378</v>
      </c>
      <c r="AH27" s="29">
        <f>O68</f>
        <v>600</v>
      </c>
    </row>
    <row r="28" spans="1:34" x14ac:dyDescent="0.2">
      <c r="B28" s="10">
        <f>ATAN(B27/EchelleFPAparam!$E$3)</f>
        <v>-3.2687353856591876E-2</v>
      </c>
      <c r="C28" s="29">
        <f>EchelleFPAparam!$M$3+$B28</f>
        <v>-8.8660063794925206E-2</v>
      </c>
      <c r="F28" s="10">
        <f>ASIN($E25*$A25/(COS(F25)*2*EchelleFPAparam!$S$3*COS(-$C28/2)))-$C28/2</f>
        <v>1.1614347515968029</v>
      </c>
      <c r="G28" s="29">
        <f>$F28*180/EchelleFPAparam!$O$3</f>
        <v>66.545308463259587</v>
      </c>
      <c r="H28" s="10">
        <v>400</v>
      </c>
      <c r="J28" s="10">
        <f>A25</f>
        <v>2021.5403200000001</v>
      </c>
      <c r="K28" s="10">
        <f>B25</f>
        <v>496.70155</v>
      </c>
      <c r="L28" s="30">
        <f>C25</f>
        <v>1320</v>
      </c>
      <c r="M28" s="10">
        <f>E25</f>
        <v>28</v>
      </c>
      <c r="N28" s="29">
        <f>G28</f>
        <v>66.545308463259587</v>
      </c>
      <c r="O28" s="10">
        <f>H28</f>
        <v>400</v>
      </c>
      <c r="AD28" s="10" t="s">
        <v>375</v>
      </c>
      <c r="AE28">
        <f>EchelleFPAparam!$AE28</f>
        <v>1024</v>
      </c>
      <c r="AG28" s="29">
        <f>N72</f>
        <v>64.640132841188787</v>
      </c>
      <c r="AH28" s="29">
        <f>O72</f>
        <v>600</v>
      </c>
    </row>
    <row r="29" spans="1:34" x14ac:dyDescent="0.2">
      <c r="A29" s="10">
        <v>2021.5403200000001</v>
      </c>
      <c r="B29" s="10">
        <v>1780.4563000000001</v>
      </c>
      <c r="C29" s="10">
        <v>1355</v>
      </c>
      <c r="D29" s="28">
        <f>INT(B29/2048)+1</f>
        <v>1</v>
      </c>
      <c r="E29" s="10">
        <v>28</v>
      </c>
      <c r="F29" s="10">
        <f>(C29-$AE$12)*EchelleFPAparam!$C$3/EchelleFPAparam!$E$3</f>
        <v>-2.1547619047619045E-3</v>
      </c>
      <c r="AD29" s="10" t="s">
        <v>375</v>
      </c>
      <c r="AE29">
        <f>EchelleFPAparam!$AE29</f>
        <v>1024</v>
      </c>
      <c r="AG29" s="29">
        <f>N76</f>
        <v>64.641427656245213</v>
      </c>
      <c r="AH29" s="29">
        <f>O76</f>
        <v>600</v>
      </c>
    </row>
    <row r="30" spans="1:34" x14ac:dyDescent="0.2">
      <c r="B30" s="10">
        <f>B29-3072+(D29-2)*EchelleFPAparam!$B$3/EchelleFPAparam!$C$3</f>
        <v>-1436.5436999999999</v>
      </c>
      <c r="AD30" s="10" t="s">
        <v>375</v>
      </c>
      <c r="AE30">
        <f>EchelleFPAparam!$AE30</f>
        <v>1024</v>
      </c>
      <c r="AG30" s="29">
        <f>N80</f>
        <v>64.642302854473769</v>
      </c>
      <c r="AH30" s="29">
        <f>O80</f>
        <v>600</v>
      </c>
    </row>
    <row r="31" spans="1:34" x14ac:dyDescent="0.2">
      <c r="B31" s="10">
        <f>B30*EchelleFPAparam!$C$3*COS(EchelleFPAparam!$AC$3)*$B$6</f>
        <v>-26.108898982920259</v>
      </c>
      <c r="AG31" s="29">
        <f>N84</f>
        <v>64.641363730122777</v>
      </c>
      <c r="AH31" s="29">
        <f>O84</f>
        <v>600</v>
      </c>
    </row>
    <row r="32" spans="1:34" x14ac:dyDescent="0.2">
      <c r="B32" s="10">
        <f>ATAN(B31/EchelleFPAparam!$E$3)</f>
        <v>-1.7266074356034899E-2</v>
      </c>
      <c r="C32" s="29">
        <f>EchelleFPAparam!$M$3+$B32</f>
        <v>-7.3238784294368225E-2</v>
      </c>
      <c r="F32" s="10">
        <f>ASIN($E29*$A29/(COS(F29)*2*EchelleFPAparam!$S$3*COS(-$C32/2)))-$C32/2</f>
        <v>1.1530822390518289</v>
      </c>
      <c r="G32" s="29">
        <f>$F32*180/EchelleFPAparam!$O$3</f>
        <v>66.066744753172244</v>
      </c>
      <c r="H32" s="10">
        <v>450</v>
      </c>
      <c r="J32" s="10">
        <f>A29</f>
        <v>2021.5403200000001</v>
      </c>
      <c r="K32" s="10">
        <f>B29</f>
        <v>1780.4563000000001</v>
      </c>
      <c r="L32" s="30">
        <f>C29</f>
        <v>1355</v>
      </c>
      <c r="M32" s="10">
        <f>E29</f>
        <v>28</v>
      </c>
      <c r="N32" s="29">
        <f>G32</f>
        <v>66.066744753172244</v>
      </c>
      <c r="O32" s="10">
        <f>H32</f>
        <v>450</v>
      </c>
      <c r="AG32" s="29">
        <f>N88</f>
        <v>64.641855994786155</v>
      </c>
      <c r="AH32" s="29">
        <f>O88</f>
        <v>600</v>
      </c>
    </row>
    <row r="33" spans="1:34" x14ac:dyDescent="0.2">
      <c r="A33" s="10">
        <v>2021.5403200000001</v>
      </c>
      <c r="B33" s="10">
        <v>2921.1781999999998</v>
      </c>
      <c r="C33" s="10">
        <v>1390</v>
      </c>
      <c r="D33" s="28">
        <f>INT(B33/2048)+1</f>
        <v>2</v>
      </c>
      <c r="E33" s="10">
        <v>28</v>
      </c>
      <c r="F33" s="10">
        <f>(C33-$AE$12)*EchelleFPAparam!$C$3/EchelleFPAparam!$E$3</f>
        <v>-1.7380952380952378E-3</v>
      </c>
      <c r="AG33" s="29">
        <f>N92</f>
        <v>64.641456574645645</v>
      </c>
      <c r="AH33" s="29">
        <f>O92</f>
        <v>600</v>
      </c>
    </row>
    <row r="34" spans="1:34" x14ac:dyDescent="0.2">
      <c r="B34" s="10">
        <f>B33-3072+(D33-2)*EchelleFPAparam!$B$3/EchelleFPAparam!$C$3</f>
        <v>-150.82180000000017</v>
      </c>
      <c r="AG34" s="29">
        <f>N96</f>
        <v>64.641256246420596</v>
      </c>
      <c r="AH34" s="29">
        <f>O96</f>
        <v>600</v>
      </c>
    </row>
    <row r="35" spans="1:34" x14ac:dyDescent="0.2">
      <c r="B35" s="10">
        <f>B34*EchelleFPAparam!$C$3*COS(EchelleFPAparam!$AC$3)*$B$6</f>
        <v>-2.7411565277284691</v>
      </c>
      <c r="AG35" s="29">
        <f>N100</f>
        <v>64.639833123688291</v>
      </c>
      <c r="AH35" s="29">
        <f>O100</f>
        <v>600</v>
      </c>
    </row>
    <row r="36" spans="1:34" x14ac:dyDescent="0.2">
      <c r="B36" s="10">
        <f>ATAN(B35/EchelleFPAparam!$E$3)</f>
        <v>-1.8129322252558493E-3</v>
      </c>
      <c r="C36" s="29">
        <f>EchelleFPAparam!$M$3+$B36</f>
        <v>-5.7785642163589182E-2</v>
      </c>
      <c r="F36" s="10">
        <f>ASIN($E33*$A33/(COS(F33)*2*EchelleFPAparam!$S$3*COS(-$C36/2)))-$C36/2</f>
        <v>1.1448359664568681</v>
      </c>
      <c r="G36" s="29">
        <f>$F36*180/EchelleFPAparam!$O$3</f>
        <v>65.594268143746405</v>
      </c>
      <c r="H36" s="10">
        <v>500</v>
      </c>
      <c r="J36" s="10">
        <f>A33</f>
        <v>2021.5403200000001</v>
      </c>
      <c r="K36" s="10">
        <f>B33</f>
        <v>2921.1781999999998</v>
      </c>
      <c r="L36" s="30">
        <f>C33</f>
        <v>1390</v>
      </c>
      <c r="M36" s="10">
        <f>E33</f>
        <v>28</v>
      </c>
      <c r="N36" s="29">
        <f>G36</f>
        <v>65.594268143746405</v>
      </c>
      <c r="O36" s="10">
        <f>H36</f>
        <v>500</v>
      </c>
      <c r="AG36" s="29">
        <f>N104</f>
        <v>64.162074181447196</v>
      </c>
      <c r="AH36" s="29">
        <f>O104</f>
        <v>650</v>
      </c>
    </row>
    <row r="37" spans="1:34" x14ac:dyDescent="0.2">
      <c r="A37" s="10">
        <v>1879.05952</v>
      </c>
      <c r="B37" s="10">
        <v>2933.636</v>
      </c>
      <c r="C37" s="10">
        <v>1886</v>
      </c>
      <c r="D37" s="28">
        <f>INT(B37/2048)+1</f>
        <v>2</v>
      </c>
      <c r="E37" s="10">
        <v>30</v>
      </c>
      <c r="F37" s="10">
        <f>(C37-$AE$12)*EchelleFPAparam!$C$3/EchelleFPAparam!$E$3</f>
        <v>4.1666666666666666E-3</v>
      </c>
      <c r="AG37" s="29">
        <f>N108</f>
        <v>64.161982498470906</v>
      </c>
      <c r="AH37" s="29">
        <f>O108</f>
        <v>650</v>
      </c>
    </row>
    <row r="38" spans="1:34" x14ac:dyDescent="0.2">
      <c r="B38" s="10">
        <f>B37-3072+(D37-2)*EchelleFPAparam!$B$3/EchelleFPAparam!$C$3</f>
        <v>-138.36400000000003</v>
      </c>
      <c r="AG38" s="29">
        <f>N112</f>
        <v>64.163144707027897</v>
      </c>
      <c r="AH38" s="29">
        <f>O112</f>
        <v>650</v>
      </c>
    </row>
    <row r="39" spans="1:34" x14ac:dyDescent="0.2">
      <c r="B39" s="10">
        <f>B38*EchelleFPAparam!$C$3*COS(EchelleFPAparam!$AC$3)*$B$6</f>
        <v>-2.5147384648812148</v>
      </c>
      <c r="AG39" s="29">
        <f>N116</f>
        <v>64.163287738327568</v>
      </c>
      <c r="AH39" s="29">
        <f>O116</f>
        <v>650</v>
      </c>
    </row>
    <row r="40" spans="1:34" x14ac:dyDescent="0.2">
      <c r="B40" s="10">
        <f>ATAN(B39/EchelleFPAparam!$E$3)</f>
        <v>-1.663185281836383E-3</v>
      </c>
      <c r="C40" s="29">
        <f>EchelleFPAparam!$M$3+$B40</f>
        <v>-5.7635895220169715E-2</v>
      </c>
      <c r="F40" s="10">
        <f>ASIN($E37*$A37/(COS(F37)*2*EchelleFPAparam!$S$3*COS(-$C40/2)))-$C40/2</f>
        <v>1.1364840740506721</v>
      </c>
      <c r="G40" s="29">
        <f>$F40*180/EchelleFPAparam!$O$3</f>
        <v>65.115739964993224</v>
      </c>
      <c r="H40" s="10">
        <v>550</v>
      </c>
      <c r="J40" s="10">
        <f>A37</f>
        <v>1879.05952</v>
      </c>
      <c r="K40" s="10">
        <f>B37</f>
        <v>2933.636</v>
      </c>
      <c r="L40" s="30">
        <f>C37</f>
        <v>1886</v>
      </c>
      <c r="M40" s="10">
        <f>E37</f>
        <v>30</v>
      </c>
      <c r="N40" s="29">
        <f>G40</f>
        <v>65.115739964993224</v>
      </c>
      <c r="O40" s="10">
        <f>H40</f>
        <v>550</v>
      </c>
      <c r="AG40" s="29">
        <f>N120</f>
        <v>64.163538095139913</v>
      </c>
      <c r="AH40" s="29">
        <f>O120</f>
        <v>650</v>
      </c>
    </row>
    <row r="41" spans="1:34" x14ac:dyDescent="0.2">
      <c r="A41" s="10">
        <v>1880.28234</v>
      </c>
      <c r="B41" s="10">
        <v>3140.1174999999998</v>
      </c>
      <c r="C41" s="10">
        <v>1887</v>
      </c>
      <c r="D41" s="28">
        <f>INT(B41/2048)+1</f>
        <v>2</v>
      </c>
      <c r="E41" s="10">
        <v>30</v>
      </c>
      <c r="F41" s="10">
        <f>(C41-$AE$12)*EchelleFPAparam!$C$3/EchelleFPAparam!$E$3</f>
        <v>4.1785714285714282E-3</v>
      </c>
      <c r="AG41" s="29">
        <f>N124</f>
        <v>63.686621587330634</v>
      </c>
      <c r="AH41" s="29">
        <f>O124</f>
        <v>700</v>
      </c>
    </row>
    <row r="42" spans="1:34" x14ac:dyDescent="0.2">
      <c r="B42" s="10">
        <f>B41-3072+(D41-2)*EchelleFPAparam!$B$3/EchelleFPAparam!$C$3</f>
        <v>68.117499999999836</v>
      </c>
      <c r="AG42" s="29">
        <f>N128</f>
        <v>63.688980812673478</v>
      </c>
      <c r="AH42" s="29">
        <f>O128</f>
        <v>700</v>
      </c>
    </row>
    <row r="43" spans="1:34" x14ac:dyDescent="0.2">
      <c r="B43" s="10">
        <f>B42*EchelleFPAparam!$C$3*COS(EchelleFPAparam!$AC$3)*$B$6</f>
        <v>1.2380221544733143</v>
      </c>
      <c r="AG43" s="29">
        <f>N132</f>
        <v>63.686620849965031</v>
      </c>
      <c r="AH43" s="29">
        <f>O132</f>
        <v>700</v>
      </c>
    </row>
    <row r="44" spans="1:34" x14ac:dyDescent="0.2">
      <c r="B44" s="10">
        <f>ATAN(B43/EchelleFPAparam!$E$3)</f>
        <v>8.1879753823047724E-4</v>
      </c>
      <c r="C44" s="29">
        <f>EchelleFPAparam!$M$3+$B44</f>
        <v>-5.5153912400102853E-2</v>
      </c>
      <c r="F44" s="10">
        <f>ASIN($E41*$A41/(COS(F41)*2*EchelleFPAparam!$S$3*COS(-$C44/2)))-$C44/2</f>
        <v>1.136477778480051</v>
      </c>
      <c r="G44" s="29">
        <f>$F44*180/EchelleFPAparam!$O$3</f>
        <v>65.115379255372346</v>
      </c>
      <c r="H44" s="10">
        <v>550</v>
      </c>
      <c r="J44" s="10">
        <f>A41</f>
        <v>1880.28234</v>
      </c>
      <c r="K44" s="10">
        <f>B41</f>
        <v>3140.1174999999998</v>
      </c>
      <c r="L44" s="30">
        <f>C41</f>
        <v>1887</v>
      </c>
      <c r="M44" s="10">
        <f>E41</f>
        <v>30</v>
      </c>
      <c r="N44" s="29">
        <f>G44</f>
        <v>65.115379255372346</v>
      </c>
      <c r="O44" s="10">
        <f>H44</f>
        <v>550</v>
      </c>
      <c r="AG44" s="29">
        <f>N136</f>
        <v>67.024189344432074</v>
      </c>
      <c r="AH44" s="29">
        <f>O136</f>
        <v>350</v>
      </c>
    </row>
    <row r="45" spans="1:34" x14ac:dyDescent="0.2">
      <c r="A45" s="10">
        <v>1880.28234</v>
      </c>
      <c r="B45" s="10">
        <v>4309.5758999999998</v>
      </c>
      <c r="C45" s="10">
        <v>1923</v>
      </c>
      <c r="D45" s="28">
        <f>INT(B45/2048)+1</f>
        <v>3</v>
      </c>
      <c r="E45" s="10">
        <v>30</v>
      </c>
      <c r="F45" s="10">
        <f>(C45-$AE$12)*EchelleFPAparam!$C$3/EchelleFPAparam!$E$3</f>
        <v>4.6071428571428565E-3</v>
      </c>
      <c r="AG45" s="29">
        <f>N140</f>
        <v>67.498335680257597</v>
      </c>
      <c r="AH45" s="29">
        <f>O140</f>
        <v>300</v>
      </c>
    </row>
    <row r="46" spans="1:34" x14ac:dyDescent="0.2">
      <c r="B46" s="10">
        <f>B45-3072+(D45-2)*EchelleFPAparam!$B$3/EchelleFPAparam!$C$3</f>
        <v>1382.5758999999998</v>
      </c>
      <c r="AG46" s="29">
        <f>N144</f>
        <v>67.496807369756198</v>
      </c>
      <c r="AH46" s="29">
        <f>O144</f>
        <v>300</v>
      </c>
    </row>
    <row r="47" spans="1:34" x14ac:dyDescent="0.2">
      <c r="B47" s="10">
        <f>B46*EchelleFPAparam!$C$3*COS(EchelleFPAparam!$AC$3)*$B$6</f>
        <v>25.128044840766108</v>
      </c>
      <c r="AG47" s="29">
        <f>N148</f>
        <v>67.496693020595146</v>
      </c>
      <c r="AH47" s="29">
        <f>O148</f>
        <v>300</v>
      </c>
    </row>
    <row r="48" spans="1:34" x14ac:dyDescent="0.2">
      <c r="B48" s="10">
        <f>ATAN(B47/EchelleFPAparam!$E$3)</f>
        <v>1.6617547500828316E-2</v>
      </c>
      <c r="C48" s="29">
        <f>EchelleFPAparam!$M$3+$B48</f>
        <v>-3.9355162437505017E-2</v>
      </c>
      <c r="F48" s="10">
        <f>ASIN($E45*$A45/(COS(F45)*2*EchelleFPAparam!$S$3*COS(-$C48/2)))-$C48/2</f>
        <v>1.1282073640790136</v>
      </c>
      <c r="G48" s="29">
        <f>$F48*180/EchelleFPAparam!$O$3</f>
        <v>64.64151942236893</v>
      </c>
      <c r="H48" s="10">
        <v>600</v>
      </c>
      <c r="J48" s="10">
        <f>A45</f>
        <v>1880.28234</v>
      </c>
      <c r="K48" s="10">
        <f>B45</f>
        <v>4309.5758999999998</v>
      </c>
      <c r="L48" s="30">
        <f>C45</f>
        <v>1923</v>
      </c>
      <c r="M48" s="10">
        <f>E45</f>
        <v>30</v>
      </c>
      <c r="N48" s="29">
        <f>G48</f>
        <v>64.64151942236893</v>
      </c>
      <c r="O48" s="10">
        <f>H48</f>
        <v>600</v>
      </c>
      <c r="AG48" s="29">
        <f>N152</f>
        <v>67.497934180301698</v>
      </c>
      <c r="AH48" s="29">
        <f>O152</f>
        <v>300</v>
      </c>
    </row>
    <row r="49" spans="1:34" x14ac:dyDescent="0.2">
      <c r="A49" s="10">
        <v>2021.5403200000001</v>
      </c>
      <c r="B49" s="10">
        <v>5429.3305</v>
      </c>
      <c r="C49" s="10">
        <v>1460</v>
      </c>
      <c r="D49" s="28">
        <f>INT(B49/2048)+1</f>
        <v>3</v>
      </c>
      <c r="E49" s="10">
        <v>28</v>
      </c>
      <c r="F49" s="10">
        <f>(C49-$AE$12)*EchelleFPAparam!$C$3/EchelleFPAparam!$E$3</f>
        <v>-9.0476190476190463E-4</v>
      </c>
    </row>
    <row r="50" spans="1:34" x14ac:dyDescent="0.2">
      <c r="B50" s="10">
        <f>B49-3072+(D49-2)*EchelleFPAparam!$B$3/EchelleFPAparam!$C$3</f>
        <v>2502.3305</v>
      </c>
    </row>
    <row r="51" spans="1:34" x14ac:dyDescent="0.2">
      <c r="B51" s="10">
        <f>B50*EchelleFPAparam!$C$3*COS(EchelleFPAparam!$AC$3)*$B$6</f>
        <v>45.479364286920294</v>
      </c>
      <c r="AG51" s="10">
        <f>INDEX(LINEST(AG13:AG48,AH13:AH48),2)</f>
        <v>70.356880775160448</v>
      </c>
      <c r="AH51" s="10">
        <f>INDEX(LINEST(AG13:AG48,AH13:AH48),1)</f>
        <v>-9.5267180424782501E-3</v>
      </c>
    </row>
    <row r="52" spans="1:34" x14ac:dyDescent="0.2">
      <c r="B52" s="10">
        <f>ATAN(B51/EchelleFPAparam!$E$3)</f>
        <v>3.0069878318006626E-2</v>
      </c>
      <c r="C52" s="29">
        <f>EchelleFPAparam!$M$3+$B52</f>
        <v>-2.5902831620326704E-2</v>
      </c>
      <c r="F52" s="10">
        <f>ASIN($E49*$A49/(COS(F49)*2*EchelleFPAparam!$S$3*COS(-$C52/2)))-$C52/2</f>
        <v>1.1282108031340654</v>
      </c>
      <c r="G52" s="29">
        <f>$F52*180/EchelleFPAparam!$O$3</f>
        <v>64.641716465705997</v>
      </c>
      <c r="H52" s="10">
        <v>600</v>
      </c>
      <c r="J52" s="10">
        <f>A49</f>
        <v>2021.5403200000001</v>
      </c>
      <c r="K52" s="10">
        <f>B49</f>
        <v>5429.3305</v>
      </c>
      <c r="L52" s="30">
        <f>C49</f>
        <v>1460</v>
      </c>
      <c r="M52" s="10">
        <f>E49</f>
        <v>28</v>
      </c>
      <c r="N52" s="29">
        <f>G52</f>
        <v>64.641716465705997</v>
      </c>
      <c r="O52" s="10">
        <f>H52</f>
        <v>600</v>
      </c>
    </row>
    <row r="53" spans="1:34" x14ac:dyDescent="0.2">
      <c r="A53" s="10">
        <v>1858.5983699999999</v>
      </c>
      <c r="B53" s="10">
        <v>1043.3361</v>
      </c>
      <c r="C53" s="10">
        <v>1907</v>
      </c>
      <c r="D53" s="28">
        <v>1</v>
      </c>
      <c r="E53" s="10">
        <v>30</v>
      </c>
      <c r="F53" s="10">
        <f>(C53-$AE$12)*EchelleFPAparam!$C$3/EchelleFPAparam!$E$3</f>
        <v>4.4166666666666668E-3</v>
      </c>
    </row>
    <row r="54" spans="1:34" x14ac:dyDescent="0.2">
      <c r="B54" s="10">
        <f>B53-3072+(D53-2)*EchelleFPAparam!$B$3/EchelleFPAparam!$C$3</f>
        <v>-2173.6639</v>
      </c>
    </row>
    <row r="55" spans="1:34" x14ac:dyDescent="0.2">
      <c r="B55" s="10">
        <f>B54*EchelleFPAparam!$C$3*COS(EchelleFPAparam!$AC$3)*$B$6</f>
        <v>-39.505913525582606</v>
      </c>
    </row>
    <row r="56" spans="1:34" x14ac:dyDescent="0.2">
      <c r="B56" s="10">
        <f>ATAN(B55/EchelleFPAparam!$E$3)</f>
        <v>-2.6122306328702927E-2</v>
      </c>
      <c r="C56" s="29">
        <f>EchelleFPAparam!$M$3+$B56</f>
        <v>-8.2095016267036261E-2</v>
      </c>
      <c r="F56" s="10">
        <f>ASIN($E53*$A53/(COS(F53)*2*EchelleFPAparam!$S$3*COS(-$C56/2)))-$C56/2</f>
        <v>1.128177073895597</v>
      </c>
      <c r="G56" s="29">
        <f>$F56*180/EchelleFPAparam!$O$3</f>
        <v>64.639783922724121</v>
      </c>
      <c r="H56" s="10">
        <v>600</v>
      </c>
      <c r="J56" s="10">
        <f>A53</f>
        <v>1858.5983699999999</v>
      </c>
      <c r="K56" s="10">
        <f>B53</f>
        <v>1043.3361</v>
      </c>
      <c r="L56" s="30">
        <f>C53</f>
        <v>1907</v>
      </c>
      <c r="M56" s="10">
        <f>E53</f>
        <v>30</v>
      </c>
      <c r="N56" s="29">
        <f>G56</f>
        <v>64.639783922724121</v>
      </c>
      <c r="O56" s="10">
        <f>H56</f>
        <v>600</v>
      </c>
    </row>
    <row r="57" spans="1:34" x14ac:dyDescent="0.2">
      <c r="A57" s="10">
        <v>1879.2856200000001</v>
      </c>
      <c r="B57" s="10">
        <v>4139.4003000000002</v>
      </c>
      <c r="C57" s="10">
        <v>1922</v>
      </c>
      <c r="D57" s="28">
        <v>3</v>
      </c>
      <c r="E57" s="10">
        <v>30</v>
      </c>
      <c r="F57" s="10">
        <f>(C57-$AE$12)*EchelleFPAparam!$C$3/EchelleFPAparam!$E$3</f>
        <v>4.5952380952380949E-3</v>
      </c>
    </row>
    <row r="58" spans="1:34" x14ac:dyDescent="0.2">
      <c r="B58" s="10">
        <f>B57-3072+(D57-2)*EchelleFPAparam!$B$3/EchelleFPAparam!$C$3</f>
        <v>1212.4003000000002</v>
      </c>
    </row>
    <row r="59" spans="1:34" x14ac:dyDescent="0.2">
      <c r="B59" s="10">
        <f>B58*EchelleFPAparam!$C$3*COS(EchelleFPAparam!$AC$3)*$B$6</f>
        <v>22.035136807576563</v>
      </c>
    </row>
    <row r="60" spans="1:34" x14ac:dyDescent="0.2">
      <c r="B60" s="10">
        <f>ATAN(B59/EchelleFPAparam!$E$3)</f>
        <v>1.4572471570222567E-2</v>
      </c>
      <c r="C60" s="29">
        <f>EchelleFPAparam!$M$3+$B60</f>
        <v>-4.1400238368110763E-2</v>
      </c>
      <c r="F60" s="10">
        <f>ASIN($E57*$A57/(COS(F57)*2*EchelleFPAparam!$S$3*COS(-$C60/2)))-$C60/2</f>
        <v>1.1282084020447753</v>
      </c>
      <c r="G60" s="29">
        <f>$F60*180/EchelleFPAparam!$O$3</f>
        <v>64.641578893425475</v>
      </c>
      <c r="H60" s="10">
        <v>600</v>
      </c>
      <c r="J60" s="10">
        <f>A57</f>
        <v>1879.2856200000001</v>
      </c>
      <c r="K60" s="10">
        <f>B57</f>
        <v>4139.4003000000002</v>
      </c>
      <c r="L60" s="30">
        <f>C57</f>
        <v>1922</v>
      </c>
      <c r="M60" s="10">
        <f>E57</f>
        <v>30</v>
      </c>
      <c r="N60" s="29">
        <f>G60</f>
        <v>64.641578893425475</v>
      </c>
      <c r="O60" s="10">
        <f>H60</f>
        <v>600</v>
      </c>
    </row>
    <row r="61" spans="1:34" x14ac:dyDescent="0.2">
      <c r="A61" s="10">
        <v>2001.7733599999999</v>
      </c>
      <c r="B61" s="10">
        <v>2452.636</v>
      </c>
      <c r="C61" s="10">
        <v>1449</v>
      </c>
      <c r="D61" s="28">
        <v>2</v>
      </c>
      <c r="E61" s="10">
        <v>28</v>
      </c>
      <c r="F61" s="10">
        <f>(C61-$AE$12)*EchelleFPAparam!$C$3/EchelleFPAparam!$E$3</f>
        <v>-1.0357142857142856E-3</v>
      </c>
    </row>
    <row r="62" spans="1:34" x14ac:dyDescent="0.2">
      <c r="B62" s="10">
        <f>B61-3072+(D61-2)*EchelleFPAparam!$B$3/EchelleFPAparam!$C$3</f>
        <v>-619.36400000000003</v>
      </c>
    </row>
    <row r="63" spans="1:34" x14ac:dyDescent="0.2">
      <c r="B63" s="10">
        <f>B62*EchelleFPAparam!$C$3*COS(EchelleFPAparam!$AC$3)*$B$6</f>
        <v>-11.256818786408951</v>
      </c>
    </row>
    <row r="64" spans="1:34" x14ac:dyDescent="0.2">
      <c r="B64" s="10">
        <f>ATAN(B63/EchelleFPAparam!$E$3)</f>
        <v>-7.4448484213171899E-3</v>
      </c>
      <c r="C64" s="29">
        <f>EchelleFPAparam!$M$3+$B64</f>
        <v>-6.3417558359650517E-2</v>
      </c>
      <c r="F64" s="10">
        <f>ASIN($E61*$A61/(COS(F61)*2*EchelleFPAparam!$S$3*COS(-$C64/2)))-$C64/2</f>
        <v>1.128213825227155</v>
      </c>
      <c r="G64" s="29">
        <f>$F64*180/EchelleFPAparam!$O$3</f>
        <v>64.641889618882772</v>
      </c>
      <c r="H64" s="10">
        <v>600</v>
      </c>
      <c r="J64" s="10">
        <f>A61</f>
        <v>2001.7733599999999</v>
      </c>
      <c r="K64" s="10">
        <f>B61</f>
        <v>2452.636</v>
      </c>
      <c r="L64" s="30">
        <f>C61</f>
        <v>1449</v>
      </c>
      <c r="M64" s="10">
        <f>E61</f>
        <v>28</v>
      </c>
      <c r="N64" s="29">
        <f>G64</f>
        <v>64.641889618882772</v>
      </c>
      <c r="O64" s="10">
        <f>H64</f>
        <v>600</v>
      </c>
    </row>
    <row r="65" spans="1:15" x14ac:dyDescent="0.2">
      <c r="A65" s="10">
        <v>2144.4225099999999</v>
      </c>
      <c r="B65" s="10">
        <v>1026.3076000000001</v>
      </c>
      <c r="C65" s="10">
        <v>912</v>
      </c>
      <c r="D65" s="28">
        <v>1</v>
      </c>
      <c r="E65" s="10">
        <v>26</v>
      </c>
      <c r="F65" s="10">
        <f>(C65-$AE$12)*EchelleFPAparam!$C$3/EchelleFPAparam!$E$3</f>
        <v>-7.4285714285714285E-3</v>
      </c>
    </row>
    <row r="66" spans="1:15" x14ac:dyDescent="0.2">
      <c r="B66" s="10">
        <f>B65-3072+(D65-2)*EchelleFPAparam!$B$3/EchelleFPAparam!$C$3</f>
        <v>-2190.6923999999999</v>
      </c>
    </row>
    <row r="67" spans="1:15" x14ac:dyDescent="0.2">
      <c r="B67" s="10">
        <f>B66*EchelleFPAparam!$C$3*COS(EchelleFPAparam!$AC$3)*$B$6</f>
        <v>-39.81540316124817</v>
      </c>
    </row>
    <row r="68" spans="1:15" x14ac:dyDescent="0.2">
      <c r="B68" s="10">
        <f>ATAN(B67/EchelleFPAparam!$E$3)</f>
        <v>-2.6326854502310256E-2</v>
      </c>
      <c r="C68" s="29">
        <f>EchelleFPAparam!$M$3+$B68</f>
        <v>-8.2299564440643583E-2</v>
      </c>
      <c r="F68" s="10">
        <f>ASIN($E65*$A65/(COS(F65)*2*EchelleFPAparam!$S$3*COS(-$C68/2)))-$C68/2</f>
        <v>1.1282200534983802</v>
      </c>
      <c r="G68" s="29">
        <f>$F68*180/EchelleFPAparam!$O$3</f>
        <v>64.642246472532378</v>
      </c>
      <c r="H68" s="10">
        <v>600</v>
      </c>
      <c r="J68" s="10">
        <f>A65</f>
        <v>2144.4225099999999</v>
      </c>
      <c r="K68" s="10">
        <f>B65</f>
        <v>1026.3076000000001</v>
      </c>
      <c r="L68" s="30">
        <f>C65</f>
        <v>912</v>
      </c>
      <c r="M68" s="10">
        <f>E65</f>
        <v>26</v>
      </c>
      <c r="N68" s="29">
        <f>G68</f>
        <v>64.642246472532378</v>
      </c>
      <c r="O68" s="10">
        <f>H68</f>
        <v>600</v>
      </c>
    </row>
    <row r="69" spans="1:15" x14ac:dyDescent="0.2">
      <c r="A69" s="10">
        <v>2350.88724</v>
      </c>
      <c r="B69" s="10">
        <v>4419.0956999999999</v>
      </c>
      <c r="C69" s="10">
        <v>281</v>
      </c>
      <c r="D69" s="28">
        <f>INT(B69/2048)+1</f>
        <v>3</v>
      </c>
      <c r="E69" s="10">
        <v>24</v>
      </c>
      <c r="F69" s="10">
        <f>(C69-$AE$12)*EchelleFPAparam!$C$3/EchelleFPAparam!$E$3</f>
        <v>-1.494047619047619E-2</v>
      </c>
    </row>
    <row r="70" spans="1:15" x14ac:dyDescent="0.2">
      <c r="B70" s="10">
        <f>B69-3072+(D69-2)*EchelleFPAparam!$B$3/EchelleFPAparam!$C$3</f>
        <v>1492.0956999999999</v>
      </c>
    </row>
    <row r="71" spans="1:15" x14ac:dyDescent="0.2">
      <c r="B71" s="10">
        <f>B70*EchelleFPAparam!$C$3*COS(EchelleFPAparam!$AC$3)*$B$6</f>
        <v>27.11854564824564</v>
      </c>
    </row>
    <row r="72" spans="1:15" x14ac:dyDescent="0.2">
      <c r="B72" s="10">
        <f>ATAN(B71/EchelleFPAparam!$E$3)</f>
        <v>1.7933623243152071E-2</v>
      </c>
      <c r="C72" s="29">
        <f>EchelleFPAparam!$M$3+$B72</f>
        <v>-3.803908669518126E-2</v>
      </c>
      <c r="F72" s="10">
        <f>ASIN($E69*$A69/(COS(F69)*2*EchelleFPAparam!$S$3*COS(-$C72/2)))-$C72/2</f>
        <v>1.1281831636717163</v>
      </c>
      <c r="G72" s="29">
        <f>$F72*180/EchelleFPAparam!$O$3</f>
        <v>64.640132841188787</v>
      </c>
      <c r="H72" s="10">
        <v>600</v>
      </c>
      <c r="J72" s="10">
        <f>A69</f>
        <v>2350.88724</v>
      </c>
      <c r="K72" s="10">
        <f>B69</f>
        <v>4419.0956999999999</v>
      </c>
      <c r="L72" s="30">
        <f>C69</f>
        <v>281</v>
      </c>
      <c r="M72" s="10">
        <f>E69</f>
        <v>24</v>
      </c>
      <c r="N72" s="29">
        <f>G72</f>
        <v>64.640132841188787</v>
      </c>
      <c r="O72" s="10">
        <f>H72</f>
        <v>600</v>
      </c>
    </row>
    <row r="73" spans="1:15" x14ac:dyDescent="0.2">
      <c r="A73" s="10">
        <v>2249.1909900000001</v>
      </c>
      <c r="B73" s="10">
        <v>3464.2991000000002</v>
      </c>
      <c r="C73" s="10">
        <v>612</v>
      </c>
      <c r="D73" s="28">
        <f>INT(B73/2048)+1</f>
        <v>2</v>
      </c>
      <c r="E73" s="10">
        <v>25</v>
      </c>
      <c r="F73" s="10">
        <f>(C73-$AE$12)*EchelleFPAparam!$C$3/EchelleFPAparam!$E$3</f>
        <v>-1.0999999999999999E-2</v>
      </c>
    </row>
    <row r="74" spans="1:15" x14ac:dyDescent="0.2">
      <c r="B74" s="10">
        <f>B73-3072+(D73-2)*EchelleFPAparam!$B$3/EchelleFPAparam!$C$3</f>
        <v>392.29910000000018</v>
      </c>
    </row>
    <row r="75" spans="1:15" x14ac:dyDescent="0.2">
      <c r="B75" s="10">
        <f>B74*EchelleFPAparam!$C$3*COS(EchelleFPAparam!$AC$3)*$B$6</f>
        <v>7.129958923623791</v>
      </c>
    </row>
    <row r="76" spans="1:15" x14ac:dyDescent="0.2">
      <c r="B76" s="10">
        <f>ATAN(B75/EchelleFPAparam!$E$3)</f>
        <v>4.7155463461594528E-3</v>
      </c>
      <c r="C76" s="29">
        <f>EchelleFPAparam!$M$3+$B76</f>
        <v>-5.1257163592173874E-2</v>
      </c>
      <c r="F76" s="10">
        <f>ASIN($E73*$A73/(COS(F73)*2*EchelleFPAparam!$S$3*COS(-$C76/2)))-$C76/2</f>
        <v>1.1282057624579893</v>
      </c>
      <c r="G76" s="29">
        <f>$F76*180/EchelleFPAparam!$O$3</f>
        <v>64.641427656245213</v>
      </c>
      <c r="H76" s="10">
        <v>600</v>
      </c>
      <c r="J76" s="10">
        <f>A73</f>
        <v>2249.1909900000001</v>
      </c>
      <c r="K76" s="10">
        <f>B73</f>
        <v>3464.2991000000002</v>
      </c>
      <c r="L76" s="30">
        <f>C73</f>
        <v>612</v>
      </c>
      <c r="M76" s="10">
        <f>E73</f>
        <v>25</v>
      </c>
      <c r="N76" s="29">
        <f>G76</f>
        <v>64.641427656245213</v>
      </c>
      <c r="O76" s="10">
        <f>H76</f>
        <v>600</v>
      </c>
    </row>
    <row r="77" spans="1:15" x14ac:dyDescent="0.2">
      <c r="A77" s="10">
        <v>2334.6783</v>
      </c>
      <c r="B77" s="10">
        <v>2390.7636000000002</v>
      </c>
      <c r="C77" s="10">
        <v>282</v>
      </c>
      <c r="D77" s="28">
        <f>INT(B77/2048)+1</f>
        <v>2</v>
      </c>
      <c r="E77" s="10">
        <v>24</v>
      </c>
      <c r="F77" s="10">
        <f>(C77-$AE$12)*EchelleFPAparam!$C$3/EchelleFPAparam!$E$3</f>
        <v>-1.4928571428571428E-2</v>
      </c>
    </row>
    <row r="78" spans="1:15" x14ac:dyDescent="0.2">
      <c r="B78" s="10">
        <f>B77-3072+(D77-2)*EchelleFPAparam!$B$3/EchelleFPAparam!$C$3</f>
        <v>-681.23639999999978</v>
      </c>
    </row>
    <row r="79" spans="1:15" x14ac:dyDescent="0.2">
      <c r="B79" s="10">
        <f>B78*EchelleFPAparam!$C$3*COS(EchelleFPAparam!$AC$3)*$B$6</f>
        <v>-12.381337477647394</v>
      </c>
    </row>
    <row r="80" spans="1:15" x14ac:dyDescent="0.2">
      <c r="B80" s="10">
        <f>ATAN(B79/EchelleFPAparam!$E$3)</f>
        <v>-8.1885322387665015E-3</v>
      </c>
      <c r="C80" s="29">
        <f>EchelleFPAparam!$M$3+$B80</f>
        <v>-6.4161242177099828E-2</v>
      </c>
      <c r="F80" s="10">
        <f>ASIN($E77*$A77/(COS(F77)*2*EchelleFPAparam!$S$3*COS(-$C80/2)))-$C80/2</f>
        <v>1.1282210375489108</v>
      </c>
      <c r="G80" s="29">
        <f>$F80*180/EchelleFPAparam!$O$3</f>
        <v>64.642302854473769</v>
      </c>
      <c r="H80" s="10">
        <v>600</v>
      </c>
      <c r="J80" s="10">
        <f>A77</f>
        <v>2334.6783</v>
      </c>
      <c r="K80" s="10">
        <f>B77</f>
        <v>2390.7636000000002</v>
      </c>
      <c r="L80" s="30">
        <f>C77</f>
        <v>282</v>
      </c>
      <c r="M80" s="10">
        <f>E77</f>
        <v>24</v>
      </c>
      <c r="N80" s="29">
        <f>G80</f>
        <v>64.642302854473769</v>
      </c>
      <c r="O80" s="10">
        <f>H80</f>
        <v>600</v>
      </c>
    </row>
    <row r="81" spans="1:15" x14ac:dyDescent="0.2">
      <c r="A81" s="10">
        <v>1870.1409799999999</v>
      </c>
      <c r="B81" s="10">
        <v>2755.212</v>
      </c>
      <c r="C81" s="10">
        <v>1914</v>
      </c>
      <c r="D81" s="28">
        <f>INT(B81/2048)+1</f>
        <v>2</v>
      </c>
      <c r="E81" s="10">
        <v>30</v>
      </c>
      <c r="F81" s="10">
        <f>(C81-$AE$12)*EchelleFPAparam!$C$3/EchelleFPAparam!$E$3</f>
        <v>4.4999999999999997E-3</v>
      </c>
    </row>
    <row r="82" spans="1:15" x14ac:dyDescent="0.2">
      <c r="B82" s="10">
        <f>B81-3072+(D81-2)*EchelleFPAparam!$B$3/EchelleFPAparam!$C$3</f>
        <v>-316.78800000000001</v>
      </c>
    </row>
    <row r="83" spans="1:15" x14ac:dyDescent="0.2">
      <c r="B83" s="10">
        <f>B82*EchelleFPAparam!$C$3*COS(EchelleFPAparam!$AC$3)*$B$6</f>
        <v>-5.7575595444825964</v>
      </c>
    </row>
    <row r="84" spans="1:15" x14ac:dyDescent="0.2">
      <c r="B84" s="10">
        <f>ATAN(B83/EchelleFPAparam!$E$3)</f>
        <v>-3.8078913466806645E-3</v>
      </c>
      <c r="C84" s="29">
        <f>EchelleFPAparam!$M$3+$B84</f>
        <v>-5.9780601285013994E-2</v>
      </c>
      <c r="F84" s="10">
        <f>ASIN($E81*$A81/(COS(F81)*2*EchelleFPAparam!$S$3*COS(-$C84/2)))-$C84/2</f>
        <v>1.1282046467366582</v>
      </c>
      <c r="G84" s="29">
        <f>$F84*180/EchelleFPAparam!$O$3</f>
        <v>64.641363730122777</v>
      </c>
      <c r="H84" s="10">
        <v>600</v>
      </c>
      <c r="J84" s="10">
        <f>A81</f>
        <v>1870.1409799999999</v>
      </c>
      <c r="K84" s="10">
        <f>B81</f>
        <v>2755.212</v>
      </c>
      <c r="L84" s="30">
        <f>C81</f>
        <v>1914</v>
      </c>
      <c r="M84" s="10">
        <f>E81</f>
        <v>30</v>
      </c>
      <c r="N84" s="29">
        <f>G84</f>
        <v>64.641363730122777</v>
      </c>
      <c r="O84" s="10">
        <f>H84</f>
        <v>600</v>
      </c>
    </row>
    <row r="85" spans="1:15" x14ac:dyDescent="0.2">
      <c r="A85" s="10">
        <v>2093.0079799999999</v>
      </c>
      <c r="B85" s="10">
        <v>4897.1514999999999</v>
      </c>
      <c r="C85" s="113">
        <v>1198</v>
      </c>
      <c r="D85" s="28">
        <v>3</v>
      </c>
      <c r="E85" s="10">
        <v>27</v>
      </c>
      <c r="F85" s="10">
        <f>(C85-$AE$12)*EchelleFPAparam!$C$3/EchelleFPAparam!$E$3</f>
        <v>-4.0238095238095233E-3</v>
      </c>
    </row>
    <row r="86" spans="1:15" x14ac:dyDescent="0.2">
      <c r="B86" s="10">
        <f>B85-3072+(D85-2)*EchelleFPAparam!$B$3/EchelleFPAparam!$C$3</f>
        <v>1970.1514999999999</v>
      </c>
    </row>
    <row r="87" spans="1:15" x14ac:dyDescent="0.2">
      <c r="B87" s="10">
        <f>B86*EchelleFPAparam!$C$3*COS(EchelleFPAparam!$AC$3)*$B$6</f>
        <v>35.807115714300103</v>
      </c>
    </row>
    <row r="88" spans="1:15" x14ac:dyDescent="0.2">
      <c r="B88" s="10">
        <f>ATAN(B87/EchelleFPAparam!$E$3)</f>
        <v>2.3677529103740338E-2</v>
      </c>
      <c r="C88" s="29">
        <f>EchelleFPAparam!$M$3+$B88</f>
        <v>-3.2295180834592992E-2</v>
      </c>
      <c r="F88" s="10">
        <f>ASIN($E85*$A85/(COS(F85)*2*EchelleFPAparam!$S$3*COS(-$C88/2)))-$C88/2</f>
        <v>1.1282132383759524</v>
      </c>
      <c r="G88" s="29">
        <f>$F88*180/EchelleFPAparam!$O$3</f>
        <v>64.641855994786155</v>
      </c>
      <c r="H88" s="10">
        <v>600</v>
      </c>
      <c r="J88" s="10">
        <f>A85</f>
        <v>2093.0079799999999</v>
      </c>
      <c r="K88" s="10">
        <f>B85</f>
        <v>4897.1514999999999</v>
      </c>
      <c r="L88" s="30">
        <f>C85</f>
        <v>1198</v>
      </c>
      <c r="M88" s="10">
        <f>E85</f>
        <v>27</v>
      </c>
      <c r="N88" s="29">
        <f>G88</f>
        <v>64.641855994786155</v>
      </c>
      <c r="O88" s="10">
        <f>H88</f>
        <v>600</v>
      </c>
    </row>
    <row r="89" spans="1:15" x14ac:dyDescent="0.2">
      <c r="A89" s="10">
        <v>2088.1378399999999</v>
      </c>
      <c r="B89" s="10">
        <v>4145.5272000000004</v>
      </c>
      <c r="C89" s="113">
        <v>1196</v>
      </c>
      <c r="D89" s="28">
        <v>3</v>
      </c>
      <c r="E89" s="10">
        <v>27</v>
      </c>
      <c r="F89" s="10">
        <f>(C89-$AE$12)*EchelleFPAparam!$C$3/EchelleFPAparam!$E$3</f>
        <v>-4.0476190476190473E-3</v>
      </c>
    </row>
    <row r="90" spans="1:15" x14ac:dyDescent="0.2">
      <c r="B90" s="10">
        <f>B89-3072+(D89-2)*EchelleFPAparam!$B$3/EchelleFPAparam!$C$3</f>
        <v>1218.5272000000004</v>
      </c>
    </row>
    <row r="91" spans="1:15" x14ac:dyDescent="0.2">
      <c r="B91" s="10">
        <f>B90*EchelleFPAparam!$C$3*COS(EchelleFPAparam!$AC$3)*$B$6</f>
        <v>22.146492009077541</v>
      </c>
    </row>
    <row r="92" spans="1:15" x14ac:dyDescent="0.2">
      <c r="B92" s="10">
        <f>ATAN(B91/EchelleFPAparam!$E$3)</f>
        <v>1.4646103472641912E-2</v>
      </c>
      <c r="C92" s="29">
        <f>EchelleFPAparam!$M$3+$B92</f>
        <v>-4.1326606465691418E-2</v>
      </c>
      <c r="F92" s="10">
        <f>ASIN($E89*$A89/(COS(F89)*2*EchelleFPAparam!$S$3*COS(-$C92/2)))-$C92/2</f>
        <v>1.1282062671792987</v>
      </c>
      <c r="G92" s="29">
        <f>$F92*180/EchelleFPAparam!$O$3</f>
        <v>64.641456574645645</v>
      </c>
      <c r="H92" s="10">
        <v>600</v>
      </c>
      <c r="J92" s="10">
        <f>A89</f>
        <v>2088.1378399999999</v>
      </c>
      <c r="K92" s="10">
        <f>B89</f>
        <v>4145.5272000000004</v>
      </c>
      <c r="L92" s="30">
        <f>C89</f>
        <v>1196</v>
      </c>
      <c r="M92" s="10">
        <f>E89</f>
        <v>27</v>
      </c>
      <c r="N92" s="29">
        <f>G92</f>
        <v>64.641456574645645</v>
      </c>
      <c r="O92" s="10">
        <f>H92</f>
        <v>600</v>
      </c>
    </row>
    <row r="93" spans="1:15" x14ac:dyDescent="0.2">
      <c r="A93" s="10">
        <v>2098.2061600000002</v>
      </c>
      <c r="B93" s="10">
        <v>5717.5641999999998</v>
      </c>
      <c r="C93" s="113">
        <v>1200</v>
      </c>
      <c r="D93" s="28">
        <v>3</v>
      </c>
      <c r="E93" s="10">
        <v>27</v>
      </c>
      <c r="F93" s="10">
        <f>(C93-$AE$12)*EchelleFPAparam!$C$3/EchelleFPAparam!$E$3</f>
        <v>-3.9999999999999992E-3</v>
      </c>
    </row>
    <row r="94" spans="1:15" x14ac:dyDescent="0.2">
      <c r="B94" s="10">
        <f>B93-3072+(D93-2)*EchelleFPAparam!$B$3/EchelleFPAparam!$C$3</f>
        <v>2790.5641999999998</v>
      </c>
    </row>
    <row r="95" spans="1:15" x14ac:dyDescent="0.2">
      <c r="B95" s="10">
        <f>B94*EchelleFPAparam!$C$3*COS(EchelleFPAparam!$AC$3)*$B$6</f>
        <v>50.717955049438231</v>
      </c>
    </row>
    <row r="96" spans="1:15" x14ac:dyDescent="0.2">
      <c r="B96" s="10">
        <f>ATAN(B95/EchelleFPAparam!$E$3)</f>
        <v>3.3531048741809059E-2</v>
      </c>
      <c r="C96" s="29">
        <f>EchelleFPAparam!$M$3+$B96</f>
        <v>-2.2441661196524271E-2</v>
      </c>
      <c r="F96" s="10">
        <f>ASIN($E93*$A93/(COS(F93)*2*EchelleFPAparam!$S$3*COS(-$C96/2)))-$C96/2</f>
        <v>1.1282027707921352</v>
      </c>
      <c r="G96" s="29">
        <f>$F96*180/EchelleFPAparam!$O$3</f>
        <v>64.641256246420596</v>
      </c>
      <c r="H96" s="10">
        <v>600</v>
      </c>
      <c r="J96" s="10">
        <f>A93</f>
        <v>2098.2061600000002</v>
      </c>
      <c r="K96" s="10">
        <f>B93</f>
        <v>5717.5641999999998</v>
      </c>
      <c r="L96" s="30">
        <f>C93</f>
        <v>1200</v>
      </c>
      <c r="M96" s="10">
        <f>E93</f>
        <v>27</v>
      </c>
      <c r="N96" s="29">
        <f>G96</f>
        <v>64.641256246420596</v>
      </c>
      <c r="O96" s="10">
        <f>H96</f>
        <v>600</v>
      </c>
    </row>
    <row r="97" spans="1:15" x14ac:dyDescent="0.2">
      <c r="A97" s="10">
        <v>2353.9347499999999</v>
      </c>
      <c r="B97" s="10">
        <v>4839.7943999999998</v>
      </c>
      <c r="C97" s="113">
        <v>280</v>
      </c>
      <c r="D97" s="28">
        <v>3</v>
      </c>
      <c r="E97" s="10">
        <v>24</v>
      </c>
      <c r="F97" s="10">
        <f>(C97-$AE$12)*EchelleFPAparam!$C$3/EchelleFPAparam!$E$3</f>
        <v>-1.495238095238095E-2</v>
      </c>
    </row>
    <row r="98" spans="1:15" x14ac:dyDescent="0.2">
      <c r="B98" s="10">
        <f>B97-3072+(D97-2)*EchelleFPAparam!$B$3/EchelleFPAparam!$C$3</f>
        <v>1912.7943999999998</v>
      </c>
    </row>
    <row r="99" spans="1:15" x14ac:dyDescent="0.2">
      <c r="B99" s="10">
        <f>B98*EchelleFPAparam!$C$3*COS(EchelleFPAparam!$AC$3)*$B$6</f>
        <v>34.764661711784726</v>
      </c>
    </row>
    <row r="100" spans="1:15" x14ac:dyDescent="0.2">
      <c r="B100" s="10">
        <f>ATAN(B99/EchelleFPAparam!$E$3)</f>
        <v>2.2988450715760354E-2</v>
      </c>
      <c r="C100" s="29">
        <f>EchelleFPAparam!$M$3+$B100</f>
        <v>-3.2984259222572976E-2</v>
      </c>
      <c r="F100" s="10">
        <f>ASIN($E97*$A97/(COS(F97)*2*EchelleFPAparam!$S$3*COS(-$C100/2)))-$C100/2</f>
        <v>1.1281779326144297</v>
      </c>
      <c r="G100" s="29">
        <f>$F100*180/EchelleFPAparam!$O$3</f>
        <v>64.639833123688291</v>
      </c>
      <c r="H100" s="10">
        <v>600</v>
      </c>
      <c r="J100" s="10">
        <f>A97</f>
        <v>2353.9347499999999</v>
      </c>
      <c r="K100" s="10">
        <f>B97</f>
        <v>4839.7943999999998</v>
      </c>
      <c r="L100" s="30">
        <f>C97</f>
        <v>280</v>
      </c>
      <c r="M100" s="10">
        <f>E97</f>
        <v>24</v>
      </c>
      <c r="N100" s="29">
        <f>G100</f>
        <v>64.639833123688291</v>
      </c>
      <c r="O100" s="10">
        <f>H100</f>
        <v>600</v>
      </c>
    </row>
    <row r="101" spans="1:15" x14ac:dyDescent="0.2">
      <c r="A101" s="10">
        <v>2249.1909900000001</v>
      </c>
      <c r="B101" s="10">
        <v>4653.0878000000002</v>
      </c>
      <c r="C101" s="10">
        <v>647</v>
      </c>
      <c r="D101" s="28">
        <f>INT(B101/2048)+1</f>
        <v>3</v>
      </c>
      <c r="E101" s="10">
        <v>25</v>
      </c>
      <c r="F101" s="10">
        <f>(C101-$AE$12)*EchelleFPAparam!$C$3/EchelleFPAparam!$E$3</f>
        <v>-1.0583333333333332E-2</v>
      </c>
    </row>
    <row r="102" spans="1:15" x14ac:dyDescent="0.2">
      <c r="B102" s="10">
        <f>B101-3072+(D101-2)*EchelleFPAparam!$B$3/EchelleFPAparam!$C$3</f>
        <v>1726.0878000000002</v>
      </c>
    </row>
    <row r="103" spans="1:15" x14ac:dyDescent="0.2">
      <c r="B103" s="10">
        <f>B102*EchelleFPAparam!$C$3*COS(EchelleFPAparam!$AC$3)*$B$6</f>
        <v>31.371306007503343</v>
      </c>
    </row>
    <row r="104" spans="1:15" x14ac:dyDescent="0.2">
      <c r="B104" s="10">
        <f>ATAN(B103/EchelleFPAparam!$E$3)</f>
        <v>2.0745241737501374E-2</v>
      </c>
      <c r="C104" s="29">
        <f>EchelleFPAparam!$M$3+$B104</f>
        <v>-3.522746820083196E-2</v>
      </c>
      <c r="F104" s="10">
        <f>ASIN($E101*$A101/(COS(F101)*2*EchelleFPAparam!$S$3*COS(-$C104/2)))-$C104/2</f>
        <v>1.1198394659182942</v>
      </c>
      <c r="G104" s="29">
        <f>$F104*180/EchelleFPAparam!$O$3</f>
        <v>64.162074181447196</v>
      </c>
      <c r="H104" s="10">
        <v>650</v>
      </c>
      <c r="J104" s="10">
        <f>A101</f>
        <v>2249.1909900000001</v>
      </c>
      <c r="K104" s="10">
        <f>B101</f>
        <v>4653.0878000000002</v>
      </c>
      <c r="L104" s="30">
        <f>C101</f>
        <v>647</v>
      </c>
      <c r="M104" s="10">
        <f>E101</f>
        <v>25</v>
      </c>
      <c r="N104" s="29">
        <f>G104</f>
        <v>64.162074181447196</v>
      </c>
      <c r="O104" s="10">
        <f>H104</f>
        <v>650</v>
      </c>
    </row>
    <row r="105" spans="1:15" x14ac:dyDescent="0.2">
      <c r="A105" s="10">
        <v>2334.6783</v>
      </c>
      <c r="B105" s="10">
        <v>3711.2964000000002</v>
      </c>
      <c r="C105" s="10">
        <v>319</v>
      </c>
      <c r="D105" s="28">
        <f>INT(B105/2048)+1</f>
        <v>2</v>
      </c>
      <c r="E105" s="10">
        <v>24</v>
      </c>
      <c r="F105" s="10">
        <f>(C105-$AE$12)*EchelleFPAparam!$C$3/EchelleFPAparam!$E$3</f>
        <v>-1.4488095238095237E-2</v>
      </c>
    </row>
    <row r="106" spans="1:15" x14ac:dyDescent="0.2">
      <c r="B106" s="10">
        <f>B105-3072+(D105-2)*EchelleFPAparam!$B$3/EchelleFPAparam!$C$3</f>
        <v>639.29640000000018</v>
      </c>
    </row>
    <row r="107" spans="1:15" x14ac:dyDescent="0.2">
      <c r="B107" s="10">
        <f>B106*EchelleFPAparam!$C$3*COS(EchelleFPAparam!$AC$3)*$B$6</f>
        <v>11.619086232980305</v>
      </c>
    </row>
    <row r="108" spans="1:15" x14ac:dyDescent="0.2">
      <c r="B108" s="10">
        <f>ATAN(B107/EchelleFPAparam!$E$3)</f>
        <v>7.6844295819833066E-3</v>
      </c>
      <c r="C108" s="29">
        <f>EchelleFPAparam!$M$3+$B108</f>
        <v>-4.8288280356350022E-2</v>
      </c>
      <c r="F108" s="10">
        <f>ASIN($E105*$A105/(COS(F105)*2*EchelleFPAparam!$S$3*COS(-$C108/2)))-$C108/2</f>
        <v>1.1198378657484664</v>
      </c>
      <c r="G108" s="29">
        <f>$F108*180/EchelleFPAparam!$O$3</f>
        <v>64.161982498470906</v>
      </c>
      <c r="H108" s="10">
        <v>650</v>
      </c>
      <c r="J108" s="10">
        <f>A105</f>
        <v>2334.6783</v>
      </c>
      <c r="K108" s="10">
        <f>B105</f>
        <v>3711.2964000000002</v>
      </c>
      <c r="L108" s="30">
        <f>C105</f>
        <v>319</v>
      </c>
      <c r="M108" s="10">
        <f>E105</f>
        <v>24</v>
      </c>
      <c r="N108" s="29">
        <f>G108</f>
        <v>64.161982498470906</v>
      </c>
      <c r="O108" s="10">
        <f>H108</f>
        <v>650</v>
      </c>
    </row>
    <row r="109" spans="1:15" x14ac:dyDescent="0.2">
      <c r="A109" s="10">
        <v>1870.1409799999999</v>
      </c>
      <c r="B109" s="10">
        <v>4077.6273000000001</v>
      </c>
      <c r="C109" s="10">
        <v>1951</v>
      </c>
      <c r="D109" s="28">
        <f>INT(B109/2048)+1</f>
        <v>2</v>
      </c>
      <c r="E109" s="10">
        <v>30</v>
      </c>
      <c r="F109" s="10">
        <f>(C109-$AE$12)*EchelleFPAparam!$C$3/EchelleFPAparam!$E$3</f>
        <v>4.9404761904761904E-3</v>
      </c>
    </row>
    <row r="110" spans="1:15" x14ac:dyDescent="0.2">
      <c r="B110" s="10">
        <f>B109-3072+(D109-2)*EchelleFPAparam!$B$3/EchelleFPAparam!$C$3</f>
        <v>1005.6273000000001</v>
      </c>
    </row>
    <row r="111" spans="1:15" x14ac:dyDescent="0.2">
      <c r="B111" s="10">
        <f>B110*EchelleFPAparam!$C$3*COS(EchelleFPAparam!$AC$3)*$B$6</f>
        <v>18.277078233099939</v>
      </c>
    </row>
    <row r="112" spans="1:15" x14ac:dyDescent="0.2">
      <c r="B112" s="10">
        <f>ATAN(B111/EchelleFPAparam!$E$3)</f>
        <v>1.2087425988740463E-2</v>
      </c>
      <c r="C112" s="29">
        <f>EchelleFPAparam!$M$3+$B112</f>
        <v>-4.3885283949592867E-2</v>
      </c>
      <c r="F112" s="10">
        <f>ASIN($E109*$A109/(COS(F109)*2*EchelleFPAparam!$S$3*COS(-$C112/2)))-$C112/2</f>
        <v>1.1198581501146803</v>
      </c>
      <c r="G112" s="29">
        <f>$F112*180/EchelleFPAparam!$O$3</f>
        <v>64.163144707027897</v>
      </c>
      <c r="H112" s="10">
        <v>650</v>
      </c>
      <c r="J112" s="10">
        <f>A109</f>
        <v>1870.1409799999999</v>
      </c>
      <c r="K112" s="10">
        <f>B109</f>
        <v>4077.6273000000001</v>
      </c>
      <c r="L112" s="30">
        <f>C109</f>
        <v>1951</v>
      </c>
      <c r="M112" s="10">
        <f>E109</f>
        <v>30</v>
      </c>
      <c r="N112" s="29">
        <f>G112</f>
        <v>64.163144707027897</v>
      </c>
      <c r="O112" s="10">
        <f>H112</f>
        <v>650</v>
      </c>
    </row>
    <row r="113" spans="1:15" x14ac:dyDescent="0.2">
      <c r="A113" s="10">
        <v>1880.28234</v>
      </c>
      <c r="B113" s="10">
        <v>5657.6133</v>
      </c>
      <c r="C113" s="10">
        <v>1958</v>
      </c>
      <c r="D113" s="28">
        <f>INT(B113/2048)+1</f>
        <v>3</v>
      </c>
      <c r="E113" s="10">
        <v>30</v>
      </c>
      <c r="F113" s="10">
        <f>(C113-$AE$12)*EchelleFPAparam!$C$3/EchelleFPAparam!$E$3</f>
        <v>5.0238095238095233E-3</v>
      </c>
    </row>
    <row r="114" spans="1:15" x14ac:dyDescent="0.2">
      <c r="B114" s="10">
        <f>B113-3072+(D113-2)*EchelleFPAparam!$B$3/EchelleFPAparam!$C$3</f>
        <v>2730.6133</v>
      </c>
    </row>
    <row r="115" spans="1:15" x14ac:dyDescent="0.2">
      <c r="B115" s="10">
        <f>B114*EchelleFPAparam!$C$3*COS(EchelleFPAparam!$AC$3)*$B$6</f>
        <v>49.628359242477991</v>
      </c>
    </row>
    <row r="116" spans="1:15" x14ac:dyDescent="0.2">
      <c r="B116" s="10">
        <f>ATAN(B115/EchelleFPAparam!$E$3)</f>
        <v>3.281120926345342E-2</v>
      </c>
      <c r="C116" s="29">
        <f>EchelleFPAparam!$M$3+$B116</f>
        <v>-2.316150067487991E-2</v>
      </c>
      <c r="F116" s="10">
        <f>ASIN($E113*$A113/(COS(F113)*2*EchelleFPAparam!$S$3*COS(-$C116/2)))-$C116/2</f>
        <v>1.1198606464818299</v>
      </c>
      <c r="G116" s="29">
        <f>$F116*180/EchelleFPAparam!$O$3</f>
        <v>64.163287738327568</v>
      </c>
      <c r="H116" s="10">
        <v>650</v>
      </c>
      <c r="J116" s="10">
        <f>A113</f>
        <v>1880.28234</v>
      </c>
      <c r="K116" s="10">
        <f>B113</f>
        <v>5657.6133</v>
      </c>
      <c r="L116" s="30">
        <f>C113</f>
        <v>1958</v>
      </c>
      <c r="M116" s="10">
        <f>E113</f>
        <v>30</v>
      </c>
      <c r="N116" s="29">
        <f>G116</f>
        <v>64.163287738327568</v>
      </c>
      <c r="O116" s="10">
        <f>H116</f>
        <v>650</v>
      </c>
    </row>
    <row r="117" spans="1:15" x14ac:dyDescent="0.2">
      <c r="A117" s="10">
        <v>1879.05952</v>
      </c>
      <c r="B117" s="10">
        <v>5445.0990000000002</v>
      </c>
      <c r="C117" s="10">
        <v>1957</v>
      </c>
      <c r="D117" s="28">
        <f>INT(B117/2048)+1</f>
        <v>3</v>
      </c>
      <c r="E117" s="10">
        <v>30</v>
      </c>
      <c r="F117" s="10">
        <f>(C117-$AE$12)*EchelleFPAparam!$C$3/EchelleFPAparam!$E$3</f>
        <v>5.0119047619047617E-3</v>
      </c>
    </row>
    <row r="118" spans="1:15" x14ac:dyDescent="0.2">
      <c r="B118" s="10">
        <f>B117-3072+(D117-2)*EchelleFPAparam!$B$3/EchelleFPAparam!$C$3</f>
        <v>2518.0990000000002</v>
      </c>
    </row>
    <row r="119" spans="1:15" x14ac:dyDescent="0.2">
      <c r="B119" s="10">
        <f>B118*EchelleFPAparam!$C$3*COS(EchelleFPAparam!$AC$3)*$B$6</f>
        <v>45.765953670600148</v>
      </c>
    </row>
    <row r="120" spans="1:15" x14ac:dyDescent="0.2">
      <c r="B120" s="10">
        <f>ATAN(B119/EchelleFPAparam!$E$3)</f>
        <v>3.025924914734764E-2</v>
      </c>
      <c r="C120" s="29">
        <f>EchelleFPAparam!$M$3+$B120</f>
        <v>-2.5713460790985691E-2</v>
      </c>
      <c r="F120" s="10">
        <f>ASIN($E117*$A117/(COS(F117)*2*EchelleFPAparam!$S$3*COS(-$C120/2)))-$C120/2</f>
        <v>1.1198650160325747</v>
      </c>
      <c r="G120" s="29">
        <f>$F120*180/EchelleFPAparam!$O$3</f>
        <v>64.163538095139913</v>
      </c>
      <c r="H120" s="10">
        <v>650</v>
      </c>
      <c r="J120" s="10">
        <f>A117</f>
        <v>1879.05952</v>
      </c>
      <c r="K120" s="10">
        <f>B117</f>
        <v>5445.0990000000002</v>
      </c>
      <c r="L120" s="30">
        <f>C117</f>
        <v>1957</v>
      </c>
      <c r="M120" s="10">
        <f>E117</f>
        <v>30</v>
      </c>
      <c r="N120" s="29">
        <f>G120</f>
        <v>64.163538095139913</v>
      </c>
      <c r="O120" s="10">
        <f>H120</f>
        <v>650</v>
      </c>
    </row>
    <row r="121" spans="1:15" x14ac:dyDescent="0.2">
      <c r="A121" s="10">
        <v>2249.1909900000001</v>
      </c>
      <c r="B121" s="10">
        <v>5997.5204999999996</v>
      </c>
      <c r="C121" s="10">
        <v>681</v>
      </c>
      <c r="D121" s="28">
        <f>INT(B121/2048)+1</f>
        <v>3</v>
      </c>
      <c r="E121" s="10">
        <v>25</v>
      </c>
      <c r="F121" s="10">
        <f>(C121-$AE$12)*EchelleFPAparam!$C$3/EchelleFPAparam!$E$3</f>
        <v>-1.0178571428571427E-2</v>
      </c>
    </row>
    <row r="122" spans="1:15" x14ac:dyDescent="0.2">
      <c r="B122" s="10">
        <f>B121-3072+(D121-2)*EchelleFPAparam!$B$3/EchelleFPAparam!$C$3</f>
        <v>3070.5204999999996</v>
      </c>
    </row>
    <row r="123" spans="1:15" x14ac:dyDescent="0.2">
      <c r="B123" s="10">
        <f>B122*EchelleFPAparam!$C$3*COS(EchelleFPAparam!$AC$3)*$B$6</f>
        <v>55.806105696252608</v>
      </c>
    </row>
    <row r="124" spans="1:15" x14ac:dyDescent="0.2">
      <c r="B124" s="10">
        <f>ATAN(B123/EchelleFPAparam!$E$3)</f>
        <v>3.6892053960939898E-2</v>
      </c>
      <c r="C124" s="29">
        <f>EchelleFPAparam!$M$3+$B124</f>
        <v>-1.9080655977393432E-2</v>
      </c>
      <c r="F124" s="10">
        <f>ASIN($E121*$A121/(COS(F121)*2*EchelleFPAparam!$S$3*COS(-$C124/2)))-$C124/2</f>
        <v>1.111541252591224</v>
      </c>
      <c r="G124" s="29">
        <f>$F124*180/EchelleFPAparam!$O$3</f>
        <v>63.686621587330634</v>
      </c>
      <c r="H124" s="10">
        <v>700</v>
      </c>
      <c r="J124" s="10">
        <f>A121</f>
        <v>2249.1909900000001</v>
      </c>
      <c r="K124" s="10">
        <f>B121</f>
        <v>5997.5204999999996</v>
      </c>
      <c r="L124" s="30">
        <f>C121</f>
        <v>681</v>
      </c>
      <c r="M124" s="10">
        <f>E121</f>
        <v>25</v>
      </c>
      <c r="N124" s="29">
        <f>G124</f>
        <v>63.686621587330634</v>
      </c>
      <c r="O124" s="10">
        <f>H124</f>
        <v>700</v>
      </c>
    </row>
    <row r="125" spans="1:15" x14ac:dyDescent="0.2">
      <c r="A125" s="10">
        <v>1870.1409799999999</v>
      </c>
      <c r="B125" s="10">
        <v>5264.1494000000002</v>
      </c>
      <c r="C125" s="10">
        <v>1985</v>
      </c>
      <c r="D125" s="28">
        <f>INT(B125/2048)+1</f>
        <v>3</v>
      </c>
      <c r="E125" s="10">
        <v>30</v>
      </c>
      <c r="F125" s="10">
        <f>(C125-$AE$12)*EchelleFPAparam!$C$3/EchelleFPAparam!$E$3</f>
        <v>5.3452380952380947E-3</v>
      </c>
    </row>
    <row r="126" spans="1:15" x14ac:dyDescent="0.2">
      <c r="B126" s="10">
        <f>B125-3072+(D125-2)*EchelleFPAparam!$B$3/EchelleFPAparam!$C$3</f>
        <v>2337.1494000000002</v>
      </c>
    </row>
    <row r="127" spans="1:15" x14ac:dyDescent="0.2">
      <c r="B127" s="10">
        <f>B126*EchelleFPAparam!$C$3*COS(EchelleFPAparam!$AC$3)*$B$6</f>
        <v>42.477230308129649</v>
      </c>
    </row>
    <row r="128" spans="1:15" x14ac:dyDescent="0.2">
      <c r="B128" s="10">
        <f>ATAN(B127/EchelleFPAparam!$E$3)</f>
        <v>2.8086018977916693E-2</v>
      </c>
      <c r="C128" s="29">
        <f>EchelleFPAparam!$M$3+$B128</f>
        <v>-2.7886690960416637E-2</v>
      </c>
      <c r="F128" s="10">
        <f>ASIN($E125*$A125/(COS(F125)*2*EchelleFPAparam!$S$3*COS(-$C128/2)))-$C128/2</f>
        <v>1.1115824288418614</v>
      </c>
      <c r="G128" s="29">
        <f>$F128*180/EchelleFPAparam!$O$3</f>
        <v>63.688980812673478</v>
      </c>
      <c r="H128" s="10">
        <v>700</v>
      </c>
      <c r="J128" s="10">
        <f>A125</f>
        <v>1870.1409799999999</v>
      </c>
      <c r="K128" s="10">
        <f>B125</f>
        <v>5264.1494000000002</v>
      </c>
      <c r="L128" s="30">
        <f>C125</f>
        <v>1985</v>
      </c>
      <c r="M128" s="10">
        <f>E125</f>
        <v>30</v>
      </c>
      <c r="N128" s="29">
        <f>G128</f>
        <v>63.688980812673478</v>
      </c>
      <c r="O128" s="10">
        <f>H128</f>
        <v>700</v>
      </c>
    </row>
    <row r="129" spans="1:15" x14ac:dyDescent="0.2">
      <c r="A129" s="10">
        <v>2334.6783</v>
      </c>
      <c r="B129" s="10">
        <v>4893.2366000000002</v>
      </c>
      <c r="C129" s="10">
        <v>353</v>
      </c>
      <c r="D129" s="28">
        <f>INT(B129/2048)+1</f>
        <v>3</v>
      </c>
      <c r="E129" s="10">
        <v>24</v>
      </c>
      <c r="F129" s="10">
        <f>(C129-$AE$12)*EchelleFPAparam!$C$3/EchelleFPAparam!$E$3</f>
        <v>-1.4083333333333331E-2</v>
      </c>
    </row>
    <row r="130" spans="1:15" x14ac:dyDescent="0.2">
      <c r="B130" s="10">
        <f>B129-3072+(D129-2)*EchelleFPAparam!$B$3/EchelleFPAparam!$C$3</f>
        <v>1966.2366000000002</v>
      </c>
    </row>
    <row r="131" spans="1:15" x14ac:dyDescent="0.2">
      <c r="B131" s="10">
        <f>B130*EchelleFPAparam!$C$3*COS(EchelleFPAparam!$AC$3)*$B$6</f>
        <v>35.735963177396272</v>
      </c>
    </row>
    <row r="132" spans="1:15" x14ac:dyDescent="0.2">
      <c r="B132" s="10">
        <f>ATAN(B131/EchelleFPAparam!$E$3)</f>
        <v>2.3630496872527856E-2</v>
      </c>
      <c r="C132" s="29">
        <f>EchelleFPAparam!$M$3+$B132</f>
        <v>-3.2342213065805474E-2</v>
      </c>
      <c r="F132" s="10">
        <f>ASIN($E129*$A129/(COS(F129)*2*EchelleFPAparam!$S$3*COS(-$C132/2)))-$C132/2</f>
        <v>1.1115412397217663</v>
      </c>
      <c r="G132" s="29">
        <f>$F132*180/EchelleFPAparam!$O$3</f>
        <v>63.686620849965031</v>
      </c>
      <c r="H132" s="10">
        <v>700</v>
      </c>
      <c r="J132" s="10">
        <f>A129</f>
        <v>2334.6783</v>
      </c>
      <c r="K132" s="10">
        <f>B129</f>
        <v>4893.2366000000002</v>
      </c>
      <c r="L132" s="30">
        <f>C129</f>
        <v>353</v>
      </c>
      <c r="M132" s="10">
        <f>E129</f>
        <v>24</v>
      </c>
      <c r="N132" s="29">
        <f>G132</f>
        <v>63.686620849965031</v>
      </c>
      <c r="O132" s="10">
        <f>H132</f>
        <v>700</v>
      </c>
    </row>
    <row r="133" spans="1:15" x14ac:dyDescent="0.2">
      <c r="A133" s="10">
        <v>2117.1263399999998</v>
      </c>
      <c r="B133" s="10">
        <v>2259.8919999999998</v>
      </c>
      <c r="C133" s="10">
        <v>2259.8919999999998</v>
      </c>
      <c r="D133" s="28">
        <f>INT(B133/2048)+1</f>
        <v>2</v>
      </c>
      <c r="E133" s="10">
        <v>27</v>
      </c>
      <c r="F133" s="10">
        <f>(C133-$AE$12)*EchelleFPAparam!$C$3/EchelleFPAparam!$E$3</f>
        <v>8.6177619047619024E-3</v>
      </c>
    </row>
    <row r="134" spans="1:15" x14ac:dyDescent="0.2">
      <c r="B134" s="10">
        <f>B133-3072+(D133-2)*EchelleFPAparam!$B$3/EchelleFPAparam!$C$3</f>
        <v>-812.10800000000017</v>
      </c>
    </row>
    <row r="135" spans="1:15" x14ac:dyDescent="0.2">
      <c r="B135" s="10">
        <f>B134*EchelleFPAparam!$C$3*COS(EchelleFPAparam!$AC$3)*$B$6</f>
        <v>-14.759903047308208</v>
      </c>
    </row>
    <row r="136" spans="1:15" x14ac:dyDescent="0.2">
      <c r="B136" s="10">
        <f>ATAN(B135/EchelleFPAparam!$E$3)</f>
        <v>-9.7615305773887488E-3</v>
      </c>
      <c r="C136" s="29">
        <f>EchelleFPAparam!$M$3+$B136</f>
        <v>-6.5734240515722075E-2</v>
      </c>
      <c r="F136" s="10">
        <f>ASIN($E133*$A133/(COS(F133)*2*EchelleFPAparam!$S$3*COS(-$C136/2)))-$C136/2</f>
        <v>1.1697927998215865</v>
      </c>
      <c r="G136" s="29">
        <f>$F136*180/EchelleFPAparam!$O$3</f>
        <v>67.024189344432074</v>
      </c>
      <c r="H136" s="10">
        <v>350</v>
      </c>
      <c r="J136" s="10">
        <f>A133</f>
        <v>2117.1263399999998</v>
      </c>
      <c r="K136" s="10">
        <f>B133</f>
        <v>2259.8919999999998</v>
      </c>
      <c r="L136" s="30">
        <f>C133</f>
        <v>2259.8919999999998</v>
      </c>
      <c r="M136" s="10">
        <f>E133</f>
        <v>27</v>
      </c>
      <c r="N136" s="29">
        <f>G136</f>
        <v>67.024189344432074</v>
      </c>
      <c r="O136" s="10">
        <f>H136</f>
        <v>350</v>
      </c>
    </row>
    <row r="137" spans="1:15" x14ac:dyDescent="0.2">
      <c r="A137" s="10">
        <v>2117.1263399999998</v>
      </c>
      <c r="B137" s="10">
        <v>1123.2112999999999</v>
      </c>
      <c r="C137" s="10">
        <v>1000</v>
      </c>
      <c r="D137" s="28">
        <f>INT(B137/2048)+1</f>
        <v>1</v>
      </c>
      <c r="E137" s="10">
        <v>27</v>
      </c>
      <c r="F137" s="10">
        <f>(C137-$AE$12)*EchelleFPAparam!$C$3/EchelleFPAparam!$E$3</f>
        <v>-6.3809523809523804E-3</v>
      </c>
    </row>
    <row r="138" spans="1:15" x14ac:dyDescent="0.2">
      <c r="B138" s="10">
        <f>B137-3072+(D137-2)*EchelleFPAparam!$B$3/EchelleFPAparam!$C$3</f>
        <v>-2093.7887000000001</v>
      </c>
    </row>
    <row r="139" spans="1:15" x14ac:dyDescent="0.2">
      <c r="B139" s="10">
        <f>B138*EchelleFPAparam!$C$3*COS(EchelleFPAparam!$AC$3)*$B$6</f>
        <v>-38.054197487956642</v>
      </c>
    </row>
    <row r="140" spans="1:15" x14ac:dyDescent="0.2">
      <c r="B140" s="10">
        <f>ATAN(B139/EchelleFPAparam!$E$3)</f>
        <v>-2.5162807933944382E-2</v>
      </c>
      <c r="C140" s="29">
        <f>EchelleFPAparam!$M$3+$B140</f>
        <v>-8.1135517872277713E-2</v>
      </c>
      <c r="F140" s="10">
        <f>ASIN($E137*$A137/(COS(F137)*2*EchelleFPAparam!$S$3*COS(-$C140/2)))-$C140/2</f>
        <v>1.1780682146402599</v>
      </c>
      <c r="G140" s="29">
        <f>$F140*180/EchelleFPAparam!$O$3</f>
        <v>67.498335680257597</v>
      </c>
      <c r="H140" s="10">
        <v>300</v>
      </c>
      <c r="J140" s="10">
        <f>A137</f>
        <v>2117.1263399999998</v>
      </c>
      <c r="K140" s="10">
        <f>B137</f>
        <v>1123.2112999999999</v>
      </c>
      <c r="L140" s="30">
        <f>C137</f>
        <v>1000</v>
      </c>
      <c r="M140" s="10">
        <f>E137</f>
        <v>27</v>
      </c>
      <c r="N140" s="29">
        <f>G140</f>
        <v>67.498335680257597</v>
      </c>
      <c r="O140" s="10">
        <f>H140</f>
        <v>300</v>
      </c>
    </row>
    <row r="141" spans="1:15" x14ac:dyDescent="0.2">
      <c r="A141" s="10">
        <v>2042.9532300000001</v>
      </c>
      <c r="B141" s="10">
        <v>1356.0343</v>
      </c>
      <c r="C141" s="10">
        <v>1264</v>
      </c>
      <c r="D141" s="28">
        <f>INT(B141/2048)+1</f>
        <v>1</v>
      </c>
      <c r="E141" s="10">
        <v>28</v>
      </c>
      <c r="F141" s="10">
        <f>(C141-$AE$12)*EchelleFPAparam!$C$3/EchelleFPAparam!$E$3</f>
        <v>-3.2380952380952378E-3</v>
      </c>
    </row>
    <row r="142" spans="1:15" x14ac:dyDescent="0.2">
      <c r="B142" s="10">
        <f>B141-3072+(D141-2)*EchelleFPAparam!$B$3/EchelleFPAparam!$C$3</f>
        <v>-1860.9657</v>
      </c>
    </row>
    <row r="143" spans="1:15" x14ac:dyDescent="0.2">
      <c r="B143" s="10">
        <f>B142*EchelleFPAparam!$C$3*COS(EchelleFPAparam!$AC$3)*$B$6</f>
        <v>-33.822685291077114</v>
      </c>
    </row>
    <row r="144" spans="1:15" x14ac:dyDescent="0.2">
      <c r="B144" s="10">
        <f>ATAN(B143/EchelleFPAparam!$E$3)</f>
        <v>-2.2365770781485644E-2</v>
      </c>
      <c r="C144" s="29">
        <f>EchelleFPAparam!$M$3+$B144</f>
        <v>-7.833848071981897E-2</v>
      </c>
      <c r="F144" s="10">
        <f>ASIN($E141*$A141/(COS(F141)*2*EchelleFPAparam!$S$3*COS(-$C144/2)))-$C144/2</f>
        <v>1.1780415405896236</v>
      </c>
      <c r="G144" s="29">
        <f>$F144*180/EchelleFPAparam!$O$3</f>
        <v>67.496807369756198</v>
      </c>
      <c r="H144" s="10">
        <v>300</v>
      </c>
      <c r="J144" s="10">
        <f>A141</f>
        <v>2042.9532300000001</v>
      </c>
      <c r="K144" s="10">
        <f>B141</f>
        <v>1356.0343</v>
      </c>
      <c r="L144" s="30">
        <f>C141</f>
        <v>1264</v>
      </c>
      <c r="M144" s="10">
        <f>E141</f>
        <v>28</v>
      </c>
      <c r="N144" s="29">
        <f>G144</f>
        <v>67.496807369756198</v>
      </c>
      <c r="O144" s="10">
        <f>H144</f>
        <v>300</v>
      </c>
    </row>
    <row r="145" spans="1:1024" x14ac:dyDescent="0.2">
      <c r="A145" s="10">
        <v>2045.25416</v>
      </c>
      <c r="B145" s="10">
        <v>1732.8248000000001</v>
      </c>
      <c r="C145" s="10">
        <v>1266</v>
      </c>
      <c r="D145" s="28">
        <f>INT(B145/2048)+1</f>
        <v>1</v>
      </c>
      <c r="E145" s="10">
        <v>28</v>
      </c>
      <c r="F145" s="10">
        <f>(C145-$AE$12)*EchelleFPAparam!$C$3/EchelleFPAparam!$E$3</f>
        <v>-3.2142857142857138E-3</v>
      </c>
    </row>
    <row r="146" spans="1:1024" x14ac:dyDescent="0.2">
      <c r="B146" s="10">
        <f>B145-3072+(D145-2)*EchelleFPAparam!$B$3/EchelleFPAparam!$C$3</f>
        <v>-1484.1751999999999</v>
      </c>
    </row>
    <row r="147" spans="1:1024" x14ac:dyDescent="0.2">
      <c r="B147" s="10">
        <f>B146*EchelleFPAparam!$C$3*COS(EchelleFPAparam!$AC$3)*$B$6</f>
        <v>-26.974592119791048</v>
      </c>
    </row>
    <row r="148" spans="1:1024" x14ac:dyDescent="0.2">
      <c r="B148" s="10">
        <f>ATAN(B147/EchelleFPAparam!$E$3)</f>
        <v>-1.7838446337696656E-2</v>
      </c>
      <c r="C148" s="29">
        <f>EchelleFPAparam!$M$3+$B148</f>
        <v>-7.3811156276029993E-2</v>
      </c>
      <c r="F148" s="10">
        <f>ASIN($E145*$A145/(COS(F145)*2*EchelleFPAparam!$S$3*COS(-$C148/2)))-$C148/2</f>
        <v>1.178039544820237</v>
      </c>
      <c r="G148" s="29">
        <f>$F148*180/EchelleFPAparam!$O$3</f>
        <v>67.496693020595146</v>
      </c>
      <c r="H148" s="10">
        <v>300</v>
      </c>
      <c r="J148" s="10">
        <f>A145</f>
        <v>2045.25416</v>
      </c>
      <c r="K148" s="10">
        <f>B145</f>
        <v>1732.8248000000001</v>
      </c>
      <c r="L148" s="30">
        <f>C145</f>
        <v>1266</v>
      </c>
      <c r="M148" s="10">
        <f>E145</f>
        <v>28</v>
      </c>
      <c r="N148" s="29">
        <f>G148</f>
        <v>67.496693020595146</v>
      </c>
      <c r="O148" s="10">
        <f>H148</f>
        <v>300</v>
      </c>
    </row>
    <row r="149" spans="1:1024" x14ac:dyDescent="0.2">
      <c r="A149" s="10">
        <v>2054.9360700000002</v>
      </c>
      <c r="B149" s="10">
        <v>3206.7370999999998</v>
      </c>
      <c r="C149" s="10">
        <v>1274</v>
      </c>
      <c r="D149" s="28">
        <f>INT(B149/2048)+1</f>
        <v>2</v>
      </c>
      <c r="E149" s="10">
        <v>28</v>
      </c>
      <c r="F149" s="10">
        <f>(C149-$AE$12)*EchelleFPAparam!$C$3/EchelleFPAparam!$E$3</f>
        <v>-3.1190476190476185E-3</v>
      </c>
    </row>
    <row r="150" spans="1:1024" x14ac:dyDescent="0.2">
      <c r="B150" s="10">
        <f>B149-3072+(D149-2)*EchelleFPAparam!$B$3/EchelleFPAparam!$C$3</f>
        <v>134.73709999999983</v>
      </c>
    </row>
    <row r="151" spans="1:1024" x14ac:dyDescent="0.2">
      <c r="B151" s="10">
        <f>B150*EchelleFPAparam!$C$3*COS(EchelleFPAparam!$AC$3)*$B$6</f>
        <v>2.4488202712883855</v>
      </c>
    </row>
    <row r="152" spans="1:1024" x14ac:dyDescent="0.2">
      <c r="B152" s="10">
        <f>ATAN(B151/EchelleFPAparam!$E$3)</f>
        <v>1.6195887104151112E-3</v>
      </c>
      <c r="C152" s="29">
        <f>EchelleFPAparam!$M$3+$B152</f>
        <v>-5.4353121227918216E-2</v>
      </c>
      <c r="F152" s="10">
        <f>ASIN($E149*$A149/(COS(F149)*2*EchelleFPAparam!$S$3*COS(-$C152/2)))-$C152/2</f>
        <v>1.1780612071439793</v>
      </c>
      <c r="G152" s="29">
        <f>$F152*180/EchelleFPAparam!$O$3</f>
        <v>67.497934180301698</v>
      </c>
      <c r="H152" s="10">
        <v>300</v>
      </c>
      <c r="J152" s="10">
        <f>A149</f>
        <v>2054.9360700000002</v>
      </c>
      <c r="K152" s="10">
        <f>B149</f>
        <v>3206.7370999999998</v>
      </c>
      <c r="L152" s="30">
        <f>C149</f>
        <v>1274</v>
      </c>
      <c r="M152" s="10">
        <f>E149</f>
        <v>28</v>
      </c>
      <c r="N152" s="29">
        <f>G152</f>
        <v>67.497934180301698</v>
      </c>
      <c r="O152" s="10">
        <f>H152</f>
        <v>300</v>
      </c>
    </row>
    <row r="154" spans="1:1024" s="120" customFormat="1" x14ac:dyDescent="0.2">
      <c r="A154" s="115"/>
      <c r="B154" s="115"/>
      <c r="C154" s="115"/>
      <c r="D154" s="116"/>
      <c r="E154" s="115"/>
      <c r="F154" s="115"/>
      <c r="G154" s="117"/>
      <c r="H154" s="115"/>
      <c r="I154" s="115"/>
      <c r="J154" s="115"/>
      <c r="K154" s="118"/>
      <c r="L154" s="115"/>
      <c r="M154" s="115"/>
      <c r="N154" s="115"/>
      <c r="O154" s="115"/>
      <c r="P154" s="115"/>
      <c r="Q154" s="119"/>
      <c r="R154" s="115"/>
      <c r="S154" s="115"/>
      <c r="T154" s="115"/>
      <c r="U154" s="115"/>
      <c r="V154" s="115"/>
      <c r="W154" s="115"/>
      <c r="X154" s="115"/>
      <c r="Y154" s="115"/>
      <c r="Z154" s="115"/>
      <c r="AA154" s="115"/>
      <c r="AB154" s="115"/>
      <c r="AC154" s="115"/>
      <c r="AD154" s="115"/>
      <c r="AE154" s="115"/>
      <c r="AF154" s="115"/>
      <c r="AG154" s="115"/>
      <c r="AH154" s="115"/>
      <c r="AI154" s="115"/>
      <c r="AJ154" s="115"/>
      <c r="AK154" s="115"/>
      <c r="AL154" s="115"/>
      <c r="AM154" s="115"/>
      <c r="AN154" s="115"/>
      <c r="AO154" s="115"/>
      <c r="AP154" s="115"/>
      <c r="AQ154" s="115"/>
      <c r="AR154" s="115"/>
      <c r="AS154" s="115"/>
      <c r="AT154" s="115"/>
      <c r="AU154" s="115"/>
      <c r="AV154" s="115"/>
      <c r="AW154" s="115"/>
      <c r="AX154" s="115"/>
      <c r="AY154" s="115"/>
      <c r="AZ154" s="115"/>
      <c r="BA154" s="115"/>
      <c r="BB154" s="115"/>
      <c r="BC154" s="115"/>
      <c r="BD154" s="115"/>
      <c r="BE154" s="115"/>
      <c r="BF154" s="115"/>
      <c r="BG154" s="115"/>
      <c r="BH154" s="115"/>
      <c r="BI154" s="115"/>
      <c r="BJ154" s="115"/>
      <c r="BK154" s="115"/>
      <c r="BL154" s="115"/>
      <c r="BM154" s="115"/>
      <c r="BN154" s="115"/>
      <c r="BO154" s="115"/>
      <c r="BP154" s="115"/>
      <c r="BQ154" s="115"/>
      <c r="BR154" s="115"/>
      <c r="BS154" s="115"/>
      <c r="BT154" s="115"/>
      <c r="BU154" s="115"/>
      <c r="BV154" s="115"/>
      <c r="BW154" s="115"/>
      <c r="BX154" s="115"/>
      <c r="BY154" s="115"/>
      <c r="BZ154" s="115"/>
      <c r="CA154" s="115"/>
      <c r="CB154" s="115"/>
      <c r="CC154" s="115"/>
      <c r="CD154" s="115"/>
      <c r="CE154" s="115"/>
      <c r="CF154" s="115"/>
      <c r="CG154" s="115"/>
      <c r="CH154" s="115"/>
      <c r="CI154" s="115"/>
      <c r="CJ154" s="115"/>
      <c r="CK154" s="115"/>
      <c r="CL154" s="115"/>
      <c r="CM154" s="115"/>
      <c r="CN154" s="115"/>
      <c r="CO154" s="115"/>
      <c r="CP154" s="115"/>
      <c r="CQ154" s="115"/>
      <c r="CR154" s="115"/>
      <c r="CS154" s="115"/>
      <c r="CT154" s="115"/>
      <c r="CU154" s="115"/>
      <c r="CV154" s="115"/>
      <c r="CW154" s="115"/>
      <c r="CX154" s="115"/>
      <c r="CY154" s="115"/>
      <c r="CZ154" s="115"/>
      <c r="DA154" s="115"/>
      <c r="DB154" s="115"/>
      <c r="DC154" s="115"/>
      <c r="DD154" s="115"/>
      <c r="DE154" s="115"/>
      <c r="DF154" s="115"/>
      <c r="DG154" s="115"/>
      <c r="DH154" s="115"/>
      <c r="DI154" s="115"/>
      <c r="DJ154" s="115"/>
      <c r="DK154" s="115"/>
      <c r="DL154" s="115"/>
      <c r="DM154" s="115"/>
      <c r="DN154" s="115"/>
      <c r="DO154" s="115"/>
      <c r="DP154" s="115"/>
      <c r="DQ154" s="115"/>
      <c r="DR154" s="115"/>
      <c r="DS154" s="115"/>
      <c r="DT154" s="115"/>
      <c r="DU154" s="115"/>
      <c r="DV154" s="115"/>
      <c r="DW154" s="115"/>
      <c r="DX154" s="115"/>
      <c r="DY154" s="115"/>
      <c r="DZ154" s="115"/>
      <c r="EA154" s="115"/>
      <c r="EB154" s="115"/>
      <c r="EC154" s="115"/>
      <c r="ED154" s="115"/>
      <c r="EE154" s="115"/>
      <c r="EF154" s="115"/>
      <c r="EG154" s="115"/>
      <c r="EH154" s="115"/>
      <c r="EI154" s="115"/>
      <c r="EJ154" s="115"/>
      <c r="EK154" s="115"/>
      <c r="EL154" s="115"/>
      <c r="EM154" s="115"/>
      <c r="EN154" s="115"/>
      <c r="EO154" s="115"/>
      <c r="EP154" s="115"/>
      <c r="EQ154" s="115"/>
      <c r="ER154" s="115"/>
      <c r="ES154" s="115"/>
      <c r="ET154" s="115"/>
      <c r="EU154" s="115"/>
      <c r="EV154" s="115"/>
      <c r="EW154" s="115"/>
      <c r="EX154" s="115"/>
      <c r="EY154" s="115"/>
      <c r="EZ154" s="115"/>
      <c r="FA154" s="115"/>
      <c r="FB154" s="115"/>
      <c r="FC154" s="115"/>
      <c r="FD154" s="115"/>
      <c r="FE154" s="115"/>
      <c r="FF154" s="115"/>
      <c r="FG154" s="115"/>
      <c r="FH154" s="115"/>
      <c r="FI154" s="115"/>
      <c r="FJ154" s="115"/>
      <c r="FK154" s="115"/>
      <c r="FL154" s="115"/>
      <c r="FM154" s="115"/>
      <c r="FN154" s="115"/>
      <c r="FO154" s="115"/>
      <c r="FP154" s="115"/>
      <c r="FQ154" s="115"/>
      <c r="FR154" s="115"/>
      <c r="FS154" s="115"/>
      <c r="FT154" s="115"/>
      <c r="FU154" s="115"/>
      <c r="FV154" s="115"/>
      <c r="FW154" s="115"/>
      <c r="FX154" s="115"/>
      <c r="FY154" s="115"/>
      <c r="FZ154" s="115"/>
      <c r="GA154" s="115"/>
      <c r="GB154" s="115"/>
      <c r="GC154" s="115"/>
      <c r="GD154" s="115"/>
      <c r="GE154" s="115"/>
      <c r="GF154" s="115"/>
      <c r="GG154" s="115"/>
      <c r="GH154" s="115"/>
      <c r="GI154" s="115"/>
      <c r="GJ154" s="115"/>
      <c r="GK154" s="115"/>
      <c r="GL154" s="115"/>
      <c r="GM154" s="115"/>
      <c r="GN154" s="115"/>
      <c r="GO154" s="115"/>
      <c r="GP154" s="115"/>
      <c r="GQ154" s="115"/>
      <c r="GR154" s="115"/>
      <c r="GS154" s="115"/>
      <c r="GT154" s="115"/>
      <c r="GU154" s="115"/>
      <c r="GV154" s="115"/>
      <c r="GW154" s="115"/>
      <c r="GX154" s="115"/>
      <c r="GY154" s="115"/>
      <c r="GZ154" s="115"/>
      <c r="HA154" s="115"/>
      <c r="HB154" s="115"/>
      <c r="HC154" s="115"/>
      <c r="HD154" s="115"/>
      <c r="HE154" s="115"/>
      <c r="HF154" s="115"/>
      <c r="HG154" s="115"/>
      <c r="HH154" s="115"/>
      <c r="HI154" s="115"/>
      <c r="HJ154" s="115"/>
      <c r="HK154" s="115"/>
      <c r="HL154" s="115"/>
      <c r="HM154" s="115"/>
      <c r="HN154" s="115"/>
      <c r="HO154" s="115"/>
      <c r="HP154" s="115"/>
      <c r="HQ154" s="115"/>
      <c r="HR154" s="115"/>
      <c r="HS154" s="115"/>
      <c r="HT154" s="115"/>
      <c r="HU154" s="115"/>
      <c r="HV154" s="115"/>
      <c r="HW154" s="115"/>
      <c r="HX154" s="115"/>
      <c r="HY154" s="115"/>
      <c r="HZ154" s="115"/>
      <c r="IA154" s="115"/>
      <c r="IB154" s="115"/>
      <c r="IC154" s="115"/>
      <c r="ID154" s="115"/>
      <c r="IE154" s="115"/>
      <c r="IF154" s="115"/>
      <c r="IG154" s="115"/>
      <c r="IH154" s="115"/>
      <c r="II154" s="115"/>
      <c r="IJ154" s="115"/>
      <c r="IK154" s="115"/>
      <c r="IL154" s="115"/>
      <c r="IM154" s="115"/>
      <c r="IN154" s="115"/>
      <c r="IO154" s="115"/>
      <c r="IP154" s="115"/>
      <c r="IQ154" s="115"/>
      <c r="IR154" s="115"/>
      <c r="IS154" s="115"/>
      <c r="IT154" s="115"/>
      <c r="IU154" s="115"/>
      <c r="IV154" s="115"/>
      <c r="IW154" s="115"/>
      <c r="IX154" s="115"/>
      <c r="IY154" s="115"/>
      <c r="IZ154" s="115"/>
      <c r="JA154" s="115"/>
      <c r="JB154" s="115"/>
      <c r="JC154" s="115"/>
      <c r="JD154" s="115"/>
      <c r="JE154" s="115"/>
      <c r="JF154" s="115"/>
      <c r="JG154" s="115"/>
      <c r="JH154" s="115"/>
      <c r="JI154" s="115"/>
      <c r="JJ154" s="115"/>
      <c r="JK154" s="115"/>
      <c r="JL154" s="115"/>
      <c r="JM154" s="115"/>
      <c r="JN154" s="115"/>
      <c r="JO154" s="115"/>
      <c r="JP154" s="115"/>
      <c r="JQ154" s="115"/>
      <c r="JR154" s="115"/>
      <c r="JS154" s="115"/>
      <c r="JT154" s="115"/>
      <c r="JU154" s="115"/>
      <c r="JV154" s="115"/>
      <c r="JW154" s="115"/>
      <c r="JX154" s="115"/>
      <c r="JY154" s="115"/>
      <c r="JZ154" s="115"/>
      <c r="KA154" s="115"/>
      <c r="KB154" s="115"/>
      <c r="KC154" s="115"/>
      <c r="KD154" s="115"/>
      <c r="KE154" s="115"/>
      <c r="KF154" s="115"/>
      <c r="KG154" s="115"/>
      <c r="KH154" s="115"/>
      <c r="KI154" s="115"/>
      <c r="KJ154" s="115"/>
      <c r="KK154" s="115"/>
      <c r="KL154" s="115"/>
      <c r="KM154" s="115"/>
      <c r="KN154" s="115"/>
      <c r="KO154" s="115"/>
      <c r="KP154" s="115"/>
      <c r="KQ154" s="115"/>
      <c r="KR154" s="115"/>
      <c r="KS154" s="115"/>
      <c r="KT154" s="115"/>
      <c r="KU154" s="115"/>
      <c r="KV154" s="115"/>
      <c r="KW154" s="115"/>
      <c r="KX154" s="115"/>
      <c r="KY154" s="115"/>
      <c r="KZ154" s="115"/>
      <c r="LA154" s="115"/>
      <c r="LB154" s="115"/>
      <c r="LC154" s="115"/>
      <c r="LD154" s="115"/>
      <c r="LE154" s="115"/>
      <c r="LF154" s="115"/>
      <c r="LG154" s="115"/>
      <c r="LH154" s="115"/>
      <c r="LI154" s="115"/>
      <c r="LJ154" s="115"/>
      <c r="LK154" s="115"/>
      <c r="LL154" s="115"/>
      <c r="LM154" s="115"/>
      <c r="LN154" s="115"/>
      <c r="LO154" s="115"/>
      <c r="LP154" s="115"/>
      <c r="LQ154" s="115"/>
      <c r="LR154" s="115"/>
      <c r="LS154" s="115"/>
      <c r="LT154" s="115"/>
      <c r="LU154" s="115"/>
      <c r="LV154" s="115"/>
      <c r="LW154" s="115"/>
      <c r="LX154" s="115"/>
      <c r="LY154" s="115"/>
      <c r="LZ154" s="115"/>
      <c r="MA154" s="115"/>
      <c r="MB154" s="115"/>
      <c r="MC154" s="115"/>
      <c r="MD154" s="115"/>
      <c r="ME154" s="115"/>
      <c r="MF154" s="115"/>
      <c r="MG154" s="115"/>
      <c r="MH154" s="115"/>
      <c r="MI154" s="115"/>
      <c r="MJ154" s="115"/>
      <c r="MK154" s="115"/>
      <c r="ML154" s="115"/>
      <c r="MM154" s="115"/>
      <c r="MN154" s="115"/>
      <c r="MO154" s="115"/>
      <c r="MP154" s="115"/>
      <c r="MQ154" s="115"/>
      <c r="MR154" s="115"/>
      <c r="MS154" s="115"/>
      <c r="MT154" s="115"/>
      <c r="MU154" s="115"/>
      <c r="MV154" s="115"/>
      <c r="MW154" s="115"/>
      <c r="MX154" s="115"/>
      <c r="MY154" s="115"/>
      <c r="MZ154" s="115"/>
      <c r="NA154" s="115"/>
      <c r="NB154" s="115"/>
      <c r="NC154" s="115"/>
      <c r="ND154" s="115"/>
      <c r="NE154" s="115"/>
      <c r="NF154" s="115"/>
      <c r="NG154" s="115"/>
      <c r="NH154" s="115"/>
      <c r="NI154" s="115"/>
      <c r="NJ154" s="115"/>
      <c r="NK154" s="115"/>
      <c r="NL154" s="115"/>
      <c r="NM154" s="115"/>
      <c r="NN154" s="115"/>
      <c r="NO154" s="115"/>
      <c r="NP154" s="115"/>
      <c r="NQ154" s="115"/>
      <c r="NR154" s="115"/>
      <c r="NS154" s="115"/>
      <c r="NT154" s="115"/>
      <c r="NU154" s="115"/>
      <c r="NV154" s="115"/>
      <c r="NW154" s="115"/>
      <c r="NX154" s="115"/>
      <c r="NY154" s="115"/>
      <c r="NZ154" s="115"/>
      <c r="OA154" s="115"/>
      <c r="OB154" s="115"/>
      <c r="OC154" s="115"/>
      <c r="OD154" s="115"/>
      <c r="OE154" s="115"/>
      <c r="OF154" s="115"/>
      <c r="OG154" s="115"/>
      <c r="OH154" s="115"/>
      <c r="OI154" s="115"/>
      <c r="OJ154" s="115"/>
      <c r="OK154" s="115"/>
      <c r="OL154" s="115"/>
      <c r="OM154" s="115"/>
      <c r="ON154" s="115"/>
      <c r="OO154" s="115"/>
      <c r="OP154" s="115"/>
      <c r="OQ154" s="115"/>
      <c r="OR154" s="115"/>
      <c r="OS154" s="115"/>
      <c r="OT154" s="115"/>
      <c r="OU154" s="115"/>
      <c r="OV154" s="115"/>
      <c r="OW154" s="115"/>
      <c r="OX154" s="115"/>
      <c r="OY154" s="115"/>
      <c r="OZ154" s="115"/>
      <c r="PA154" s="115"/>
      <c r="PB154" s="115"/>
      <c r="PC154" s="115"/>
      <c r="PD154" s="115"/>
      <c r="PE154" s="115"/>
      <c r="PF154" s="115"/>
      <c r="PG154" s="115"/>
      <c r="PH154" s="115"/>
      <c r="PI154" s="115"/>
      <c r="PJ154" s="115"/>
      <c r="PK154" s="115"/>
      <c r="PL154" s="115"/>
      <c r="PM154" s="115"/>
      <c r="PN154" s="115"/>
      <c r="PO154" s="115"/>
      <c r="PP154" s="115"/>
      <c r="PQ154" s="115"/>
      <c r="PR154" s="115"/>
      <c r="PS154" s="115"/>
      <c r="PT154" s="115"/>
      <c r="PU154" s="115"/>
      <c r="PV154" s="115"/>
      <c r="PW154" s="115"/>
      <c r="PX154" s="115"/>
      <c r="PY154" s="115"/>
      <c r="PZ154" s="115"/>
      <c r="QA154" s="115"/>
      <c r="QB154" s="115"/>
      <c r="QC154" s="115"/>
      <c r="QD154" s="115"/>
      <c r="QE154" s="115"/>
      <c r="QF154" s="115"/>
      <c r="QG154" s="115"/>
      <c r="QH154" s="115"/>
      <c r="QI154" s="115"/>
      <c r="QJ154" s="115"/>
      <c r="QK154" s="115"/>
      <c r="QL154" s="115"/>
      <c r="QM154" s="115"/>
      <c r="QN154" s="115"/>
      <c r="QO154" s="115"/>
      <c r="QP154" s="115"/>
      <c r="QQ154" s="115"/>
      <c r="QR154" s="115"/>
      <c r="QS154" s="115"/>
      <c r="QT154" s="115"/>
      <c r="QU154" s="115"/>
      <c r="QV154" s="115"/>
      <c r="QW154" s="115"/>
      <c r="QX154" s="115"/>
      <c r="QY154" s="115"/>
      <c r="QZ154" s="115"/>
      <c r="RA154" s="115"/>
      <c r="RB154" s="115"/>
      <c r="RC154" s="115"/>
      <c r="RD154" s="115"/>
      <c r="RE154" s="115"/>
      <c r="RF154" s="115"/>
      <c r="RG154" s="115"/>
      <c r="RH154" s="115"/>
      <c r="RI154" s="115"/>
      <c r="RJ154" s="115"/>
      <c r="RK154" s="115"/>
      <c r="RL154" s="115"/>
      <c r="RM154" s="115"/>
      <c r="RN154" s="115"/>
      <c r="RO154" s="115"/>
      <c r="RP154" s="115"/>
      <c r="RQ154" s="115"/>
      <c r="RR154" s="115"/>
      <c r="RS154" s="115"/>
      <c r="RT154" s="115"/>
      <c r="RU154" s="115"/>
      <c r="RV154" s="115"/>
      <c r="RW154" s="115"/>
      <c r="RX154" s="115"/>
      <c r="RY154" s="115"/>
      <c r="RZ154" s="115"/>
      <c r="SA154" s="115"/>
      <c r="SB154" s="115"/>
      <c r="SC154" s="115"/>
      <c r="SD154" s="115"/>
      <c r="SE154" s="115"/>
      <c r="SF154" s="115"/>
      <c r="SG154" s="115"/>
      <c r="SH154" s="115"/>
      <c r="SI154" s="115"/>
      <c r="SJ154" s="115"/>
      <c r="SK154" s="115"/>
      <c r="SL154" s="115"/>
      <c r="SM154" s="115"/>
      <c r="SN154" s="115"/>
      <c r="SO154" s="115"/>
      <c r="SP154" s="115"/>
      <c r="SQ154" s="115"/>
      <c r="SR154" s="115"/>
      <c r="SS154" s="115"/>
      <c r="ST154" s="115"/>
      <c r="SU154" s="115"/>
      <c r="SV154" s="115"/>
      <c r="SW154" s="115"/>
      <c r="SX154" s="115"/>
      <c r="SY154" s="115"/>
      <c r="SZ154" s="115"/>
      <c r="TA154" s="115"/>
      <c r="TB154" s="115"/>
      <c r="TC154" s="115"/>
      <c r="TD154" s="115"/>
      <c r="TE154" s="115"/>
      <c r="TF154" s="115"/>
      <c r="TG154" s="115"/>
      <c r="TH154" s="115"/>
      <c r="TI154" s="115"/>
      <c r="TJ154" s="115"/>
      <c r="TK154" s="115"/>
      <c r="TL154" s="115"/>
      <c r="TM154" s="115"/>
      <c r="TN154" s="115"/>
      <c r="TO154" s="115"/>
      <c r="TP154" s="115"/>
      <c r="TQ154" s="115"/>
      <c r="TR154" s="115"/>
      <c r="TS154" s="115"/>
      <c r="TT154" s="115"/>
      <c r="TU154" s="115"/>
      <c r="TV154" s="115"/>
      <c r="TW154" s="115"/>
      <c r="TX154" s="115"/>
      <c r="TY154" s="115"/>
      <c r="TZ154" s="115"/>
      <c r="UA154" s="115"/>
      <c r="UB154" s="115"/>
      <c r="UC154" s="115"/>
      <c r="UD154" s="115"/>
      <c r="UE154" s="115"/>
      <c r="UF154" s="115"/>
      <c r="UG154" s="115"/>
      <c r="UH154" s="115"/>
      <c r="UI154" s="115"/>
      <c r="UJ154" s="115"/>
      <c r="UK154" s="115"/>
      <c r="UL154" s="115"/>
      <c r="UM154" s="115"/>
      <c r="UN154" s="115"/>
      <c r="UO154" s="115"/>
      <c r="UP154" s="115"/>
      <c r="UQ154" s="115"/>
      <c r="UR154" s="115"/>
      <c r="US154" s="115"/>
      <c r="UT154" s="115"/>
      <c r="UU154" s="115"/>
      <c r="UV154" s="115"/>
      <c r="UW154" s="115"/>
      <c r="UX154" s="115"/>
      <c r="UY154" s="115"/>
      <c r="UZ154" s="115"/>
      <c r="VA154" s="115"/>
      <c r="VB154" s="115"/>
      <c r="VC154" s="115"/>
      <c r="VD154" s="115"/>
      <c r="VE154" s="115"/>
      <c r="VF154" s="115"/>
      <c r="VG154" s="115"/>
      <c r="VH154" s="115"/>
      <c r="VI154" s="115"/>
      <c r="VJ154" s="115"/>
      <c r="VK154" s="115"/>
      <c r="VL154" s="115"/>
      <c r="VM154" s="115"/>
      <c r="VN154" s="115"/>
      <c r="VO154" s="115"/>
      <c r="VP154" s="115"/>
      <c r="VQ154" s="115"/>
      <c r="VR154" s="115"/>
      <c r="VS154" s="115"/>
      <c r="VT154" s="115"/>
      <c r="VU154" s="115"/>
      <c r="VV154" s="115"/>
      <c r="VW154" s="115"/>
      <c r="VX154" s="115"/>
      <c r="VY154" s="115"/>
      <c r="VZ154" s="115"/>
      <c r="WA154" s="115"/>
      <c r="WB154" s="115"/>
      <c r="WC154" s="115"/>
      <c r="WD154" s="115"/>
      <c r="WE154" s="115"/>
      <c r="WF154" s="115"/>
      <c r="WG154" s="115"/>
      <c r="WH154" s="115"/>
      <c r="WI154" s="115"/>
      <c r="WJ154" s="115"/>
      <c r="WK154" s="115"/>
      <c r="WL154" s="115"/>
      <c r="WM154" s="115"/>
      <c r="WN154" s="115"/>
      <c r="WO154" s="115"/>
      <c r="WP154" s="115"/>
      <c r="WQ154" s="115"/>
      <c r="WR154" s="115"/>
      <c r="WS154" s="115"/>
      <c r="WT154" s="115"/>
      <c r="WU154" s="115"/>
      <c r="WV154" s="115"/>
      <c r="WW154" s="115"/>
      <c r="WX154" s="115"/>
      <c r="WY154" s="115"/>
      <c r="WZ154" s="115"/>
      <c r="XA154" s="115"/>
      <c r="XB154" s="115"/>
      <c r="XC154" s="115"/>
      <c r="XD154" s="115"/>
      <c r="XE154" s="115"/>
      <c r="XF154" s="115"/>
      <c r="XG154" s="115"/>
      <c r="XH154" s="115"/>
      <c r="XI154" s="115"/>
      <c r="XJ154" s="115"/>
      <c r="XK154" s="115"/>
      <c r="XL154" s="115"/>
      <c r="XM154" s="115"/>
      <c r="XN154" s="115"/>
      <c r="XO154" s="115"/>
      <c r="XP154" s="115"/>
      <c r="XQ154" s="115"/>
      <c r="XR154" s="115"/>
      <c r="XS154" s="115"/>
      <c r="XT154" s="115"/>
      <c r="XU154" s="115"/>
      <c r="XV154" s="115"/>
      <c r="XW154" s="115"/>
      <c r="XX154" s="115"/>
      <c r="XY154" s="115"/>
      <c r="XZ154" s="115"/>
      <c r="YA154" s="115"/>
      <c r="YB154" s="115"/>
      <c r="YC154" s="115"/>
      <c r="YD154" s="115"/>
      <c r="YE154" s="115"/>
      <c r="YF154" s="115"/>
      <c r="YG154" s="115"/>
      <c r="YH154" s="115"/>
      <c r="YI154" s="115"/>
      <c r="YJ154" s="115"/>
      <c r="YK154" s="115"/>
      <c r="YL154" s="115"/>
      <c r="YM154" s="115"/>
      <c r="YN154" s="115"/>
      <c r="YO154" s="115"/>
      <c r="YP154" s="115"/>
      <c r="YQ154" s="115"/>
      <c r="YR154" s="115"/>
      <c r="YS154" s="115"/>
      <c r="YT154" s="115"/>
      <c r="YU154" s="115"/>
      <c r="YV154" s="115"/>
      <c r="YW154" s="115"/>
      <c r="YX154" s="115"/>
      <c r="YY154" s="115"/>
      <c r="YZ154" s="115"/>
      <c r="ZA154" s="115"/>
      <c r="ZB154" s="115"/>
      <c r="ZC154" s="115"/>
      <c r="ZD154" s="115"/>
      <c r="ZE154" s="115"/>
      <c r="ZF154" s="115"/>
      <c r="ZG154" s="115"/>
      <c r="ZH154" s="115"/>
      <c r="ZI154" s="115"/>
      <c r="ZJ154" s="115"/>
      <c r="ZK154" s="115"/>
      <c r="ZL154" s="115"/>
      <c r="ZM154" s="115"/>
      <c r="ZN154" s="115"/>
      <c r="ZO154" s="115"/>
      <c r="ZP154" s="115"/>
      <c r="ZQ154" s="115"/>
      <c r="ZR154" s="115"/>
      <c r="ZS154" s="115"/>
      <c r="ZT154" s="115"/>
      <c r="ZU154" s="115"/>
      <c r="ZV154" s="115"/>
      <c r="ZW154" s="115"/>
      <c r="ZX154" s="115"/>
      <c r="ZY154" s="115"/>
      <c r="ZZ154" s="115"/>
      <c r="AAA154" s="115"/>
      <c r="AAB154" s="115"/>
      <c r="AAC154" s="115"/>
      <c r="AAD154" s="115"/>
      <c r="AAE154" s="115"/>
      <c r="AAF154" s="115"/>
      <c r="AAG154" s="115"/>
      <c r="AAH154" s="115"/>
      <c r="AAI154" s="115"/>
      <c r="AAJ154" s="115"/>
      <c r="AAK154" s="115"/>
      <c r="AAL154" s="115"/>
      <c r="AAM154" s="115"/>
      <c r="AAN154" s="115"/>
      <c r="AAO154" s="115"/>
      <c r="AAP154" s="115"/>
      <c r="AAQ154" s="115"/>
      <c r="AAR154" s="115"/>
      <c r="AAS154" s="115"/>
      <c r="AAT154" s="115"/>
      <c r="AAU154" s="115"/>
      <c r="AAV154" s="115"/>
      <c r="AAW154" s="115"/>
      <c r="AAX154" s="115"/>
      <c r="AAY154" s="115"/>
      <c r="AAZ154" s="115"/>
      <c r="ABA154" s="115"/>
      <c r="ABB154" s="115"/>
      <c r="ABC154" s="115"/>
      <c r="ABD154" s="115"/>
      <c r="ABE154" s="115"/>
      <c r="ABF154" s="115"/>
      <c r="ABG154" s="115"/>
      <c r="ABH154" s="115"/>
      <c r="ABI154" s="115"/>
      <c r="ABJ154" s="115"/>
      <c r="ABK154" s="115"/>
      <c r="ABL154" s="115"/>
      <c r="ABM154" s="115"/>
      <c r="ABN154" s="115"/>
      <c r="ABO154" s="115"/>
      <c r="ABP154" s="115"/>
      <c r="ABQ154" s="115"/>
      <c r="ABR154" s="115"/>
      <c r="ABS154" s="115"/>
      <c r="ABT154" s="115"/>
      <c r="ABU154" s="115"/>
      <c r="ABV154" s="115"/>
      <c r="ABW154" s="115"/>
      <c r="ABX154" s="115"/>
      <c r="ABY154" s="115"/>
      <c r="ABZ154" s="115"/>
      <c r="ACA154" s="115"/>
      <c r="ACB154" s="115"/>
      <c r="ACC154" s="115"/>
      <c r="ACD154" s="115"/>
      <c r="ACE154" s="115"/>
      <c r="ACF154" s="115"/>
      <c r="ACG154" s="115"/>
      <c r="ACH154" s="115"/>
      <c r="ACI154" s="115"/>
      <c r="ACJ154" s="115"/>
      <c r="ACK154" s="115"/>
      <c r="ACL154" s="115"/>
      <c r="ACM154" s="115"/>
      <c r="ACN154" s="115"/>
      <c r="ACO154" s="115"/>
      <c r="ACP154" s="115"/>
      <c r="ACQ154" s="115"/>
      <c r="ACR154" s="115"/>
      <c r="ACS154" s="115"/>
      <c r="ACT154" s="115"/>
      <c r="ACU154" s="115"/>
      <c r="ACV154" s="115"/>
      <c r="ACW154" s="115"/>
      <c r="ACX154" s="115"/>
      <c r="ACY154" s="115"/>
      <c r="ACZ154" s="115"/>
      <c r="ADA154" s="115"/>
      <c r="ADB154" s="115"/>
      <c r="ADC154" s="115"/>
      <c r="ADD154" s="115"/>
      <c r="ADE154" s="115"/>
      <c r="ADF154" s="115"/>
      <c r="ADG154" s="115"/>
      <c r="ADH154" s="115"/>
      <c r="ADI154" s="115"/>
      <c r="ADJ154" s="115"/>
      <c r="ADK154" s="115"/>
      <c r="ADL154" s="115"/>
      <c r="ADM154" s="115"/>
      <c r="ADN154" s="115"/>
      <c r="ADO154" s="115"/>
      <c r="ADP154" s="115"/>
      <c r="ADQ154" s="115"/>
      <c r="ADR154" s="115"/>
      <c r="ADS154" s="115"/>
      <c r="ADT154" s="115"/>
      <c r="ADU154" s="115"/>
      <c r="ADV154" s="115"/>
      <c r="ADW154" s="115"/>
      <c r="ADX154" s="115"/>
      <c r="ADY154" s="115"/>
      <c r="ADZ154" s="115"/>
      <c r="AEA154" s="115"/>
      <c r="AEB154" s="115"/>
      <c r="AEC154" s="115"/>
      <c r="AED154" s="115"/>
      <c r="AEE154" s="115"/>
      <c r="AEF154" s="115"/>
      <c r="AEG154" s="115"/>
      <c r="AEH154" s="115"/>
      <c r="AEI154" s="115"/>
      <c r="AEJ154" s="115"/>
      <c r="AEK154" s="115"/>
      <c r="AEL154" s="115"/>
      <c r="AEM154" s="115"/>
      <c r="AEN154" s="115"/>
      <c r="AEO154" s="115"/>
      <c r="AEP154" s="115"/>
      <c r="AEQ154" s="115"/>
      <c r="AER154" s="115"/>
      <c r="AES154" s="115"/>
      <c r="AET154" s="115"/>
      <c r="AEU154" s="115"/>
      <c r="AEV154" s="115"/>
      <c r="AEW154" s="115"/>
      <c r="AEX154" s="115"/>
      <c r="AEY154" s="115"/>
      <c r="AEZ154" s="115"/>
      <c r="AFA154" s="115"/>
      <c r="AFB154" s="115"/>
      <c r="AFC154" s="115"/>
      <c r="AFD154" s="115"/>
      <c r="AFE154" s="115"/>
      <c r="AFF154" s="115"/>
      <c r="AFG154" s="115"/>
      <c r="AFH154" s="115"/>
      <c r="AFI154" s="115"/>
      <c r="AFJ154" s="115"/>
      <c r="AFK154" s="115"/>
      <c r="AFL154" s="115"/>
      <c r="AFM154" s="115"/>
      <c r="AFN154" s="115"/>
      <c r="AFO154" s="115"/>
      <c r="AFP154" s="115"/>
      <c r="AFQ154" s="115"/>
      <c r="AFR154" s="115"/>
      <c r="AFS154" s="115"/>
      <c r="AFT154" s="115"/>
      <c r="AFU154" s="115"/>
      <c r="AFV154" s="115"/>
      <c r="AFW154" s="115"/>
      <c r="AFX154" s="115"/>
      <c r="AFY154" s="115"/>
      <c r="AFZ154" s="115"/>
      <c r="AGA154" s="115"/>
      <c r="AGB154" s="115"/>
      <c r="AGC154" s="115"/>
      <c r="AGD154" s="115"/>
      <c r="AGE154" s="115"/>
      <c r="AGF154" s="115"/>
      <c r="AGG154" s="115"/>
      <c r="AGH154" s="115"/>
      <c r="AGI154" s="115"/>
      <c r="AGJ154" s="115"/>
      <c r="AGK154" s="115"/>
      <c r="AGL154" s="115"/>
      <c r="AGM154" s="115"/>
      <c r="AGN154" s="115"/>
      <c r="AGO154" s="115"/>
      <c r="AGP154" s="115"/>
      <c r="AGQ154" s="115"/>
      <c r="AGR154" s="115"/>
      <c r="AGS154" s="115"/>
      <c r="AGT154" s="115"/>
      <c r="AGU154" s="115"/>
      <c r="AGV154" s="115"/>
      <c r="AGW154" s="115"/>
      <c r="AGX154" s="115"/>
      <c r="AGY154" s="115"/>
      <c r="AGZ154" s="115"/>
      <c r="AHA154" s="115"/>
      <c r="AHB154" s="115"/>
      <c r="AHC154" s="115"/>
      <c r="AHD154" s="115"/>
      <c r="AHE154" s="115"/>
      <c r="AHF154" s="115"/>
      <c r="AHG154" s="115"/>
      <c r="AHH154" s="115"/>
      <c r="AHI154" s="115"/>
      <c r="AHJ154" s="115"/>
      <c r="AHK154" s="115"/>
      <c r="AHL154" s="115"/>
      <c r="AHM154" s="115"/>
      <c r="AHN154" s="115"/>
      <c r="AHO154" s="115"/>
      <c r="AHP154" s="115"/>
      <c r="AHQ154" s="115"/>
      <c r="AHR154" s="115"/>
      <c r="AHS154" s="115"/>
      <c r="AHT154" s="115"/>
      <c r="AHU154" s="115"/>
      <c r="AHV154" s="115"/>
      <c r="AHW154" s="115"/>
      <c r="AHX154" s="115"/>
      <c r="AHY154" s="115"/>
      <c r="AHZ154" s="115"/>
      <c r="AIA154" s="115"/>
      <c r="AIB154" s="115"/>
      <c r="AIC154" s="115"/>
      <c r="AID154" s="115"/>
      <c r="AIE154" s="115"/>
      <c r="AIF154" s="115"/>
      <c r="AIG154" s="115"/>
      <c r="AIH154" s="115"/>
      <c r="AII154" s="115"/>
      <c r="AIJ154" s="115"/>
      <c r="AIK154" s="115"/>
      <c r="AIL154" s="115"/>
      <c r="AIM154" s="115"/>
      <c r="AIN154" s="115"/>
      <c r="AIO154" s="115"/>
      <c r="AIP154" s="115"/>
      <c r="AIQ154" s="115"/>
      <c r="AIR154" s="115"/>
      <c r="AIS154" s="115"/>
      <c r="AIT154" s="115"/>
      <c r="AIU154" s="115"/>
      <c r="AIV154" s="115"/>
      <c r="AIW154" s="115"/>
      <c r="AIX154" s="115"/>
      <c r="AIY154" s="115"/>
      <c r="AIZ154" s="115"/>
      <c r="AJA154" s="115"/>
      <c r="AJB154" s="115"/>
      <c r="AJC154" s="115"/>
      <c r="AJD154" s="115"/>
      <c r="AJE154" s="115"/>
      <c r="AJF154" s="115"/>
      <c r="AJG154" s="115"/>
      <c r="AJH154" s="115"/>
      <c r="AJI154" s="115"/>
      <c r="AJJ154" s="115"/>
      <c r="AJK154" s="115"/>
      <c r="AJL154" s="115"/>
      <c r="AJM154" s="115"/>
      <c r="AJN154" s="115"/>
      <c r="AJO154" s="115"/>
      <c r="AJP154" s="115"/>
      <c r="AJQ154" s="115"/>
      <c r="AJR154" s="115"/>
      <c r="AJS154" s="115"/>
      <c r="AJT154" s="115"/>
      <c r="AJU154" s="115"/>
      <c r="AJV154" s="115"/>
      <c r="AJW154" s="115"/>
      <c r="AJX154" s="115"/>
      <c r="AJY154" s="115"/>
      <c r="AJZ154" s="115"/>
      <c r="AKA154" s="115"/>
      <c r="AKB154" s="115"/>
      <c r="AKC154" s="115"/>
      <c r="AKD154" s="115"/>
      <c r="AKE154" s="115"/>
      <c r="AKF154" s="115"/>
      <c r="AKG154" s="115"/>
      <c r="AKH154" s="115"/>
      <c r="AKI154" s="115"/>
      <c r="AKJ154" s="115"/>
      <c r="AKK154" s="115"/>
      <c r="AKL154" s="115"/>
      <c r="AKM154" s="115"/>
      <c r="AKN154" s="115"/>
      <c r="AKO154" s="115"/>
      <c r="AKP154" s="115"/>
      <c r="AKQ154" s="115"/>
      <c r="AKR154" s="115"/>
      <c r="AKS154" s="115"/>
      <c r="AKT154" s="115"/>
      <c r="AKU154" s="115"/>
      <c r="AKV154" s="115"/>
      <c r="AKW154" s="115"/>
      <c r="AKX154" s="115"/>
      <c r="AKY154" s="115"/>
      <c r="AKZ154" s="115"/>
      <c r="ALA154" s="115"/>
      <c r="ALB154" s="115"/>
      <c r="ALC154" s="115"/>
      <c r="ALD154" s="115"/>
      <c r="ALE154" s="115"/>
      <c r="ALF154" s="115"/>
      <c r="ALG154" s="115"/>
      <c r="ALH154" s="115"/>
      <c r="ALI154" s="115"/>
      <c r="ALJ154" s="115"/>
      <c r="ALK154" s="115"/>
      <c r="ALL154" s="115"/>
      <c r="ALM154" s="115"/>
      <c r="ALN154" s="115"/>
      <c r="ALO154" s="115"/>
      <c r="ALP154" s="115"/>
      <c r="ALQ154" s="115"/>
      <c r="ALR154" s="115"/>
      <c r="ALS154" s="115"/>
      <c r="ALT154" s="115"/>
      <c r="ALU154" s="115"/>
      <c r="ALV154" s="115"/>
      <c r="ALW154" s="115"/>
      <c r="ALX154" s="115"/>
      <c r="ALY154" s="115"/>
      <c r="ALZ154" s="115"/>
      <c r="AMA154" s="115"/>
      <c r="AMB154" s="115"/>
      <c r="AMC154" s="115"/>
      <c r="AMD154" s="115"/>
      <c r="AME154" s="115"/>
      <c r="AMF154" s="115"/>
      <c r="AMG154" s="115"/>
      <c r="AMH154" s="115"/>
      <c r="AMI154" s="115"/>
      <c r="AMJ154" s="115"/>
    </row>
    <row r="155" spans="1:1024" x14ac:dyDescent="0.2">
      <c r="A155" s="10" t="s">
        <v>814</v>
      </c>
    </row>
    <row r="156" spans="1:1024" x14ac:dyDescent="0.2">
      <c r="A156" s="122">
        <v>2021.5403200000001</v>
      </c>
      <c r="B156" s="10">
        <v>1744.6731</v>
      </c>
      <c r="C156" s="10">
        <v>1673</v>
      </c>
      <c r="D156" s="28">
        <v>1</v>
      </c>
      <c r="E156" s="10">
        <v>28</v>
      </c>
      <c r="F156" s="10">
        <f>(C156-$AE$12)*EchelleFPAparam!$C$3/EchelleFPAparam!$E$3</f>
        <v>1.6309523809523807E-3</v>
      </c>
    </row>
    <row r="157" spans="1:1024" x14ac:dyDescent="0.2">
      <c r="A157" s="122"/>
      <c r="B157" s="10">
        <f>B156+(D156-1)*2048-3072+(D156-2)*EchelleFPAparam!$B$3/EchelleFPAparam!$C$3</f>
        <v>-1472.3269</v>
      </c>
    </row>
    <row r="158" spans="1:1024" x14ac:dyDescent="0.2">
      <c r="A158" s="122"/>
      <c r="B158" s="10">
        <f>B157*EchelleFPAparam!$C$3*COS(EchelleFPAparam!$AC$3)*$B$6</f>
        <v>-26.759251599471803</v>
      </c>
    </row>
    <row r="159" spans="1:1024" x14ac:dyDescent="0.2">
      <c r="A159" s="122"/>
      <c r="B159" s="10">
        <f>ATAN(B158/EchelleFPAparam!$E$3)</f>
        <v>-1.769607031296894E-2</v>
      </c>
      <c r="C159" s="29">
        <f>EchelleFPAparam!$M$3+$B159</f>
        <v>-7.3668780251302274E-2</v>
      </c>
      <c r="F159" s="10">
        <f>ASIN($E156*$A156/(COS(F156)*2*EchelleFPAparam!$S$3*COS(-$C159/2)))-$C159/2</f>
        <v>1.1533113816463194</v>
      </c>
      <c r="G159" s="29">
        <f>$F159*180/EchelleFPAparam!$O$3</f>
        <v>66.079873656549282</v>
      </c>
      <c r="H159" s="10">
        <v>450</v>
      </c>
      <c r="I159" s="10" t="s">
        <v>361</v>
      </c>
      <c r="J159" s="10">
        <f>A156</f>
        <v>2021.5403200000001</v>
      </c>
      <c r="K159" s="10">
        <f>B156+(D156-1)*2198</f>
        <v>1744.6731</v>
      </c>
      <c r="L159" s="30">
        <f>C156</f>
        <v>1673</v>
      </c>
      <c r="M159" s="10">
        <f>E156</f>
        <v>28</v>
      </c>
      <c r="N159" s="29">
        <f>G159</f>
        <v>66.079873656549282</v>
      </c>
      <c r="O159" s="10">
        <f>H159</f>
        <v>450</v>
      </c>
    </row>
    <row r="160" spans="1:1024" x14ac:dyDescent="0.2">
      <c r="A160" s="122">
        <v>2190.8505399999999</v>
      </c>
      <c r="B160" s="10">
        <v>1602.8886</v>
      </c>
      <c r="C160" s="10">
        <v>1134</v>
      </c>
      <c r="D160" s="28">
        <v>2</v>
      </c>
      <c r="E160" s="10">
        <v>26</v>
      </c>
      <c r="F160" s="10">
        <f>(C160-$AE$12)*EchelleFPAparam!$C$3/EchelleFPAparam!$E$3</f>
        <v>-4.7857142857142855E-3</v>
      </c>
      <c r="AG160" s="29">
        <f>N159</f>
        <v>66.079873656549282</v>
      </c>
      <c r="AH160" s="29">
        <f>O159</f>
        <v>450</v>
      </c>
      <c r="AI160" s="10">
        <f>AG160+AH160*0.009525</f>
        <v>70.366123656549277</v>
      </c>
    </row>
    <row r="161" spans="1:35" x14ac:dyDescent="0.2">
      <c r="A161" s="122"/>
      <c r="B161" s="10">
        <f>B160+(D160-1)*2048-3072+(D160-2)*EchelleFPAparam!$B$3/EchelleFPAparam!$C$3</f>
        <v>578.88860000000022</v>
      </c>
      <c r="AG161" s="29">
        <f>N163</f>
        <v>66.083170914324214</v>
      </c>
      <c r="AH161" s="29">
        <f>O163</f>
        <v>450</v>
      </c>
      <c r="AI161" s="10">
        <f t="shared" ref="AI161:AI189" si="0">AG161+AH161*0.009525</f>
        <v>70.369420914324209</v>
      </c>
    </row>
    <row r="162" spans="1:35" x14ac:dyDescent="0.2">
      <c r="A162" s="122"/>
      <c r="B162" s="10">
        <f>B161*EchelleFPAparam!$C$3*COS(EchelleFPAparam!$AC$3)*$B$6</f>
        <v>10.521186358454768</v>
      </c>
      <c r="AG162" s="29">
        <f>N167</f>
        <v>66.082507215173038</v>
      </c>
      <c r="AH162" s="29">
        <f>O167</f>
        <v>450</v>
      </c>
      <c r="AI162" s="10">
        <f t="shared" si="0"/>
        <v>70.368757215173034</v>
      </c>
    </row>
    <row r="163" spans="1:35" x14ac:dyDescent="0.2">
      <c r="A163" s="122"/>
      <c r="B163" s="10">
        <f>ATAN(B162/EchelleFPAparam!$E$3)</f>
        <v>6.9583442797791781E-3</v>
      </c>
      <c r="C163" s="29">
        <f>EchelleFPAparam!$M$3+$B163</f>
        <v>-4.9014365658554153E-2</v>
      </c>
      <c r="F163" s="10">
        <f>ASIN($E160*$A160/(COS(F160)*2*EchelleFPAparam!$S$3*COS(-$C163/2)))-$C163/2</f>
        <v>1.1533689296516292</v>
      </c>
      <c r="G163" s="29">
        <f>$F163*180/EchelleFPAparam!$O$3</f>
        <v>66.083170914324214</v>
      </c>
      <c r="H163" s="10">
        <v>450</v>
      </c>
      <c r="I163" s="10" t="str">
        <f>I159</f>
        <v>K</v>
      </c>
      <c r="J163" s="10">
        <f>A160</f>
        <v>2190.8505399999999</v>
      </c>
      <c r="K163" s="10">
        <f>B160+(D160-1)*2198</f>
        <v>3800.8886000000002</v>
      </c>
      <c r="L163" s="30">
        <f>C160</f>
        <v>1134</v>
      </c>
      <c r="M163" s="10">
        <f>E160</f>
        <v>26</v>
      </c>
      <c r="N163" s="29">
        <f>G163</f>
        <v>66.083170914324214</v>
      </c>
      <c r="O163" s="10">
        <f>H163</f>
        <v>450</v>
      </c>
      <c r="AG163" s="29">
        <f>N171</f>
        <v>66.082124324066072</v>
      </c>
      <c r="AH163" s="29">
        <f>O171</f>
        <v>450</v>
      </c>
      <c r="AI163" s="10">
        <f t="shared" si="0"/>
        <v>70.368374324066068</v>
      </c>
    </row>
    <row r="164" spans="1:35" x14ac:dyDescent="0.2">
      <c r="A164" s="122">
        <v>2042.9532300000001</v>
      </c>
      <c r="B164" s="10">
        <v>845.43416000000002</v>
      </c>
      <c r="C164" s="10">
        <v>1682</v>
      </c>
      <c r="D164" s="28">
        <v>3</v>
      </c>
      <c r="E164" s="10">
        <v>28</v>
      </c>
      <c r="F164" s="10">
        <f>(C164-$AE$12)*EchelleFPAparam!$C$3/EchelleFPAparam!$E$3</f>
        <v>1.7380952380952378E-3</v>
      </c>
      <c r="AG164" s="29">
        <f>N175</f>
        <v>65.608975524629372</v>
      </c>
      <c r="AH164" s="29">
        <f>O175</f>
        <v>500</v>
      </c>
      <c r="AI164" s="10">
        <f t="shared" si="0"/>
        <v>70.371475524629375</v>
      </c>
    </row>
    <row r="165" spans="1:35" x14ac:dyDescent="0.2">
      <c r="A165" s="122"/>
      <c r="B165" s="10">
        <f>B164+(D164-1)*2048-3072+(D164-2)*EchelleFPAparam!$B$3/EchelleFPAparam!$C$3</f>
        <v>2014.4341599999998</v>
      </c>
      <c r="AG165" s="29">
        <f>N179</f>
        <v>65.607977744248714</v>
      </c>
      <c r="AH165" s="29">
        <f>O179</f>
        <v>500</v>
      </c>
      <c r="AI165" s="10">
        <f t="shared" si="0"/>
        <v>70.370477744248717</v>
      </c>
    </row>
    <row r="166" spans="1:35" x14ac:dyDescent="0.2">
      <c r="A166" s="122"/>
      <c r="B166" s="10">
        <f>B165*EchelleFPAparam!$C$3*COS(EchelleFPAparam!$AC$3)*$B$6</f>
        <v>36.611944343345648</v>
      </c>
      <c r="AG166" s="29">
        <f>N183</f>
        <v>65.609047894615159</v>
      </c>
      <c r="AH166" s="29">
        <f>O183</f>
        <v>500</v>
      </c>
      <c r="AI166" s="10">
        <f t="shared" si="0"/>
        <v>70.371547894615162</v>
      </c>
    </row>
    <row r="167" spans="1:35" x14ac:dyDescent="0.2">
      <c r="A167" s="122"/>
      <c r="B167" s="10">
        <f>ATAN(B166/EchelleFPAparam!$E$3)</f>
        <v>2.4209518056210806E-2</v>
      </c>
      <c r="C167" s="29">
        <f>EchelleFPAparam!$M$3+$B167</f>
        <v>-3.1763191882122524E-2</v>
      </c>
      <c r="F167" s="10">
        <f>ASIN($E164*$A164/(COS(F164)*2*EchelleFPAparam!$S$3*COS(-$C167/2)))-$C167/2</f>
        <v>1.1533573459160273</v>
      </c>
      <c r="G167" s="29">
        <f>$F167*180/EchelleFPAparam!$O$3</f>
        <v>66.082507215173038</v>
      </c>
      <c r="H167" s="10">
        <v>450</v>
      </c>
      <c r="I167" s="10" t="str">
        <f>I163</f>
        <v>K</v>
      </c>
      <c r="J167" s="10">
        <f>A164</f>
        <v>2042.9532300000001</v>
      </c>
      <c r="K167" s="10">
        <f>B164+(D164-1)*2198</f>
        <v>5241.4341599999998</v>
      </c>
      <c r="L167" s="30">
        <f>C164</f>
        <v>1682</v>
      </c>
      <c r="M167" s="10">
        <f>E164</f>
        <v>28</v>
      </c>
      <c r="N167" s="29">
        <f>G167</f>
        <v>66.082507215173038</v>
      </c>
      <c r="O167" s="10">
        <f>H167</f>
        <v>450</v>
      </c>
      <c r="AG167" s="29">
        <f>N187</f>
        <v>65.607168303832921</v>
      </c>
      <c r="AH167" s="29">
        <f>O187</f>
        <v>500</v>
      </c>
      <c r="AI167" s="10">
        <f t="shared" si="0"/>
        <v>70.369668303832924</v>
      </c>
    </row>
    <row r="168" spans="1:35" x14ac:dyDescent="0.2">
      <c r="A168" s="122">
        <v>2477.5359800000001</v>
      </c>
      <c r="B168" s="10">
        <v>1773.7355</v>
      </c>
      <c r="C168" s="10">
        <v>129</v>
      </c>
      <c r="D168" s="28">
        <v>2</v>
      </c>
      <c r="E168" s="10">
        <v>23</v>
      </c>
      <c r="F168" s="10">
        <f>(C168-$AE$12)*EchelleFPAparam!$C$3/EchelleFPAparam!$E$3</f>
        <v>-1.6749999999999998E-2</v>
      </c>
      <c r="AG168" s="29">
        <f>N191</f>
        <v>65.609072833698875</v>
      </c>
      <c r="AH168" s="29">
        <f>O191</f>
        <v>500</v>
      </c>
      <c r="AI168" s="10">
        <f t="shared" si="0"/>
        <v>70.371572833698878</v>
      </c>
    </row>
    <row r="169" spans="1:35" x14ac:dyDescent="0.2">
      <c r="A169" s="122"/>
      <c r="B169" s="10">
        <f>B168+(D168-1)*2048-3072+(D168-2)*EchelleFPAparam!$B$3/EchelleFPAparam!$C$3</f>
        <v>749.73549999999977</v>
      </c>
      <c r="AG169" s="29">
        <f>N195</f>
        <v>65.131034120290934</v>
      </c>
      <c r="AH169" s="29">
        <f>O195</f>
        <v>550</v>
      </c>
      <c r="AI169" s="10">
        <f t="shared" si="0"/>
        <v>70.36978412029093</v>
      </c>
    </row>
    <row r="170" spans="1:35" x14ac:dyDescent="0.2">
      <c r="A170" s="122"/>
      <c r="B170" s="10">
        <f>B169*EchelleFPAparam!$C$3*COS(EchelleFPAparam!$AC$3)*$B$6</f>
        <v>13.626295137007808</v>
      </c>
      <c r="AG170" s="29">
        <f>N199</f>
        <v>65.130444179873265</v>
      </c>
      <c r="AH170" s="29">
        <f>O199</f>
        <v>550</v>
      </c>
      <c r="AI170" s="10">
        <f t="shared" si="0"/>
        <v>70.369194179873261</v>
      </c>
    </row>
    <row r="171" spans="1:35" x14ac:dyDescent="0.2">
      <c r="A171" s="122"/>
      <c r="B171" s="10">
        <f>ATAN(B170/EchelleFPAparam!$E$3)</f>
        <v>9.0118559888123125E-3</v>
      </c>
      <c r="C171" s="29">
        <f>EchelleFPAparam!$M$3+$B171</f>
        <v>-4.6960853949521014E-2</v>
      </c>
      <c r="F171" s="10">
        <f>ASIN($E168*$A168/(COS(F168)*2*EchelleFPAparam!$S$3*COS(-$C171/2)))-$C171/2</f>
        <v>1.1533506632054356</v>
      </c>
      <c r="G171" s="29">
        <f>$F171*180/EchelleFPAparam!$O$3</f>
        <v>66.082124324066072</v>
      </c>
      <c r="H171" s="10">
        <v>450</v>
      </c>
      <c r="I171" s="10" t="str">
        <f>I167</f>
        <v>K</v>
      </c>
      <c r="J171" s="10">
        <f>A168</f>
        <v>2477.5359800000001</v>
      </c>
      <c r="K171" s="10">
        <f>B168+(D168-1)*2198</f>
        <v>3971.7354999999998</v>
      </c>
      <c r="L171" s="30">
        <f>C168</f>
        <v>129</v>
      </c>
      <c r="M171" s="10">
        <f>E168</f>
        <v>23</v>
      </c>
      <c r="N171" s="29">
        <f>G171</f>
        <v>66.082124324066072</v>
      </c>
      <c r="O171" s="10">
        <f>H171</f>
        <v>450</v>
      </c>
      <c r="AG171" s="29">
        <f>N203</f>
        <v>64.65590213778701</v>
      </c>
      <c r="AH171" s="29">
        <f>O203</f>
        <v>600</v>
      </c>
      <c r="AI171" s="10">
        <f t="shared" si="0"/>
        <v>70.370902137787013</v>
      </c>
    </row>
    <row r="172" spans="1:35" x14ac:dyDescent="0.2">
      <c r="A172" s="122">
        <v>2249.1909900000001</v>
      </c>
      <c r="B172" s="10">
        <v>965.43700999999999</v>
      </c>
      <c r="C172" s="10">
        <v>863</v>
      </c>
      <c r="D172" s="28">
        <v>1</v>
      </c>
      <c r="E172" s="10">
        <v>25</v>
      </c>
      <c r="F172" s="10">
        <f>(C172-$AE$12)*EchelleFPAparam!$C$3/EchelleFPAparam!$E$3</f>
        <v>-8.0119047619047618E-3</v>
      </c>
      <c r="AG172" s="29">
        <f>N207</f>
        <v>64.655897231585627</v>
      </c>
      <c r="AH172" s="29">
        <f>O207</f>
        <v>600</v>
      </c>
      <c r="AI172" s="10">
        <f t="shared" si="0"/>
        <v>70.37089723158563</v>
      </c>
    </row>
    <row r="173" spans="1:35" x14ac:dyDescent="0.2">
      <c r="A173" s="122"/>
      <c r="B173" s="10">
        <f>B172+(D172-1)*2048-3072+(D172-2)*EchelleFPAparam!$B$3/EchelleFPAparam!$C$3</f>
        <v>-2251.5629899999999</v>
      </c>
      <c r="AG173" s="29">
        <f>N211</f>
        <v>64.176744559146513</v>
      </c>
      <c r="AH173" s="29">
        <f>O211</f>
        <v>650</v>
      </c>
      <c r="AI173" s="10">
        <f t="shared" si="0"/>
        <v>70.36799455914651</v>
      </c>
    </row>
    <row r="174" spans="1:35" x14ac:dyDescent="0.2">
      <c r="A174" s="122"/>
      <c r="B174" s="10">
        <f>B173*EchelleFPAparam!$C$3*COS(EchelleFPAparam!$AC$3)*$B$6</f>
        <v>-40.921714152929624</v>
      </c>
      <c r="AG174" s="29">
        <f>N215</f>
        <v>64.175390408439625</v>
      </c>
      <c r="AH174" s="29">
        <f>O215</f>
        <v>650</v>
      </c>
      <c r="AI174" s="10">
        <f t="shared" si="0"/>
        <v>70.366640408439622</v>
      </c>
    </row>
    <row r="175" spans="1:35" x14ac:dyDescent="0.2">
      <c r="A175" s="122"/>
      <c r="B175" s="10">
        <f>ATAN(B174/EchelleFPAparam!$E$3)</f>
        <v>-2.7058020440255834E-2</v>
      </c>
      <c r="C175" s="29">
        <f>EchelleFPAparam!$M$3+$B175</f>
        <v>-8.3030730378589157E-2</v>
      </c>
      <c r="F175" s="10">
        <f>ASIN($E172*$A172/(COS(F172)*2*EchelleFPAparam!$S$3*COS(-$C175/2)))-$C175/2</f>
        <v>1.1450926586814127</v>
      </c>
      <c r="G175" s="29">
        <f>$F175*180/EchelleFPAparam!$O$3</f>
        <v>65.608975524629372</v>
      </c>
      <c r="H175" s="10">
        <v>500</v>
      </c>
      <c r="I175" s="10" t="str">
        <f>I171</f>
        <v>K</v>
      </c>
      <c r="J175" s="10">
        <f>A172</f>
        <v>2249.1909900000001</v>
      </c>
      <c r="K175" s="10">
        <f>B172+(D172-1)*2198</f>
        <v>965.43700999999999</v>
      </c>
      <c r="L175" s="30">
        <f>C172</f>
        <v>863</v>
      </c>
      <c r="M175" s="10">
        <f>E172</f>
        <v>25</v>
      </c>
      <c r="N175" s="29">
        <f>G175</f>
        <v>65.608975524629372</v>
      </c>
      <c r="O175" s="10">
        <f>H175</f>
        <v>500</v>
      </c>
      <c r="AG175" s="29">
        <f>N219</f>
        <v>63.701623566556414</v>
      </c>
      <c r="AH175" s="29">
        <f>O219</f>
        <v>700</v>
      </c>
      <c r="AI175" s="10">
        <f t="shared" si="0"/>
        <v>70.369123566556411</v>
      </c>
    </row>
    <row r="176" spans="1:35" x14ac:dyDescent="0.2">
      <c r="A176" s="122">
        <v>2021.5403200000001</v>
      </c>
      <c r="B176" s="10">
        <v>835.76053999999999</v>
      </c>
      <c r="C176" s="10">
        <v>1705</v>
      </c>
      <c r="D176" s="28">
        <v>2</v>
      </c>
      <c r="E176" s="10">
        <v>28</v>
      </c>
      <c r="F176" s="10">
        <f>(C176-$AE$12)*EchelleFPAparam!$C$3/EchelleFPAparam!$E$3</f>
        <v>2.0119047619047616E-3</v>
      </c>
      <c r="AG176" s="29">
        <f>N223</f>
        <v>63.701757909227489</v>
      </c>
      <c r="AH176" s="29">
        <f>O223</f>
        <v>700</v>
      </c>
      <c r="AI176" s="10">
        <f t="shared" si="0"/>
        <v>70.369257909227485</v>
      </c>
    </row>
    <row r="177" spans="1:35" x14ac:dyDescent="0.2">
      <c r="A177" s="122"/>
      <c r="B177" s="10">
        <f>B176+(D176-1)*2048-3072+(D176-2)*EchelleFPAparam!$B$3/EchelleFPAparam!$C$3</f>
        <v>-188.23945999999978</v>
      </c>
      <c r="AG177" s="29">
        <f>N227</f>
        <v>63.222772930812958</v>
      </c>
      <c r="AH177" s="29">
        <f>O227</f>
        <v>750</v>
      </c>
      <c r="AI177" s="10">
        <f t="shared" si="0"/>
        <v>70.366522930812962</v>
      </c>
    </row>
    <row r="178" spans="1:35" x14ac:dyDescent="0.2">
      <c r="A178" s="122"/>
      <c r="B178" s="10">
        <f>B177*EchelleFPAparam!$C$3*COS(EchelleFPAparam!$AC$3)*$B$6</f>
        <v>-3.4212151330582241</v>
      </c>
      <c r="AG178" s="29">
        <f>N231</f>
        <v>63.221805594501603</v>
      </c>
      <c r="AH178" s="29">
        <f>O231</f>
        <v>750</v>
      </c>
      <c r="AI178" s="10">
        <f t="shared" si="0"/>
        <v>70.3655555945016</v>
      </c>
    </row>
    <row r="179" spans="1:35" x14ac:dyDescent="0.2">
      <c r="A179" s="122"/>
      <c r="B179" s="10">
        <f>ATAN(B178/EchelleFPAparam!$E$3)</f>
        <v>-2.2627045597712154E-3</v>
      </c>
      <c r="C179" s="29">
        <f>EchelleFPAparam!$M$3+$B179</f>
        <v>-5.8235414498104543E-2</v>
      </c>
      <c r="F179" s="10">
        <f>ASIN($E176*$A176/(COS(F176)*2*EchelleFPAparam!$S$3*COS(-$C179/2)))-$C179/2</f>
        <v>1.1450752441283014</v>
      </c>
      <c r="G179" s="29">
        <f>$F179*180/EchelleFPAparam!$O$3</f>
        <v>65.607977744248714</v>
      </c>
      <c r="H179" s="10">
        <v>500</v>
      </c>
      <c r="I179" s="10" t="str">
        <f>I175</f>
        <v>K</v>
      </c>
      <c r="J179" s="10">
        <f>A176</f>
        <v>2021.5403200000001</v>
      </c>
      <c r="K179" s="10">
        <f>B176+(D176-1)*2198</f>
        <v>3033.7605400000002</v>
      </c>
      <c r="L179" s="30">
        <f>C176</f>
        <v>1705</v>
      </c>
      <c r="M179" s="10">
        <f>E176</f>
        <v>28</v>
      </c>
      <c r="N179" s="29">
        <f>G179</f>
        <v>65.607977744248714</v>
      </c>
      <c r="O179" s="10">
        <f>H179</f>
        <v>500</v>
      </c>
      <c r="AG179" s="29">
        <f>N235</f>
        <v>66.557731532953667</v>
      </c>
      <c r="AH179" s="29">
        <f>O235</f>
        <v>400</v>
      </c>
      <c r="AI179" s="10">
        <f t="shared" si="0"/>
        <v>70.36773153295367</v>
      </c>
    </row>
    <row r="180" spans="1:35" x14ac:dyDescent="0.2">
      <c r="A180" s="122">
        <v>2190.8505399999999</v>
      </c>
      <c r="B180" s="10">
        <v>729.15512999999999</v>
      </c>
      <c r="C180" s="10">
        <v>1167</v>
      </c>
      <c r="D180" s="28">
        <v>3</v>
      </c>
      <c r="E180" s="10">
        <v>26</v>
      </c>
      <c r="F180" s="10">
        <f>(C180-$AE$12)*EchelleFPAparam!$C$3/EchelleFPAparam!$E$3</f>
        <v>-4.3928571428571428E-3</v>
      </c>
      <c r="AG180" s="29">
        <f>N239</f>
        <v>66.561180123887212</v>
      </c>
      <c r="AH180" s="29">
        <f>O239</f>
        <v>400</v>
      </c>
      <c r="AI180" s="10">
        <f t="shared" si="0"/>
        <v>70.371180123887214</v>
      </c>
    </row>
    <row r="181" spans="1:35" x14ac:dyDescent="0.2">
      <c r="A181" s="122"/>
      <c r="B181" s="10">
        <f>B180+(D180-1)*2048-3072+(D180-2)*EchelleFPAparam!$B$3/EchelleFPAparam!$C$3</f>
        <v>1898.1551300000001</v>
      </c>
      <c r="AG181" s="29">
        <f>N243</f>
        <v>66.561296426769843</v>
      </c>
      <c r="AH181" s="29">
        <f>O243</f>
        <v>400</v>
      </c>
      <c r="AI181" s="10">
        <f t="shared" si="0"/>
        <v>70.371296426769845</v>
      </c>
    </row>
    <row r="182" spans="1:35" x14ac:dyDescent="0.2">
      <c r="A182" s="122"/>
      <c r="B182" s="10">
        <f>B181*EchelleFPAparam!$C$3*COS(EchelleFPAparam!$AC$3)*$B$6</f>
        <v>34.498595861080922</v>
      </c>
      <c r="AG182" s="29">
        <f>N247</f>
        <v>66.560539246206773</v>
      </c>
      <c r="AH182" s="29">
        <f>O247</f>
        <v>400</v>
      </c>
      <c r="AI182" s="10">
        <f t="shared" si="0"/>
        <v>70.370539246206775</v>
      </c>
    </row>
    <row r="183" spans="1:35" x14ac:dyDescent="0.2">
      <c r="A183" s="122"/>
      <c r="B183" s="10">
        <f>ATAN(B182/EchelleFPAparam!$E$3)</f>
        <v>2.2812573506385832E-2</v>
      </c>
      <c r="C183" s="29">
        <f>EchelleFPAparam!$M$3+$B183</f>
        <v>-3.3160136431947498E-2</v>
      </c>
      <c r="F183" s="10">
        <f>ASIN($E180*$A180/(COS(F180)*2*EchelleFPAparam!$S$3*COS(-$C183/2)))-$C183/2</f>
        <v>1.145093921775963</v>
      </c>
      <c r="G183" s="29">
        <f>$F183*180/EchelleFPAparam!$O$3</f>
        <v>65.609047894615159</v>
      </c>
      <c r="H183" s="10">
        <v>500</v>
      </c>
      <c r="I183" s="10" t="s">
        <v>361</v>
      </c>
      <c r="J183" s="10">
        <f>A180</f>
        <v>2190.8505399999999</v>
      </c>
      <c r="K183" s="10">
        <f>B180+(D180-1)*2198</f>
        <v>5125.1551300000001</v>
      </c>
      <c r="L183" s="30">
        <f>C180</f>
        <v>1167</v>
      </c>
      <c r="M183" s="10">
        <f>E180</f>
        <v>26</v>
      </c>
      <c r="N183" s="29">
        <f>G183</f>
        <v>65.609047894615159</v>
      </c>
      <c r="O183" s="10">
        <f>H183</f>
        <v>500</v>
      </c>
      <c r="AG183" s="29">
        <f>N251</f>
        <v>67.035438307021664</v>
      </c>
      <c r="AH183" s="29">
        <f>O251</f>
        <v>350</v>
      </c>
      <c r="AI183" s="10">
        <f t="shared" si="0"/>
        <v>70.369188307021659</v>
      </c>
    </row>
    <row r="184" spans="1:35" x14ac:dyDescent="0.2">
      <c r="A184" s="122">
        <v>2477.5359800000001</v>
      </c>
      <c r="B184" s="10">
        <v>903.52610000000004</v>
      </c>
      <c r="C184" s="10">
        <v>161</v>
      </c>
      <c r="D184" s="28">
        <v>3</v>
      </c>
      <c r="E184" s="10">
        <v>23</v>
      </c>
      <c r="F184" s="10">
        <f>(C184-$AE$12)*EchelleFPAparam!$C$3/EchelleFPAparam!$E$3</f>
        <v>-1.6369047619047616E-2</v>
      </c>
      <c r="AG184" s="29">
        <f>N255</f>
        <v>67.035881469271033</v>
      </c>
      <c r="AH184" s="29">
        <f>O255</f>
        <v>350</v>
      </c>
      <c r="AI184" s="10">
        <f t="shared" si="0"/>
        <v>70.369631469271027</v>
      </c>
    </row>
    <row r="185" spans="1:35" x14ac:dyDescent="0.2">
      <c r="A185" s="122"/>
      <c r="B185" s="10">
        <f>B184+(D184-1)*2048-3072+(D184-2)*EchelleFPAparam!$B$3/EchelleFPAparam!$C$3</f>
        <v>2072.5261</v>
      </c>
      <c r="AG185" s="29">
        <f>N259</f>
        <v>67.035478000693715</v>
      </c>
      <c r="AH185" s="29">
        <f>O259</f>
        <v>350</v>
      </c>
      <c r="AI185" s="10">
        <f t="shared" si="0"/>
        <v>70.36922800069371</v>
      </c>
    </row>
    <row r="186" spans="1:35" x14ac:dyDescent="0.2">
      <c r="A186" s="122"/>
      <c r="B186" s="10">
        <f>B185*EchelleFPAparam!$C$3*COS(EchelleFPAparam!$AC$3)*$B$6</f>
        <v>37.667753918217521</v>
      </c>
      <c r="AG186" s="29">
        <f>N263</f>
        <v>67.037591965217459</v>
      </c>
      <c r="AH186" s="29">
        <f>O263</f>
        <v>350</v>
      </c>
      <c r="AI186" s="10">
        <f t="shared" si="0"/>
        <v>70.371341965217454</v>
      </c>
    </row>
    <row r="187" spans="1:35" x14ac:dyDescent="0.2">
      <c r="A187" s="122"/>
      <c r="B187" s="10">
        <f>ATAN(B186/EchelleFPAparam!$E$3)</f>
        <v>2.4907383719395663E-2</v>
      </c>
      <c r="C187" s="29">
        <f>EchelleFPAparam!$M$3+$B187</f>
        <v>-3.1065326218937667E-2</v>
      </c>
      <c r="F187" s="10">
        <f>ASIN($E184*$A184/(COS(F184)*2*EchelleFPAparam!$S$3*COS(-$C187/2)))-$C187/2</f>
        <v>1.1450611167277382</v>
      </c>
      <c r="G187" s="29">
        <f>$F187*180/EchelleFPAparam!$O$3</f>
        <v>65.607168303832921</v>
      </c>
      <c r="H187" s="10">
        <v>500</v>
      </c>
      <c r="I187" s="10" t="str">
        <f>I183</f>
        <v>K</v>
      </c>
      <c r="J187" s="10">
        <f>A184</f>
        <v>2477.5359800000001</v>
      </c>
      <c r="K187" s="10">
        <f>B184+(D184-1)*2198</f>
        <v>5299.5261</v>
      </c>
      <c r="L187" s="30">
        <f>C184</f>
        <v>161</v>
      </c>
      <c r="M187" s="10">
        <f>E184</f>
        <v>23</v>
      </c>
      <c r="N187" s="29">
        <f>G187</f>
        <v>65.607168303832921</v>
      </c>
      <c r="O187" s="10">
        <f>H187</f>
        <v>500</v>
      </c>
      <c r="AG187" s="29">
        <f>N267</f>
        <v>67.511593519609789</v>
      </c>
      <c r="AH187" s="29">
        <f>O267</f>
        <v>300</v>
      </c>
      <c r="AI187" s="10">
        <f t="shared" si="0"/>
        <v>70.369093519609791</v>
      </c>
    </row>
    <row r="188" spans="1:35" x14ac:dyDescent="0.2">
      <c r="A188" s="122">
        <v>2117.1263399999998</v>
      </c>
      <c r="B188" s="10">
        <v>1938.5179000000001</v>
      </c>
      <c r="C188" s="10">
        <v>1451</v>
      </c>
      <c r="D188" s="28">
        <v>3</v>
      </c>
      <c r="E188" s="10">
        <v>27</v>
      </c>
      <c r="F188" s="10">
        <f>(C188-$AE$12)*EchelleFPAparam!$C$3/EchelleFPAparam!$E$3</f>
        <v>-1.0119047619047618E-3</v>
      </c>
      <c r="AG188" s="29">
        <f>N271</f>
        <v>67.511068480453744</v>
      </c>
      <c r="AH188" s="29">
        <f>O271</f>
        <v>300</v>
      </c>
      <c r="AI188" s="10">
        <f t="shared" si="0"/>
        <v>70.368568480453746</v>
      </c>
    </row>
    <row r="189" spans="1:35" x14ac:dyDescent="0.2">
      <c r="A189" s="122"/>
      <c r="B189" s="10">
        <f>B188+(D188-1)*2048-3072+(D188-2)*EchelleFPAparam!$B$3/EchelleFPAparam!$C$3</f>
        <v>3107.5178999999998</v>
      </c>
      <c r="AG189" s="29">
        <f>N275</f>
        <v>67.982639745021558</v>
      </c>
      <c r="AH189" s="29">
        <f>O275</f>
        <v>250</v>
      </c>
      <c r="AI189" s="10">
        <f t="shared" si="0"/>
        <v>70.363889745021552</v>
      </c>
    </row>
    <row r="190" spans="1:35" x14ac:dyDescent="0.2">
      <c r="A190" s="122"/>
      <c r="B190" s="10">
        <f>B189*EchelleFPAparam!$C$3*COS(EchelleFPAparam!$AC$3)*$B$6</f>
        <v>56.478526158804982</v>
      </c>
      <c r="AG190" s="29"/>
      <c r="AH190" s="29"/>
    </row>
    <row r="191" spans="1:35" x14ac:dyDescent="0.2">
      <c r="A191" s="122"/>
      <c r="B191" s="10">
        <f>ATAN(B190/EchelleFPAparam!$E$3)</f>
        <v>3.7336164176771741E-2</v>
      </c>
      <c r="C191" s="29">
        <f>EchelleFPAparam!$M$3+$B191</f>
        <v>-1.8636545761561589E-2</v>
      </c>
      <c r="F191" s="10">
        <f>ASIN($E188*$A188/(COS(F188)*2*EchelleFPAparam!$S$3*COS(-$C191/2)))-$C191/2</f>
        <v>1.1450943570450929</v>
      </c>
      <c r="G191" s="29">
        <f>$F191*180/EchelleFPAparam!$O$3</f>
        <v>65.609072833698875</v>
      </c>
      <c r="H191" s="10">
        <v>500</v>
      </c>
      <c r="I191" s="10" t="str">
        <f>I187</f>
        <v>K</v>
      </c>
      <c r="J191" s="10">
        <f>A188</f>
        <v>2117.1263399999998</v>
      </c>
      <c r="K191" s="10">
        <f>B188+(D188-1)*2198</f>
        <v>6334.5178999999998</v>
      </c>
      <c r="L191" s="30">
        <f>C188</f>
        <v>1451</v>
      </c>
      <c r="M191" s="10">
        <f>E188</f>
        <v>27</v>
      </c>
      <c r="N191" s="29">
        <f>G191</f>
        <v>65.609072833698875</v>
      </c>
      <c r="O191" s="10">
        <f>H191</f>
        <v>500</v>
      </c>
      <c r="AG191" s="10">
        <f>INDEX(LINEST(AG160:AG189,AH160:AH189),2)</f>
        <v>70.369954606372573</v>
      </c>
      <c r="AH191" s="10">
        <f>INDEX(LINEST(AG160:AG189,AH160:AH189),1)</f>
        <v>-9.5266149027106919E-3</v>
      </c>
      <c r="AI191" s="10">
        <f>GEOMEAN(AI160:AI189)</f>
        <v>70.36916596978908</v>
      </c>
    </row>
    <row r="192" spans="1:35" x14ac:dyDescent="0.2">
      <c r="A192" s="122">
        <v>2249.1909900000001</v>
      </c>
      <c r="B192" s="10">
        <v>63.612794999999998</v>
      </c>
      <c r="C192" s="10">
        <v>895</v>
      </c>
      <c r="D192" s="28">
        <v>2</v>
      </c>
      <c r="E192" s="10">
        <v>25</v>
      </c>
      <c r="F192" s="10">
        <f>(C192-$AE$12)*EchelleFPAparam!$C$3/EchelleFPAparam!$E$3</f>
        <v>-7.6309523809523798E-3</v>
      </c>
      <c r="AG192" s="29"/>
      <c r="AH192" s="29"/>
    </row>
    <row r="193" spans="1:34" x14ac:dyDescent="0.2">
      <c r="A193" s="122"/>
      <c r="B193" s="10">
        <f>B192+(D192-1)*2048-3072+(D192-2)*EchelleFPAparam!$B$3/EchelleFPAparam!$C$3</f>
        <v>-960.38720499999999</v>
      </c>
      <c r="AG193" s="29"/>
      <c r="AH193" s="29"/>
    </row>
    <row r="194" spans="1:34" x14ac:dyDescent="0.2">
      <c r="A194" s="122"/>
      <c r="B194" s="10">
        <f>B193*EchelleFPAparam!$C$3*COS(EchelleFPAparam!$AC$3)*$B$6</f>
        <v>-17.454848411387786</v>
      </c>
      <c r="AG194" s="29"/>
      <c r="AH194" s="29"/>
    </row>
    <row r="195" spans="1:34" x14ac:dyDescent="0.2">
      <c r="A195" s="122"/>
      <c r="B195" s="10">
        <f>ATAN(B194/EchelleFPAparam!$E$3)</f>
        <v>-1.1543699125429475E-2</v>
      </c>
      <c r="C195" s="29">
        <f>EchelleFPAparam!$M$3+$B195</f>
        <v>-6.75164090637628E-2</v>
      </c>
      <c r="F195" s="10">
        <f>ASIN($E192*$A192/(COS(F192)*2*EchelleFPAparam!$S$3*COS(-$C195/2)))-$C195/2</f>
        <v>1.1367510074208718</v>
      </c>
      <c r="G195" s="29">
        <f>$F195*180/EchelleFPAparam!$O$3</f>
        <v>65.131034120290934</v>
      </c>
      <c r="H195" s="10">
        <v>550</v>
      </c>
      <c r="I195" s="10" t="str">
        <f>I191</f>
        <v>K</v>
      </c>
      <c r="J195" s="10">
        <f>A192</f>
        <v>2249.1909900000001</v>
      </c>
      <c r="K195" s="10">
        <f>B192+(D192-1)*2198</f>
        <v>2261.612795</v>
      </c>
      <c r="L195" s="30">
        <f>C192</f>
        <v>895</v>
      </c>
      <c r="M195" s="10">
        <f>E192</f>
        <v>25</v>
      </c>
      <c r="N195" s="29">
        <f>G195</f>
        <v>65.131034120290934</v>
      </c>
      <c r="O195" s="10">
        <f>H195</f>
        <v>550</v>
      </c>
      <c r="AG195" s="29"/>
      <c r="AH195" s="29"/>
    </row>
    <row r="196" spans="1:34" x14ac:dyDescent="0.2">
      <c r="A196" s="122">
        <v>1959.65995</v>
      </c>
      <c r="B196" s="10">
        <v>1293.6510000000001</v>
      </c>
      <c r="C196" s="10">
        <v>1986</v>
      </c>
      <c r="D196" s="28">
        <v>3</v>
      </c>
      <c r="E196" s="10">
        <v>29</v>
      </c>
      <c r="F196" s="10">
        <f>(C196-$AE$12)*EchelleFPAparam!$C$3/EchelleFPAparam!$E$3</f>
        <v>5.3571428571428572E-3</v>
      </c>
    </row>
    <row r="197" spans="1:34" x14ac:dyDescent="0.2">
      <c r="A197" s="122"/>
      <c r="B197" s="10">
        <f>B196+(D196-1)*2048-3072+(D196-2)*EchelleFPAparam!$B$3/EchelleFPAparam!$C$3</f>
        <v>2462.6509999999998</v>
      </c>
    </row>
    <row r="198" spans="1:34" x14ac:dyDescent="0.2">
      <c r="A198" s="122"/>
      <c r="B198" s="10">
        <f>B197*EchelleFPAparam!$C$3*COS(EchelleFPAparam!$AC$3)*$B$6</f>
        <v>44.758197184803748</v>
      </c>
    </row>
    <row r="199" spans="1:34" x14ac:dyDescent="0.2">
      <c r="A199" s="122"/>
      <c r="B199" s="10">
        <f>ATAN(B198/EchelleFPAparam!$E$3)</f>
        <v>2.9593340292721471E-2</v>
      </c>
      <c r="C199" s="29">
        <f>EchelleFPAparam!$M$3+$B199</f>
        <v>-2.6379369645611859E-2</v>
      </c>
      <c r="F199" s="10">
        <f>ASIN($E196*$A196/(COS(F196)*2*EchelleFPAparam!$S$3*COS(-$C199/2)))-$C199/2</f>
        <v>1.1367407110180408</v>
      </c>
      <c r="G199" s="29">
        <f>$F199*180/EchelleFPAparam!$O$3</f>
        <v>65.130444179873265</v>
      </c>
      <c r="H199" s="10">
        <v>550</v>
      </c>
      <c r="I199" s="10" t="str">
        <f>I195</f>
        <v>K</v>
      </c>
      <c r="J199" s="10">
        <f>A196</f>
        <v>1959.65995</v>
      </c>
      <c r="K199" s="10">
        <f>B196+(D196-1)*2198</f>
        <v>5689.6509999999998</v>
      </c>
      <c r="L199" s="30">
        <f>C196</f>
        <v>1986</v>
      </c>
      <c r="M199" s="10">
        <f>E196</f>
        <v>29</v>
      </c>
      <c r="N199" s="29">
        <f>G199</f>
        <v>65.130444179873265</v>
      </c>
      <c r="O199" s="10">
        <f>H199</f>
        <v>550</v>
      </c>
    </row>
    <row r="200" spans="1:34" x14ac:dyDescent="0.2">
      <c r="A200" s="122">
        <v>2249.1909900000001</v>
      </c>
      <c r="B200" s="10">
        <v>1365.5118</v>
      </c>
      <c r="C200" s="10">
        <v>930</v>
      </c>
      <c r="D200" s="28">
        <v>2</v>
      </c>
      <c r="E200" s="10">
        <v>25</v>
      </c>
      <c r="F200" s="10">
        <f>(C200-$AE$12)*EchelleFPAparam!$C$3/EchelleFPAparam!$E$3</f>
        <v>-7.2142857142857139E-3</v>
      </c>
    </row>
    <row r="201" spans="1:34" x14ac:dyDescent="0.2">
      <c r="A201" s="122"/>
      <c r="B201" s="10">
        <f>B200+(D200-1)*2048-3072+(D200-2)*EchelleFPAparam!$B$3/EchelleFPAparam!$C$3</f>
        <v>341.51180000000022</v>
      </c>
    </row>
    <row r="202" spans="1:34" x14ac:dyDescent="0.2">
      <c r="A202" s="122"/>
      <c r="B202" s="10">
        <f>B201*EchelleFPAparam!$C$3*COS(EchelleFPAparam!$AC$3)*$B$6</f>
        <v>6.2069097429303914</v>
      </c>
    </row>
    <row r="203" spans="1:34" x14ac:dyDescent="0.2">
      <c r="A203" s="122"/>
      <c r="B203" s="10">
        <f>ATAN(B202/EchelleFPAparam!$E$3)</f>
        <v>4.1050759770746657E-3</v>
      </c>
      <c r="C203" s="29">
        <f>EchelleFPAparam!$M$3+$B203</f>
        <v>-5.1867633961258666E-2</v>
      </c>
      <c r="F203" s="10">
        <f>ASIN($E200*$A200/(COS(F200)*2*EchelleFPAparam!$S$3*COS(-$C203/2)))-$C203/2</f>
        <v>1.1284583898221447</v>
      </c>
      <c r="G203" s="29">
        <f>$F203*180/EchelleFPAparam!$O$3</f>
        <v>64.65590213778701</v>
      </c>
      <c r="H203" s="10">
        <v>600</v>
      </c>
      <c r="I203" s="10" t="str">
        <f>I199</f>
        <v>K</v>
      </c>
      <c r="J203" s="10">
        <f>A200</f>
        <v>2249.1909900000001</v>
      </c>
      <c r="K203" s="10">
        <f>B200+(D200-1)*2198</f>
        <v>3563.5118000000002</v>
      </c>
      <c r="L203" s="30">
        <f>C200</f>
        <v>930</v>
      </c>
      <c r="M203" s="10">
        <f>E200</f>
        <v>25</v>
      </c>
      <c r="N203" s="29">
        <f>G203</f>
        <v>64.65590213778701</v>
      </c>
      <c r="O203" s="10">
        <f>H203</f>
        <v>600</v>
      </c>
    </row>
    <row r="204" spans="1:34" x14ac:dyDescent="0.2">
      <c r="A204" s="122">
        <v>2021.5403200000001</v>
      </c>
      <c r="B204" s="10">
        <v>1294.3558</v>
      </c>
      <c r="C204" s="10">
        <v>1772</v>
      </c>
      <c r="D204" s="28">
        <v>3</v>
      </c>
      <c r="E204" s="10">
        <v>28</v>
      </c>
      <c r="F204" s="10">
        <f>(C204-$AE$12)*EchelleFPAparam!$C$3/EchelleFPAparam!$E$3</f>
        <v>2.8095238095238091E-3</v>
      </c>
    </row>
    <row r="205" spans="1:34" x14ac:dyDescent="0.2">
      <c r="A205" s="122"/>
      <c r="B205" s="10">
        <f>B204+(D204-1)*2048-3072+(D204-2)*EchelleFPAparam!$B$3/EchelleFPAparam!$C$3</f>
        <v>2463.3558000000003</v>
      </c>
    </row>
    <row r="206" spans="1:34" x14ac:dyDescent="0.2">
      <c r="A206" s="122"/>
      <c r="B206" s="10">
        <f>B205*EchelleFPAparam!$C$3*COS(EchelleFPAparam!$AC$3)*$B$6</f>
        <v>44.771006786073222</v>
      </c>
    </row>
    <row r="207" spans="1:34" x14ac:dyDescent="0.2">
      <c r="A207" s="122"/>
      <c r="B207" s="10">
        <f>ATAN(B206/EchelleFPAparam!$E$3)</f>
        <v>2.96018048318261E-2</v>
      </c>
      <c r="C207" s="29">
        <f>EchelleFPAparam!$M$3+$B207</f>
        <v>-2.637090510650723E-2</v>
      </c>
      <c r="F207" s="10">
        <f>ASIN($E204*$A204/(COS(F204)*2*EchelleFPAparam!$S$3*COS(-$C207/2)))-$C207/2</f>
        <v>1.1284583041927756</v>
      </c>
      <c r="G207" s="29">
        <f>$F207*180/EchelleFPAparam!$O$3</f>
        <v>64.655897231585627</v>
      </c>
      <c r="H207" s="10">
        <v>600</v>
      </c>
      <c r="I207" s="10" t="s">
        <v>361</v>
      </c>
      <c r="J207" s="10">
        <f>A204</f>
        <v>2021.5403200000001</v>
      </c>
      <c r="K207" s="10">
        <f>B204+(D204-1)*2198</f>
        <v>5690.3558000000003</v>
      </c>
      <c r="L207" s="30">
        <f>C204</f>
        <v>1772</v>
      </c>
      <c r="M207" s="10">
        <f>E204</f>
        <v>28</v>
      </c>
      <c r="N207" s="29">
        <f>G207</f>
        <v>64.655897231585627</v>
      </c>
      <c r="O207" s="10">
        <f>H207</f>
        <v>600</v>
      </c>
    </row>
    <row r="208" spans="1:34" x14ac:dyDescent="0.2">
      <c r="A208" s="122">
        <v>2249.1909900000001</v>
      </c>
      <c r="B208" s="10">
        <v>505.51317999999998</v>
      </c>
      <c r="C208" s="10">
        <v>963</v>
      </c>
      <c r="D208" s="28">
        <v>3</v>
      </c>
      <c r="E208" s="10">
        <v>25</v>
      </c>
      <c r="F208" s="10">
        <f>(C208-$AE$12)*EchelleFPAparam!$C$3/EchelleFPAparam!$E$3</f>
        <v>-6.8214285714285712E-3</v>
      </c>
    </row>
    <row r="209" spans="1:15" x14ac:dyDescent="0.2">
      <c r="A209" s="122"/>
      <c r="B209" s="10">
        <f>B208+(D208-1)*2048-3072+(D208-2)*EchelleFPAparam!$B$3/EchelleFPAparam!$C$3</f>
        <v>1674.5131799999999</v>
      </c>
    </row>
    <row r="210" spans="1:15" x14ac:dyDescent="0.2">
      <c r="A210" s="122"/>
      <c r="B210" s="10">
        <f>B209*EchelleFPAparam!$C$3*COS(EchelleFPAparam!$AC$3)*$B$6</f>
        <v>30.433947440783435</v>
      </c>
    </row>
    <row r="211" spans="1:15" x14ac:dyDescent="0.2">
      <c r="A211" s="122"/>
      <c r="B211" s="10">
        <f>ATAN(B210/EchelleFPAparam!$E$3)</f>
        <v>2.0125554472225915E-2</v>
      </c>
      <c r="C211" s="29">
        <f>EchelleFPAparam!$M$3+$B211</f>
        <v>-3.5847155466107415E-2</v>
      </c>
      <c r="F211" s="10">
        <f>ASIN($E208*$A208/(COS(F208)*2*EchelleFPAparam!$S$3*COS(-$C211/2)))-$C211/2</f>
        <v>1.120095512315441</v>
      </c>
      <c r="G211" s="29">
        <f>$F211*180/EchelleFPAparam!$O$3</f>
        <v>64.176744559146513</v>
      </c>
      <c r="H211" s="10">
        <v>650</v>
      </c>
      <c r="I211" s="10" t="str">
        <f>I207</f>
        <v>K</v>
      </c>
      <c r="J211" s="10">
        <f>A208</f>
        <v>2249.1909900000001</v>
      </c>
      <c r="K211" s="10">
        <f>B208+(D208-1)*2198</f>
        <v>4901.5131799999999</v>
      </c>
      <c r="L211" s="30">
        <f>C208</f>
        <v>963</v>
      </c>
      <c r="M211" s="10">
        <f>E208</f>
        <v>25</v>
      </c>
      <c r="N211" s="29">
        <f>G211</f>
        <v>64.176744559146513</v>
      </c>
      <c r="O211" s="10">
        <f>H211</f>
        <v>650</v>
      </c>
    </row>
    <row r="212" spans="1:15" x14ac:dyDescent="0.2">
      <c r="A212" s="122">
        <v>2350.88724</v>
      </c>
      <c r="B212" s="10">
        <v>1616.3488</v>
      </c>
      <c r="C212" s="10">
        <v>631</v>
      </c>
      <c r="D212" s="28">
        <v>3</v>
      </c>
      <c r="E212" s="10">
        <v>24</v>
      </c>
      <c r="F212" s="10">
        <f>(C212-$AE$12)*EchelleFPAparam!$C$3/EchelleFPAparam!$E$3</f>
        <v>-1.0773809523809524E-2</v>
      </c>
    </row>
    <row r="213" spans="1:15" x14ac:dyDescent="0.2">
      <c r="A213" s="122"/>
      <c r="B213" s="10">
        <f>B212+(D212-1)*2048-3072+(D212-2)*EchelleFPAparam!$B$3/EchelleFPAparam!$C$3</f>
        <v>2785.3487999999998</v>
      </c>
    </row>
    <row r="214" spans="1:15" x14ac:dyDescent="0.2">
      <c r="A214" s="122"/>
      <c r="B214" s="10">
        <f>B213*EchelleFPAparam!$C$3*COS(EchelleFPAparam!$AC$3)*$B$6</f>
        <v>50.623166181020572</v>
      </c>
    </row>
    <row r="215" spans="1:15" x14ac:dyDescent="0.2">
      <c r="A215" s="122"/>
      <c r="B215" s="10">
        <f>ATAN(B214/EchelleFPAparam!$E$3)</f>
        <v>3.3468428018907523E-2</v>
      </c>
      <c r="C215" s="29">
        <f>EchelleFPAparam!$M$3+$B215</f>
        <v>-2.2504281919425807E-2</v>
      </c>
      <c r="F215" s="10">
        <f>ASIN($E212*$A212/(COS(F212)*2*EchelleFPAparam!$S$3*COS(-$C215/2)))-$C215/2</f>
        <v>1.1200718779266885</v>
      </c>
      <c r="G215" s="29">
        <f>$F215*180/EchelleFPAparam!$O$3</f>
        <v>64.175390408439625</v>
      </c>
      <c r="H215" s="10">
        <v>650</v>
      </c>
      <c r="I215" s="10" t="str">
        <f>I211</f>
        <v>K</v>
      </c>
      <c r="J215" s="10">
        <f>A212</f>
        <v>2350.88724</v>
      </c>
      <c r="K215" s="10">
        <f>B212+(D212-1)*2198</f>
        <v>6012.3487999999998</v>
      </c>
      <c r="L215" s="30">
        <f>C212</f>
        <v>631</v>
      </c>
      <c r="M215" s="10">
        <f>E212</f>
        <v>24</v>
      </c>
      <c r="N215" s="29">
        <f>G215</f>
        <v>64.175390408439625</v>
      </c>
      <c r="O215" s="10">
        <f>H215</f>
        <v>650</v>
      </c>
    </row>
    <row r="216" spans="1:15" x14ac:dyDescent="0.2">
      <c r="A216" s="122">
        <v>2249.1909900000001</v>
      </c>
      <c r="B216" s="10">
        <v>1848.6909000000001</v>
      </c>
      <c r="C216" s="10">
        <v>995</v>
      </c>
      <c r="D216" s="28">
        <v>3</v>
      </c>
      <c r="E216" s="10">
        <v>25</v>
      </c>
      <c r="F216" s="10">
        <f>(C216-$AE$12)*EchelleFPAparam!$C$3/EchelleFPAparam!$E$3</f>
        <v>-6.44047619047619E-3</v>
      </c>
    </row>
    <row r="217" spans="1:15" x14ac:dyDescent="0.2">
      <c r="A217" s="122"/>
      <c r="B217" s="10">
        <f>B216+(D216-1)*2048-3072+(D216-2)*EchelleFPAparam!$B$3/EchelleFPAparam!$C$3</f>
        <v>3017.6908999999996</v>
      </c>
    </row>
    <row r="218" spans="1:15" x14ac:dyDescent="0.2">
      <c r="A218" s="122"/>
      <c r="B218" s="10">
        <f>B217*EchelleFPAparam!$C$3*COS(EchelleFPAparam!$AC$3)*$B$6</f>
        <v>54.845938115058878</v>
      </c>
    </row>
    <row r="219" spans="1:15" x14ac:dyDescent="0.2">
      <c r="A219" s="122"/>
      <c r="B219" s="10">
        <f>ATAN(B218/EchelleFPAparam!$E$3)</f>
        <v>3.6257871633820542E-2</v>
      </c>
      <c r="C219" s="29">
        <f>EchelleFPAparam!$M$3+$B219</f>
        <v>-1.9714838304512788E-2</v>
      </c>
      <c r="F219" s="10">
        <f>ASIN($E216*$A216/(COS(F216)*2*EchelleFPAparam!$S$3*COS(-$C219/2)))-$C219/2</f>
        <v>1.1118030865268977</v>
      </c>
      <c r="G219" s="29">
        <f>$F219*180/EchelleFPAparam!$O$3</f>
        <v>63.701623566556414</v>
      </c>
      <c r="H219" s="10">
        <v>700</v>
      </c>
      <c r="I219" s="10" t="str">
        <f>I215</f>
        <v>K</v>
      </c>
      <c r="J219" s="10">
        <f>A216</f>
        <v>2249.1909900000001</v>
      </c>
      <c r="K219" s="10">
        <f>B216+(D216-1)*2198</f>
        <v>6244.6908999999996</v>
      </c>
      <c r="L219" s="30">
        <f>C216</f>
        <v>995</v>
      </c>
      <c r="M219" s="10">
        <f>E216</f>
        <v>25</v>
      </c>
      <c r="N219" s="29">
        <f>G219</f>
        <v>63.701623566556414</v>
      </c>
      <c r="O219" s="10">
        <f>H219</f>
        <v>700</v>
      </c>
    </row>
    <row r="220" spans="1:15" x14ac:dyDescent="0.2">
      <c r="A220" s="122">
        <v>2334.6783</v>
      </c>
      <c r="B220" s="10">
        <v>740.18349999999998</v>
      </c>
      <c r="C220" s="10">
        <v>670</v>
      </c>
      <c r="D220" s="28">
        <v>3</v>
      </c>
      <c r="E220" s="10">
        <v>24</v>
      </c>
      <c r="F220" s="10">
        <f>(C220-$AE$12)*EchelleFPAparam!$C$3/EchelleFPAparam!$E$3</f>
        <v>-1.0309523809523808E-2</v>
      </c>
    </row>
    <row r="221" spans="1:15" x14ac:dyDescent="0.2">
      <c r="A221" s="122"/>
      <c r="B221" s="10">
        <f>B220+(D220-1)*2048-3072+(D220-2)*EchelleFPAparam!$B$3/EchelleFPAparam!$C$3</f>
        <v>1909.1835000000001</v>
      </c>
    </row>
    <row r="222" spans="1:15" x14ac:dyDescent="0.2">
      <c r="A222" s="122"/>
      <c r="B222" s="10">
        <f>B221*EchelleFPAparam!$C$3*COS(EchelleFPAparam!$AC$3)*$B$6</f>
        <v>34.699034315042518</v>
      </c>
    </row>
    <row r="223" spans="1:15" x14ac:dyDescent="0.2">
      <c r="A223" s="122"/>
      <c r="B223" s="10">
        <f>ATAN(B222/EchelleFPAparam!$E$3)</f>
        <v>2.294506924340619E-2</v>
      </c>
      <c r="C223" s="29">
        <f>EchelleFPAparam!$M$3+$B223</f>
        <v>-3.3027640694927141E-2</v>
      </c>
      <c r="F223" s="10">
        <f>ASIN($E220*$A220/(COS(F220)*2*EchelleFPAparam!$S$3*COS(-$C223/2)))-$C223/2</f>
        <v>1.1118054312488685</v>
      </c>
      <c r="G223" s="29">
        <f>$F223*180/EchelleFPAparam!$O$3</f>
        <v>63.701757909227489</v>
      </c>
      <c r="H223" s="10">
        <v>700</v>
      </c>
      <c r="I223" s="10" t="str">
        <f>I219</f>
        <v>K</v>
      </c>
      <c r="J223" s="10">
        <f>A220</f>
        <v>2334.6783</v>
      </c>
      <c r="K223" s="10">
        <f>B220+(D220-1)*2198</f>
        <v>5136.1835000000001</v>
      </c>
      <c r="L223" s="30">
        <f>C220</f>
        <v>670</v>
      </c>
      <c r="M223" s="10">
        <f>E220</f>
        <v>24</v>
      </c>
      <c r="N223" s="29">
        <f>G223</f>
        <v>63.701757909227489</v>
      </c>
      <c r="O223" s="10">
        <f>H223</f>
        <v>700</v>
      </c>
    </row>
    <row r="224" spans="1:15" x14ac:dyDescent="0.2">
      <c r="A224" s="122">
        <v>2426.7148400000001</v>
      </c>
      <c r="B224" s="10">
        <v>894.09415999999999</v>
      </c>
      <c r="C224" s="10">
        <v>350</v>
      </c>
      <c r="D224" s="28">
        <v>3</v>
      </c>
      <c r="E224" s="10">
        <v>23</v>
      </c>
      <c r="F224" s="10">
        <f>(C224-$AE$12)*EchelleFPAparam!$C$3/EchelleFPAparam!$E$3</f>
        <v>-1.4119047619047618E-2</v>
      </c>
    </row>
    <row r="225" spans="1:15" x14ac:dyDescent="0.2">
      <c r="A225" s="122"/>
      <c r="B225" s="10">
        <f>B224+(D224-1)*2048-3072+(D224-2)*EchelleFPAparam!$B$3/EchelleFPAparam!$C$3</f>
        <v>2063.0941599999996</v>
      </c>
    </row>
    <row r="226" spans="1:15" x14ac:dyDescent="0.2">
      <c r="A226" s="122"/>
      <c r="B226" s="10">
        <f>B225*EchelleFPAparam!$C$3*COS(EchelleFPAparam!$AC$3)*$B$6</f>
        <v>37.49633026526984</v>
      </c>
    </row>
    <row r="227" spans="1:15" x14ac:dyDescent="0.2">
      <c r="A227" s="122"/>
      <c r="B227" s="10">
        <f>ATAN(B226/EchelleFPAparam!$E$3)</f>
        <v>2.4794078289260797E-2</v>
      </c>
      <c r="C227" s="29">
        <f>EchelleFPAparam!$M$3+$B227</f>
        <v>-3.1178631649072534E-2</v>
      </c>
      <c r="F227" s="10">
        <f>ASIN($E224*$A224/(COS(F224)*2*EchelleFPAparam!$S$3*COS(-$C227/2)))-$C227/2</f>
        <v>1.1034455661844422</v>
      </c>
      <c r="G227" s="29">
        <f>$F227*180/EchelleFPAparam!$O$3</f>
        <v>63.222772930812958</v>
      </c>
      <c r="H227" s="10">
        <v>750</v>
      </c>
      <c r="I227" s="10" t="str">
        <f>I223</f>
        <v>K</v>
      </c>
      <c r="J227" s="10">
        <f>A224</f>
        <v>2426.7148400000001</v>
      </c>
      <c r="K227" s="10">
        <f>B224+(D224-1)*2198</f>
        <v>5290.0941599999996</v>
      </c>
      <c r="L227" s="30">
        <f>C224</f>
        <v>350</v>
      </c>
      <c r="M227" s="10">
        <f>E224</f>
        <v>23</v>
      </c>
      <c r="N227" s="29">
        <f>G227</f>
        <v>63.222772930812958</v>
      </c>
      <c r="O227" s="10">
        <f>H227</f>
        <v>750</v>
      </c>
    </row>
    <row r="228" spans="1:15" x14ac:dyDescent="0.2">
      <c r="A228" s="122">
        <v>2429.88553</v>
      </c>
      <c r="B228" s="10">
        <v>1301.6722</v>
      </c>
      <c r="C228" s="10">
        <v>348</v>
      </c>
      <c r="D228" s="28">
        <v>3</v>
      </c>
      <c r="E228" s="10">
        <v>23</v>
      </c>
      <c r="F228" s="10">
        <f>(C228-$AE$12)*EchelleFPAparam!$C$3/EchelleFPAparam!$E$3</f>
        <v>-1.4142857142857141E-2</v>
      </c>
    </row>
    <row r="229" spans="1:15" x14ac:dyDescent="0.2">
      <c r="A229" s="122"/>
      <c r="B229" s="10">
        <f>B228+(D228-1)*2048-3072+(D228-2)*EchelleFPAparam!$B$3/EchelleFPAparam!$C$3</f>
        <v>2470.6722</v>
      </c>
    </row>
    <row r="230" spans="1:15" x14ac:dyDescent="0.2">
      <c r="A230" s="122"/>
      <c r="B230" s="10">
        <f>B229*EchelleFPAparam!$C$3*COS(EchelleFPAparam!$AC$3)*$B$6</f>
        <v>44.903980915936884</v>
      </c>
    </row>
    <row r="231" spans="1:15" x14ac:dyDescent="0.2">
      <c r="A231" s="122"/>
      <c r="B231" s="10">
        <f>ATAN(B230/EchelleFPAparam!$E$3)</f>
        <v>2.9689673414536134E-2</v>
      </c>
      <c r="C231" s="29">
        <f>EchelleFPAparam!$M$3+$B231</f>
        <v>-2.6283036523797196E-2</v>
      </c>
      <c r="F231" s="10">
        <f>ASIN($E228*$A228/(COS(F228)*2*EchelleFPAparam!$S$3*COS(-$C231/2)))-$C231/2</f>
        <v>1.1034286829805855</v>
      </c>
      <c r="G231" s="29">
        <f>$F231*180/EchelleFPAparam!$O$3</f>
        <v>63.221805594501603</v>
      </c>
      <c r="H231" s="10">
        <v>750</v>
      </c>
      <c r="I231" s="10" t="s">
        <v>361</v>
      </c>
      <c r="J231" s="10">
        <f>A228</f>
        <v>2429.88553</v>
      </c>
      <c r="K231" s="10">
        <f>B228+(D228-1)*2198</f>
        <v>5697.6722</v>
      </c>
      <c r="L231" s="30">
        <f>C228</f>
        <v>348</v>
      </c>
      <c r="M231" s="10">
        <f>E228</f>
        <v>23</v>
      </c>
      <c r="N231" s="29">
        <f>G231</f>
        <v>63.221805594501603</v>
      </c>
      <c r="O231" s="10">
        <f>H231</f>
        <v>750</v>
      </c>
    </row>
    <row r="232" spans="1:15" x14ac:dyDescent="0.2">
      <c r="A232" s="122">
        <v>2021.5403200000001</v>
      </c>
      <c r="B232" s="10">
        <v>462.80471999999997</v>
      </c>
      <c r="C232" s="10">
        <v>1639</v>
      </c>
      <c r="D232" s="28">
        <v>1</v>
      </c>
      <c r="E232" s="10">
        <v>28</v>
      </c>
      <c r="F232" s="10">
        <f>(C232-$AE$12)*EchelleFPAparam!$C$3/EchelleFPAparam!$E$3</f>
        <v>1.2261904761904762E-3</v>
      </c>
    </row>
    <row r="233" spans="1:15" x14ac:dyDescent="0.2">
      <c r="A233" s="122"/>
      <c r="B233" s="10">
        <f>B232+(D232-1)*2048-3072+(D232-2)*EchelleFPAparam!$B$3/EchelleFPAparam!$C$3</f>
        <v>-2754.1952799999999</v>
      </c>
    </row>
    <row r="234" spans="1:15" x14ac:dyDescent="0.2">
      <c r="A234" s="122"/>
      <c r="B234" s="10">
        <f>B233*EchelleFPAparam!$C$3*COS(EchelleFPAparam!$AC$3)*$B$6</f>
        <v>-50.056957087177913</v>
      </c>
    </row>
    <row r="235" spans="1:15" x14ac:dyDescent="0.2">
      <c r="A235" s="122"/>
      <c r="B235" s="10">
        <f>ATAN(B234/EchelleFPAparam!$E$3)</f>
        <v>-3.3094365746111562E-2</v>
      </c>
      <c r="C235" s="29">
        <f>EchelleFPAparam!$M$3+$B235</f>
        <v>-8.9067075684444885E-2</v>
      </c>
      <c r="F235" s="10">
        <f>ASIN($E232*$A232/(COS(F232)*2*EchelleFPAparam!$S$3*COS(-$C235/2)))-$C235/2</f>
        <v>1.1616515750693723</v>
      </c>
      <c r="G235" s="29">
        <f>$F235*180/EchelleFPAparam!$O$3</f>
        <v>66.557731532953667</v>
      </c>
      <c r="H235" s="10">
        <v>400</v>
      </c>
      <c r="I235" s="10" t="str">
        <f>I231</f>
        <v>K</v>
      </c>
      <c r="J235" s="10">
        <f>A232</f>
        <v>2021.5403200000001</v>
      </c>
      <c r="K235" s="10">
        <f>B232+(D232-1)*2198</f>
        <v>462.80471999999997</v>
      </c>
      <c r="L235" s="30">
        <f>C232</f>
        <v>1639</v>
      </c>
      <c r="M235" s="10">
        <f>E232</f>
        <v>28</v>
      </c>
      <c r="N235" s="29">
        <f>G235</f>
        <v>66.557731532953667</v>
      </c>
      <c r="O235" s="10">
        <f>H235</f>
        <v>400</v>
      </c>
    </row>
    <row r="236" spans="1:15" x14ac:dyDescent="0.2">
      <c r="A236" s="122">
        <v>2190.8505399999999</v>
      </c>
      <c r="B236" s="10">
        <v>294.20751000000001</v>
      </c>
      <c r="C236" s="10">
        <v>1099</v>
      </c>
      <c r="D236" s="28">
        <v>2</v>
      </c>
      <c r="E236" s="10">
        <v>26</v>
      </c>
      <c r="F236" s="10">
        <f>(C236-$AE$12)*EchelleFPAparam!$C$3/EchelleFPAparam!$E$3</f>
        <v>-5.2023809523809523E-3</v>
      </c>
    </row>
    <row r="237" spans="1:15" x14ac:dyDescent="0.2">
      <c r="A237" s="122"/>
      <c r="B237" s="10">
        <f>B236+(D236-1)*2048-3072+(D236-2)*EchelleFPAparam!$B$3/EchelleFPAparam!$C$3</f>
        <v>-729.79248999999982</v>
      </c>
    </row>
    <row r="238" spans="1:15" x14ac:dyDescent="0.2">
      <c r="A238" s="122"/>
      <c r="B238" s="10">
        <f>B237*EchelleFPAparam!$C$3*COS(EchelleFPAparam!$AC$3)*$B$6</f>
        <v>-13.263834855774899</v>
      </c>
    </row>
    <row r="239" spans="1:15" x14ac:dyDescent="0.2">
      <c r="A239" s="122"/>
      <c r="B239" s="10">
        <f>ATAN(B238/EchelleFPAparam!$E$3)</f>
        <v>-8.7721525355469419E-3</v>
      </c>
      <c r="C239" s="29">
        <f>EchelleFPAparam!$M$3+$B239</f>
        <v>-6.4744862473880269E-2</v>
      </c>
      <c r="F239" s="10">
        <f>ASIN($E236*$A236/(COS(F236)*2*EchelleFPAparam!$S$3*COS(-$C239/2)))-$C239/2</f>
        <v>1.1617117643366064</v>
      </c>
      <c r="G239" s="29">
        <f>$F239*180/EchelleFPAparam!$O$3</f>
        <v>66.561180123887212</v>
      </c>
      <c r="H239" s="10">
        <v>400</v>
      </c>
      <c r="I239" s="10" t="str">
        <f>I235</f>
        <v>K</v>
      </c>
      <c r="J239" s="10">
        <f>A236</f>
        <v>2190.8505399999999</v>
      </c>
      <c r="K239" s="10">
        <f>B236+(D236-1)*2198</f>
        <v>2492.2075100000002</v>
      </c>
      <c r="L239" s="30">
        <f>C236</f>
        <v>1099</v>
      </c>
      <c r="M239" s="10">
        <f>E236</f>
        <v>26</v>
      </c>
      <c r="N239" s="29">
        <f>G239</f>
        <v>66.561180123887212</v>
      </c>
      <c r="O239" s="10">
        <f>H239</f>
        <v>400</v>
      </c>
    </row>
    <row r="240" spans="1:15" x14ac:dyDescent="0.2">
      <c r="A240" s="122">
        <v>2477.5359800000001</v>
      </c>
      <c r="B240" s="10">
        <v>461.05748</v>
      </c>
      <c r="C240" s="10">
        <v>94</v>
      </c>
      <c r="D240" s="28">
        <v>2</v>
      </c>
      <c r="E240" s="10">
        <v>23</v>
      </c>
      <c r="F240" s="10">
        <f>(C240-$AE$12)*EchelleFPAparam!$C$3/EchelleFPAparam!$E$3</f>
        <v>-1.7166666666666667E-2</v>
      </c>
    </row>
    <row r="241" spans="1:15" x14ac:dyDescent="0.2">
      <c r="A241" s="122"/>
      <c r="B241" s="10">
        <f>B240+(D240-1)*2048-3072+(D240-2)*EchelleFPAparam!$B$3/EchelleFPAparam!$C$3</f>
        <v>-562.94252000000006</v>
      </c>
    </row>
    <row r="242" spans="1:15" x14ac:dyDescent="0.2">
      <c r="A242" s="122"/>
      <c r="B242" s="10">
        <f>B241*EchelleFPAparam!$C$3*COS(EchelleFPAparam!$AC$3)*$B$6</f>
        <v>-10.231369493229179</v>
      </c>
    </row>
    <row r="243" spans="1:15" x14ac:dyDescent="0.2">
      <c r="A243" s="122"/>
      <c r="B243" s="10">
        <f>ATAN(B242/EchelleFPAparam!$E$3)</f>
        <v>-6.7666754861912693E-3</v>
      </c>
      <c r="C243" s="29">
        <f>EchelleFPAparam!$M$3+$B243</f>
        <v>-6.2739385424524605E-2</v>
      </c>
      <c r="F243" s="10">
        <f>ASIN($E240*$A240/(COS(F240)*2*EchelleFPAparam!$S$3*COS(-$C243/2)))-$C243/2</f>
        <v>1.1617137942048679</v>
      </c>
      <c r="G243" s="29">
        <f>$F243*180/EchelleFPAparam!$O$3</f>
        <v>66.561296426769843</v>
      </c>
      <c r="H243" s="10">
        <v>400</v>
      </c>
      <c r="I243" s="10" t="str">
        <f>I239</f>
        <v>K</v>
      </c>
      <c r="J243" s="10">
        <f>A240</f>
        <v>2477.5359800000001</v>
      </c>
      <c r="K243" s="10">
        <f>B240+(D240-1)*2198</f>
        <v>2659.0574799999999</v>
      </c>
      <c r="L243" s="30">
        <f>C240</f>
        <v>94</v>
      </c>
      <c r="M243" s="10">
        <f>E240</f>
        <v>23</v>
      </c>
      <c r="N243" s="29">
        <f>G243</f>
        <v>66.561296426769843</v>
      </c>
      <c r="O243" s="10">
        <f>H243</f>
        <v>400</v>
      </c>
    </row>
    <row r="244" spans="1:15" x14ac:dyDescent="0.2">
      <c r="A244" s="122">
        <v>2054.9360700000002</v>
      </c>
      <c r="B244" s="10">
        <v>1574.5666000000001</v>
      </c>
      <c r="C244" s="10">
        <v>1655</v>
      </c>
      <c r="D244" s="28">
        <v>3</v>
      </c>
      <c r="E244" s="10">
        <v>28</v>
      </c>
      <c r="F244" s="10">
        <f>(C244-$AE$12)*EchelleFPAparam!$C$3/EchelleFPAparam!$E$3</f>
        <v>1.4166666666666666E-3</v>
      </c>
    </row>
    <row r="245" spans="1:15" x14ac:dyDescent="0.2">
      <c r="A245" s="122"/>
      <c r="B245" s="10">
        <f>B244+(D244-1)*2048-3072+(D244-2)*EchelleFPAparam!$B$3/EchelleFPAparam!$C$3</f>
        <v>2743.5666000000001</v>
      </c>
    </row>
    <row r="246" spans="1:15" x14ac:dyDescent="0.2">
      <c r="A246" s="122"/>
      <c r="B246" s="10">
        <f>B245*EchelleFPAparam!$C$3*COS(EchelleFPAparam!$AC$3)*$B$6</f>
        <v>49.86378292029265</v>
      </c>
    </row>
    <row r="247" spans="1:15" x14ac:dyDescent="0.2">
      <c r="A247" s="122"/>
      <c r="B247" s="10">
        <f>ATAN(B246/EchelleFPAparam!$E$3)</f>
        <v>3.2966744392376186E-2</v>
      </c>
      <c r="C247" s="29">
        <f>EchelleFPAparam!$M$3+$B247</f>
        <v>-2.3005965545957144E-2</v>
      </c>
      <c r="F247" s="10">
        <f>ASIN($E244*$A244/(COS(F244)*2*EchelleFPAparam!$S$3*COS(-$C247/2)))-$C247/2</f>
        <v>1.1617005789108148</v>
      </c>
      <c r="G247" s="29">
        <f>$F247*180/EchelleFPAparam!$O$3</f>
        <v>66.560539246206773</v>
      </c>
      <c r="H247" s="10">
        <v>400</v>
      </c>
      <c r="I247" s="10" t="str">
        <f>I243</f>
        <v>K</v>
      </c>
      <c r="J247" s="10">
        <f>A244</f>
        <v>2054.9360700000002</v>
      </c>
      <c r="K247" s="10">
        <f>B244+(D244-1)*2198</f>
        <v>5970.5666000000001</v>
      </c>
      <c r="L247" s="30">
        <f>C244</f>
        <v>1655</v>
      </c>
      <c r="M247" s="10">
        <f>E244</f>
        <v>28</v>
      </c>
      <c r="N247" s="29">
        <f>G247</f>
        <v>66.560539246206773</v>
      </c>
      <c r="O247" s="10">
        <f>H247</f>
        <v>400</v>
      </c>
    </row>
    <row r="248" spans="1:15" x14ac:dyDescent="0.2">
      <c r="A248" s="122">
        <v>2054.9360700000002</v>
      </c>
      <c r="B248" s="10">
        <v>240.68576999999999</v>
      </c>
      <c r="C248" s="10">
        <v>1622</v>
      </c>
      <c r="D248" s="28">
        <v>3</v>
      </c>
      <c r="E248" s="10">
        <v>28</v>
      </c>
      <c r="F248" s="10">
        <f>(C248-$AE$12)*EchelleFPAparam!$C$3/EchelleFPAparam!$E$3</f>
        <v>1.0238095238095236E-3</v>
      </c>
    </row>
    <row r="249" spans="1:15" x14ac:dyDescent="0.2">
      <c r="A249" s="122"/>
      <c r="B249" s="10">
        <f>B248+(D248-1)*2048-3072+(D248-2)*EchelleFPAparam!$B$3/EchelleFPAparam!$C$3</f>
        <v>1409.68577</v>
      </c>
    </row>
    <row r="250" spans="1:15" x14ac:dyDescent="0.2">
      <c r="A250" s="122"/>
      <c r="B250" s="10">
        <f>B249*EchelleFPAparam!$C$3*COS(EchelleFPAparam!$AC$3)*$B$6</f>
        <v>25.620761391797664</v>
      </c>
    </row>
    <row r="251" spans="1:15" x14ac:dyDescent="0.2">
      <c r="A251" s="122"/>
      <c r="B251" s="10">
        <f>ATAN(B250/EchelleFPAparam!$E$3)</f>
        <v>1.6943326481685651E-2</v>
      </c>
      <c r="C251" s="29">
        <f>EchelleFPAparam!$M$3+$B251</f>
        <v>-3.9029383456647679E-2</v>
      </c>
      <c r="F251" s="10">
        <f>ASIN($E248*$A248/(COS(F248)*2*EchelleFPAparam!$S$3*COS(-$C251/2)))-$C251/2</f>
        <v>1.1699891312591089</v>
      </c>
      <c r="G251" s="29">
        <f>$F251*180/EchelleFPAparam!$O$3</f>
        <v>67.035438307021664</v>
      </c>
      <c r="H251" s="10">
        <v>350</v>
      </c>
      <c r="I251" s="10" t="str">
        <f>I247</f>
        <v>K</v>
      </c>
      <c r="J251" s="10">
        <f>A248</f>
        <v>2054.9360700000002</v>
      </c>
      <c r="K251" s="10">
        <f>B248+(D248-1)*2198</f>
        <v>4636.68577</v>
      </c>
      <c r="L251" s="30">
        <f>C248</f>
        <v>1622</v>
      </c>
      <c r="M251" s="10">
        <f>E248</f>
        <v>28</v>
      </c>
      <c r="N251" s="29">
        <f>G251</f>
        <v>67.035438307021664</v>
      </c>
      <c r="O251" s="10">
        <f>H251</f>
        <v>350</v>
      </c>
    </row>
    <row r="252" spans="1:15" x14ac:dyDescent="0.2">
      <c r="A252" s="122">
        <v>2117.1263399999998</v>
      </c>
      <c r="B252" s="10">
        <v>168.56657000000001</v>
      </c>
      <c r="C252" s="10">
        <v>1350</v>
      </c>
      <c r="D252" s="28">
        <v>2</v>
      </c>
      <c r="E252" s="10">
        <v>27</v>
      </c>
      <c r="F252" s="10">
        <f>(C252-$AE$12)*EchelleFPAparam!$C$3/EchelleFPAparam!$E$3</f>
        <v>-2.2142857142857142E-3</v>
      </c>
    </row>
    <row r="253" spans="1:15" x14ac:dyDescent="0.2">
      <c r="A253" s="122"/>
      <c r="B253" s="10">
        <f>B252+(D252-1)*2048-3072+(D252-2)*EchelleFPAparam!$B$3/EchelleFPAparam!$C$3</f>
        <v>-855.43343000000004</v>
      </c>
    </row>
    <row r="254" spans="1:15" x14ac:dyDescent="0.2">
      <c r="A254" s="122"/>
      <c r="B254" s="10">
        <f>B253*EchelleFPAparam!$C$3*COS(EchelleFPAparam!$AC$3)*$B$6</f>
        <v>-15.547334209521779</v>
      </c>
    </row>
    <row r="255" spans="1:15" x14ac:dyDescent="0.2">
      <c r="A255" s="122"/>
      <c r="B255" s="10">
        <f>ATAN(B254/EchelleFPAparam!$E$3)</f>
        <v>-1.0282266065948193E-2</v>
      </c>
      <c r="C255" s="29">
        <f>EchelleFPAparam!$M$3+$B255</f>
        <v>-6.6254976004281527E-2</v>
      </c>
      <c r="F255" s="10">
        <f>ASIN($E252*$A252/(COS(F252)*2*EchelleFPAparam!$S$3*COS(-$C255/2)))-$C255/2</f>
        <v>1.1699968658995954</v>
      </c>
      <c r="G255" s="29">
        <f>$F255*180/EchelleFPAparam!$O$3</f>
        <v>67.035881469271033</v>
      </c>
      <c r="H255" s="10">
        <v>350</v>
      </c>
      <c r="I255" s="10" t="s">
        <v>361</v>
      </c>
      <c r="J255" s="10">
        <f>A252</f>
        <v>2117.1263399999998</v>
      </c>
      <c r="K255" s="10">
        <f>B252+(D252-1)*2198</f>
        <v>2366.56657</v>
      </c>
      <c r="L255" s="30">
        <f>C252</f>
        <v>1350</v>
      </c>
      <c r="M255" s="10">
        <f>E252</f>
        <v>27</v>
      </c>
      <c r="N255" s="29">
        <f>G255</f>
        <v>67.035881469271033</v>
      </c>
      <c r="O255" s="10">
        <f>H255</f>
        <v>350</v>
      </c>
    </row>
    <row r="256" spans="1:15" x14ac:dyDescent="0.2">
      <c r="A256" s="122">
        <v>2190.8505399999999</v>
      </c>
      <c r="B256" s="10">
        <v>1208.3188</v>
      </c>
      <c r="C256" s="10">
        <v>1067</v>
      </c>
      <c r="D256" s="28">
        <v>1</v>
      </c>
      <c r="E256" s="10">
        <v>26</v>
      </c>
      <c r="F256" s="10">
        <f>(C256-$AE$12)*EchelleFPAparam!$C$3/EchelleFPAparam!$E$3</f>
        <v>-5.5833333333333334E-3</v>
      </c>
    </row>
    <row r="257" spans="1:15" x14ac:dyDescent="0.2">
      <c r="A257" s="122"/>
      <c r="B257" s="10">
        <f>B256+(D256-1)*2048-3072+(D256-2)*EchelleFPAparam!$B$3/EchelleFPAparam!$C$3</f>
        <v>-2008.6812</v>
      </c>
    </row>
    <row r="258" spans="1:15" x14ac:dyDescent="0.2">
      <c r="A258" s="122"/>
      <c r="B258" s="10">
        <f>B257*EchelleFPAparam!$C$3*COS(EchelleFPAparam!$AC$3)*$B$6</f>
        <v>-36.50738542773955</v>
      </c>
    </row>
    <row r="259" spans="1:15" x14ac:dyDescent="0.2">
      <c r="A259" s="122"/>
      <c r="B259" s="10">
        <f>ATAN(B258/EchelleFPAparam!$E$3)</f>
        <v>-2.4140405741245197E-2</v>
      </c>
      <c r="C259" s="29">
        <f>EchelleFPAparam!$M$3+$B259</f>
        <v>-8.0113115679578531E-2</v>
      </c>
      <c r="F259" s="10">
        <f>ASIN($E256*$A256/(COS(F256)*2*EchelleFPAparam!$S$3*COS(-$C259/2)))-$C259/2</f>
        <v>1.1699898240443887</v>
      </c>
      <c r="G259" s="29">
        <f>$F259*180/EchelleFPAparam!$O$3</f>
        <v>67.035478000693715</v>
      </c>
      <c r="H259" s="10">
        <v>350</v>
      </c>
      <c r="I259" s="10" t="str">
        <f>I255</f>
        <v>K</v>
      </c>
      <c r="J259" s="10">
        <f>A256</f>
        <v>2190.8505399999999</v>
      </c>
      <c r="K259" s="10">
        <f>B256+(D256-1)*2198</f>
        <v>1208.3188</v>
      </c>
      <c r="L259" s="30">
        <f>C256</f>
        <v>1067</v>
      </c>
      <c r="M259" s="10">
        <f>E256</f>
        <v>26</v>
      </c>
      <c r="N259" s="29">
        <f>G259</f>
        <v>67.035478000693715</v>
      </c>
      <c r="O259" s="10">
        <f>H259</f>
        <v>350</v>
      </c>
    </row>
    <row r="260" spans="1:15" x14ac:dyDescent="0.2">
      <c r="A260" s="122">
        <v>2477.5359800000001</v>
      </c>
      <c r="B260" s="10">
        <v>1369.1648</v>
      </c>
      <c r="C260" s="10">
        <v>61</v>
      </c>
      <c r="D260" s="28">
        <v>1</v>
      </c>
      <c r="E260" s="10">
        <v>23</v>
      </c>
      <c r="F260" s="10">
        <f>(C260-$AE$12)*EchelleFPAparam!$C$3/EchelleFPAparam!$E$3</f>
        <v>-1.7559523809523806E-2</v>
      </c>
    </row>
    <row r="261" spans="1:15" x14ac:dyDescent="0.2">
      <c r="A261" s="122"/>
      <c r="B261" s="10">
        <f>B260+(D260-1)*2048-3072+(D260-2)*EchelleFPAparam!$B$3/EchelleFPAparam!$C$3</f>
        <v>-1847.8352</v>
      </c>
    </row>
    <row r="262" spans="1:15" x14ac:dyDescent="0.2">
      <c r="A262" s="122"/>
      <c r="B262" s="10">
        <f>B261*EchelleFPAparam!$C$3*COS(EchelleFPAparam!$AC$3)*$B$6</f>
        <v>-33.584041038141933</v>
      </c>
    </row>
    <row r="263" spans="1:15" x14ac:dyDescent="0.2">
      <c r="A263" s="122"/>
      <c r="B263" s="10">
        <f>ATAN(B262/EchelleFPAparam!$E$3)</f>
        <v>-2.2208015665000743E-2</v>
      </c>
      <c r="C263" s="29">
        <f>EchelleFPAparam!$M$3+$B263</f>
        <v>-7.818072560333407E-2</v>
      </c>
      <c r="F263" s="10">
        <f>ASIN($E260*$A260/(COS(F260)*2*EchelleFPAparam!$S$3*COS(-$C263/2)))-$C263/2</f>
        <v>1.1700267196861436</v>
      </c>
      <c r="G263" s="29">
        <f>$F263*180/EchelleFPAparam!$O$3</f>
        <v>67.037591965217459</v>
      </c>
      <c r="H263" s="10">
        <v>350</v>
      </c>
      <c r="I263" s="10" t="str">
        <f>I259</f>
        <v>K</v>
      </c>
      <c r="J263" s="10">
        <f>A260</f>
        <v>2477.5359800000001</v>
      </c>
      <c r="K263" s="10">
        <f>B260+(D260-1)*2198</f>
        <v>1369.1648</v>
      </c>
      <c r="L263" s="30">
        <f>C260</f>
        <v>61</v>
      </c>
      <c r="M263" s="10">
        <f>E260</f>
        <v>23</v>
      </c>
      <c r="N263" s="29">
        <f>G263</f>
        <v>67.037591965217459</v>
      </c>
      <c r="O263" s="10">
        <f>H263</f>
        <v>350</v>
      </c>
    </row>
    <row r="264" spans="1:15" x14ac:dyDescent="0.2">
      <c r="A264" s="122">
        <v>2054.9360700000002</v>
      </c>
      <c r="B264" s="10">
        <v>1119.7157</v>
      </c>
      <c r="C264" s="10">
        <v>1588</v>
      </c>
      <c r="D264" s="28">
        <v>2</v>
      </c>
      <c r="E264" s="10">
        <v>28</v>
      </c>
      <c r="F264" s="10">
        <f>(C264-$AE$12)*EchelleFPAparam!$C$3/EchelleFPAparam!$E$3</f>
        <v>6.19047619047619E-4</v>
      </c>
    </row>
    <row r="265" spans="1:15" x14ac:dyDescent="0.2">
      <c r="A265" s="122"/>
      <c r="B265" s="10">
        <f>B264+(D264-1)*2048-3072+(D264-2)*EchelleFPAparam!$B$3/EchelleFPAparam!$C$3</f>
        <v>95.715699999999742</v>
      </c>
    </row>
    <row r="266" spans="1:15" x14ac:dyDescent="0.2">
      <c r="A266" s="122"/>
      <c r="B266" s="10">
        <f>B265*EchelleFPAparam!$C$3*COS(EchelleFPAparam!$AC$3)*$B$6</f>
        <v>1.7396140071335764</v>
      </c>
    </row>
    <row r="267" spans="1:15" x14ac:dyDescent="0.2">
      <c r="A267" s="122"/>
      <c r="B267" s="10">
        <f>ATAN(B266/EchelleFPAparam!$E$3)</f>
        <v>1.1505378568360831E-3</v>
      </c>
      <c r="C267" s="29">
        <f>EchelleFPAparam!$M$3+$B267</f>
        <v>-5.4822172081497249E-2</v>
      </c>
      <c r="F267" s="10">
        <f>ASIN($E264*$A264/(COS(F264)*2*EchelleFPAparam!$S$3*COS(-$C267/2)))-$C267/2</f>
        <v>1.1782996075920744</v>
      </c>
      <c r="G267" s="29">
        <f>$F267*180/EchelleFPAparam!$O$3</f>
        <v>67.511593519609789</v>
      </c>
      <c r="H267" s="10">
        <v>300</v>
      </c>
      <c r="I267" s="10" t="str">
        <f>I263</f>
        <v>K</v>
      </c>
      <c r="J267" s="10">
        <f>A264</f>
        <v>2054.9360700000002</v>
      </c>
      <c r="K267" s="10">
        <f>B264+(D264-1)*2198</f>
        <v>3317.7156999999997</v>
      </c>
      <c r="L267" s="30">
        <f>C264</f>
        <v>1588</v>
      </c>
      <c r="M267" s="10">
        <f>E264</f>
        <v>28</v>
      </c>
      <c r="N267" s="29">
        <f>G267</f>
        <v>67.511593519609789</v>
      </c>
      <c r="O267" s="10">
        <f>H267</f>
        <v>300</v>
      </c>
    </row>
    <row r="268" spans="1:15" x14ac:dyDescent="0.2">
      <c r="A268" s="122">
        <v>2117.1263399999998</v>
      </c>
      <c r="B268" s="10">
        <v>1083.5843</v>
      </c>
      <c r="C268" s="10">
        <v>1318</v>
      </c>
      <c r="D268" s="28">
        <v>1</v>
      </c>
      <c r="E268" s="10">
        <v>27</v>
      </c>
      <c r="F268" s="10">
        <f>(C268-$AE$12)*EchelleFPAparam!$C$3/EchelleFPAparam!$E$3</f>
        <v>-2.5952380952380949E-3</v>
      </c>
    </row>
    <row r="269" spans="1:15" x14ac:dyDescent="0.2">
      <c r="A269" s="122"/>
      <c r="B269" s="10">
        <f>B268+(D268-1)*2048-3072+(D268-2)*EchelleFPAparam!$B$3/EchelleFPAparam!$C$3</f>
        <v>-2133.4157</v>
      </c>
    </row>
    <row r="270" spans="1:15" x14ac:dyDescent="0.2">
      <c r="A270" s="122"/>
      <c r="B270" s="10">
        <f>B269*EchelleFPAparam!$C$3*COS(EchelleFPAparam!$AC$3)*$B$6</f>
        <v>-38.774410412907109</v>
      </c>
    </row>
    <row r="271" spans="1:15" x14ac:dyDescent="0.2">
      <c r="A271" s="122"/>
      <c r="B271" s="10">
        <f>ATAN(B270/EchelleFPAparam!$E$3)</f>
        <v>-2.5638831960857048E-2</v>
      </c>
      <c r="C271" s="29">
        <f>EchelleFPAparam!$M$3+$B271</f>
        <v>-8.1611541899190371E-2</v>
      </c>
      <c r="F271" s="10">
        <f>ASIN($E268*$A268/(COS(F268)*2*EchelleFPAparam!$S$3*COS(-$C271/2)))-$C271/2</f>
        <v>1.1782904439299642</v>
      </c>
      <c r="G271" s="29">
        <f>$F271*180/EchelleFPAparam!$O$3</f>
        <v>67.511068480453744</v>
      </c>
      <c r="H271" s="10">
        <v>300</v>
      </c>
      <c r="I271" s="10" t="str">
        <f>I267</f>
        <v>K</v>
      </c>
      <c r="J271" s="10">
        <f>A268</f>
        <v>2117.1263399999998</v>
      </c>
      <c r="K271" s="10">
        <f>B268+(D268-1)*2198</f>
        <v>1083.5843</v>
      </c>
      <c r="L271" s="30">
        <f>C268</f>
        <v>1318</v>
      </c>
      <c r="M271" s="10">
        <f>E268</f>
        <v>27</v>
      </c>
      <c r="N271" s="29">
        <f>G271</f>
        <v>67.511068480453744</v>
      </c>
      <c r="O271" s="10">
        <f>H271</f>
        <v>300</v>
      </c>
    </row>
    <row r="272" spans="1:15" x14ac:dyDescent="0.2">
      <c r="A272" s="122">
        <v>2042.9532300000001</v>
      </c>
      <c r="B272" s="10">
        <v>62.957102999999996</v>
      </c>
      <c r="C272" s="10">
        <v>1549</v>
      </c>
      <c r="D272" s="28">
        <v>1</v>
      </c>
      <c r="E272" s="10">
        <v>28</v>
      </c>
      <c r="F272" s="10">
        <f>(C272-$AE$12)*EchelleFPAparam!$C$3/EchelleFPAparam!$E$3</f>
        <v>1.5476190476190475E-4</v>
      </c>
    </row>
    <row r="273" spans="1:35" x14ac:dyDescent="0.2">
      <c r="A273" s="122"/>
      <c r="B273" s="10">
        <f>B272+(D272-1)*2048-3072+(D272-2)*EchelleFPAparam!$B$3/EchelleFPAparam!$C$3</f>
        <v>-3154.0428969999998</v>
      </c>
    </row>
    <row r="274" spans="1:35" x14ac:dyDescent="0.2">
      <c r="A274" s="122"/>
      <c r="B274" s="10">
        <f>B273*EchelleFPAparam!$C$3*COS(EchelleFPAparam!$AC$3)*$B$6</f>
        <v>-57.324108821451219</v>
      </c>
    </row>
    <row r="275" spans="1:35" x14ac:dyDescent="0.2">
      <c r="A275" s="122"/>
      <c r="B275" s="10">
        <f>ATAN(B274/EchelleFPAparam!$E$3)</f>
        <v>-3.7894621038449573E-2</v>
      </c>
      <c r="C275" s="29">
        <f>EchelleFPAparam!$M$3+$B275</f>
        <v>-9.3867330976782903E-2</v>
      </c>
      <c r="F275" s="10">
        <f>ASIN($E272*$A272/(COS(F272)*2*EchelleFPAparam!$S$3*COS(-$C275/2)))-$C275/2</f>
        <v>1.1865209152760532</v>
      </c>
      <c r="G275" s="29">
        <f>$F275*180/EchelleFPAparam!$O$3</f>
        <v>67.982639745021558</v>
      </c>
      <c r="H275" s="10">
        <v>250</v>
      </c>
      <c r="I275" s="10" t="str">
        <f>I271</f>
        <v>K</v>
      </c>
      <c r="J275" s="10">
        <f>A272</f>
        <v>2042.9532300000001</v>
      </c>
      <c r="K275" s="10">
        <f>B272+(D272-1)*2198</f>
        <v>62.957102999999996</v>
      </c>
      <c r="L275" s="30">
        <f>C272</f>
        <v>1549</v>
      </c>
      <c r="M275" s="10">
        <f>E272</f>
        <v>28</v>
      </c>
      <c r="N275" s="29">
        <f>G275</f>
        <v>67.982639745021558</v>
      </c>
      <c r="O275" s="10">
        <f>H275</f>
        <v>250</v>
      </c>
    </row>
    <row r="276" spans="1:35" x14ac:dyDescent="0.2">
      <c r="A276" s="122">
        <v>1443.07365</v>
      </c>
      <c r="B276" s="10">
        <v>1211.4595999999999</v>
      </c>
      <c r="C276" s="10">
        <v>1989</v>
      </c>
      <c r="D276" s="28">
        <v>1</v>
      </c>
      <c r="E276" s="10">
        <v>39</v>
      </c>
      <c r="F276" s="10">
        <f>(C276-$AE$12)*EchelleFPAparam!$C$3/EchelleFPAparam!$E$3</f>
        <v>5.3928571428571428E-3</v>
      </c>
    </row>
    <row r="277" spans="1:35" x14ac:dyDescent="0.2">
      <c r="A277" s="122"/>
      <c r="B277" s="10">
        <f>B276+(D276-1)*2048-3072+(D276-2)*EchelleFPAparam!$B$3/EchelleFPAparam!$C$3</f>
        <v>-2005.5404000000001</v>
      </c>
    </row>
    <row r="278" spans="1:35" x14ac:dyDescent="0.2">
      <c r="A278" s="122"/>
      <c r="B278" s="10">
        <f>B277*EchelleFPAparam!$C$3*COS(EchelleFPAparam!$AC$3)*$B$6</f>
        <v>-36.450302005964382</v>
      </c>
    </row>
    <row r="279" spans="1:35" x14ac:dyDescent="0.2">
      <c r="A279" s="122"/>
      <c r="B279" s="10">
        <f>ATAN(B278/EchelleFPAparam!$E$3)</f>
        <v>-2.4102674118033809E-2</v>
      </c>
      <c r="C279" s="29">
        <f>EchelleFPAparam!$M$3+$B279</f>
        <v>-8.0075384056367133E-2</v>
      </c>
      <c r="F279" s="10">
        <f>ASIN($E276*$A276/(COS(F276)*2*EchelleFPAparam!$S$3*COS(-$C279/2)))-$C279/2</f>
        <v>1.1452292254914014</v>
      </c>
      <c r="G279" s="29">
        <f>$F279*180/EchelleFPAparam!$O$3</f>
        <v>65.616800226347692</v>
      </c>
      <c r="H279" s="10">
        <v>500</v>
      </c>
      <c r="I279" s="10" t="s">
        <v>355</v>
      </c>
      <c r="J279" s="10">
        <f>A276</f>
        <v>1443.07365</v>
      </c>
      <c r="K279" s="10">
        <f>B276+(D276-1)*2198</f>
        <v>1211.4595999999999</v>
      </c>
      <c r="L279" s="30">
        <f>C276</f>
        <v>1989</v>
      </c>
      <c r="M279" s="10">
        <f>E276</f>
        <v>39</v>
      </c>
      <c r="N279" s="29">
        <f>G279</f>
        <v>65.616800226347692</v>
      </c>
      <c r="O279" s="10">
        <f>H279</f>
        <v>500</v>
      </c>
    </row>
    <row r="280" spans="1:35" x14ac:dyDescent="0.2">
      <c r="A280" s="109">
        <v>1521.3688099999999</v>
      </c>
      <c r="B280" s="10">
        <v>1262.3152</v>
      </c>
      <c r="C280" s="10">
        <v>1573</v>
      </c>
      <c r="D280" s="28">
        <v>1</v>
      </c>
      <c r="E280" s="10">
        <v>37</v>
      </c>
      <c r="F280" s="10">
        <f>(C280-$AE$8)*EchelleFPAparam!$C$3/EchelleFPAparam!$E$3</f>
        <v>4.4047619047619041E-4</v>
      </c>
    </row>
    <row r="281" spans="1:35" x14ac:dyDescent="0.2">
      <c r="A281" s="109"/>
      <c r="B281" s="10">
        <f>B280+(D280-1)*2048-3072+(D280-2)*EchelleFPAparam!$B$3/EchelleFPAparam!$C$3</f>
        <v>-1954.6848</v>
      </c>
    </row>
    <row r="282" spans="1:35" x14ac:dyDescent="0.2">
      <c r="A282" s="109"/>
      <c r="B282" s="10">
        <f>B281*EchelleFPAparam!$C$3*COS(EchelleFPAparam!$AC$3)*$B$6</f>
        <v>-35.526011486214927</v>
      </c>
    </row>
    <row r="283" spans="1:35" x14ac:dyDescent="0.2">
      <c r="A283" s="109"/>
      <c r="B283" s="10">
        <f>ATAN(B282/EchelleFPAparam!$E$3)</f>
        <v>-2.3491717002940022E-2</v>
      </c>
      <c r="C283" s="29">
        <f>EchelleFPAparam!$M$3+$B283</f>
        <v>-7.9464426941273356E-2</v>
      </c>
      <c r="F283" s="10">
        <f>ASIN($E280*$A280/(COS(F280)*2*EchelleFPAparam!$S$3*COS(-$C283/2)))-$C283/2</f>
        <v>1.1452518269974146</v>
      </c>
      <c r="G283" s="29">
        <f>$F283*180/EchelleFPAparam!$O$3</f>
        <v>65.618095197233757</v>
      </c>
      <c r="H283" s="10">
        <v>500</v>
      </c>
      <c r="I283" s="10" t="str">
        <f>I279</f>
        <v>H</v>
      </c>
      <c r="J283" s="10">
        <f>A280</f>
        <v>1521.3688099999999</v>
      </c>
      <c r="K283" s="10">
        <f>B280+(D280-1)*2198</f>
        <v>1262.3152</v>
      </c>
      <c r="L283" s="30">
        <f>C280</f>
        <v>1573</v>
      </c>
      <c r="M283" s="10">
        <f>E280</f>
        <v>37</v>
      </c>
      <c r="N283" s="29">
        <f>G283</f>
        <v>65.618095197233757</v>
      </c>
      <c r="O283" s="10">
        <f>H283</f>
        <v>500</v>
      </c>
    </row>
    <row r="284" spans="1:35" x14ac:dyDescent="0.2">
      <c r="A284" s="109">
        <v>1524.37861</v>
      </c>
      <c r="B284" s="10">
        <v>1874.1641</v>
      </c>
      <c r="C284" s="10">
        <v>1572</v>
      </c>
      <c r="D284" s="28">
        <v>1</v>
      </c>
      <c r="E284" s="10">
        <v>37</v>
      </c>
      <c r="F284" s="10">
        <f>(C284-$AE$8)*EchelleFPAparam!$C$3/EchelleFPAparam!$E$3</f>
        <v>4.285714285714285E-4</v>
      </c>
      <c r="AG284" s="29">
        <f>N283</f>
        <v>65.618095197233757</v>
      </c>
      <c r="AH284" s="29">
        <f>O283</f>
        <v>500</v>
      </c>
      <c r="AI284" s="10">
        <f t="shared" ref="AI284:AI323" si="1">AG284+AH284*0.009525</f>
        <v>70.38059519723376</v>
      </c>
    </row>
    <row r="285" spans="1:35" x14ac:dyDescent="0.2">
      <c r="A285" s="109"/>
      <c r="B285" s="10">
        <f>B284+(D284-1)*2048-3072+(D284-2)*EchelleFPAparam!$B$3/EchelleFPAparam!$C$3</f>
        <v>-1342.8359</v>
      </c>
      <c r="AG285" s="29">
        <f>N287</f>
        <v>65.618101352241624</v>
      </c>
      <c r="AH285" s="29">
        <f>O287</f>
        <v>500</v>
      </c>
      <c r="AI285" s="10">
        <f t="shared" si="1"/>
        <v>70.380601352241627</v>
      </c>
    </row>
    <row r="286" spans="1:35" x14ac:dyDescent="0.2">
      <c r="A286" s="109"/>
      <c r="B286" s="10">
        <f>B285*EchelleFPAparam!$C$3*COS(EchelleFPAparam!$AC$3)*$B$6</f>
        <v>-24.405778163058191</v>
      </c>
      <c r="AG286" s="29">
        <f>N291</f>
        <v>65.616487133092406</v>
      </c>
      <c r="AH286" s="29">
        <f>O291</f>
        <v>500</v>
      </c>
      <c r="AI286" s="10">
        <f t="shared" si="1"/>
        <v>70.378987133092409</v>
      </c>
    </row>
    <row r="287" spans="1:35" x14ac:dyDescent="0.2">
      <c r="A287" s="109"/>
      <c r="B287" s="10">
        <f>ATAN(B286/EchelleFPAparam!$E$3)</f>
        <v>-1.6139986043718309E-2</v>
      </c>
      <c r="C287" s="29">
        <f>EchelleFPAparam!$M$3+$B287</f>
        <v>-7.2112695982051639E-2</v>
      </c>
      <c r="F287" s="10">
        <f>ASIN($E284*$A284/(COS(F284)*2*EchelleFPAparam!$S$3*COS(-$C287/2)))-$C287/2</f>
        <v>1.1452519344225689</v>
      </c>
      <c r="G287" s="29">
        <f>$F287*180/EchelleFPAparam!$O$3</f>
        <v>65.618101352241624</v>
      </c>
      <c r="H287" s="10">
        <v>500</v>
      </c>
      <c r="I287" s="10" t="str">
        <f>I283</f>
        <v>H</v>
      </c>
      <c r="J287" s="10">
        <f>A284</f>
        <v>1524.37861</v>
      </c>
      <c r="K287" s="10">
        <f>B284+(D284-1)*2198</f>
        <v>1874.1641</v>
      </c>
      <c r="L287" s="30">
        <f>C284</f>
        <v>1572</v>
      </c>
      <c r="M287" s="10">
        <f>E284</f>
        <v>37</v>
      </c>
      <c r="N287" s="29">
        <f>G287</f>
        <v>65.618101352241624</v>
      </c>
      <c r="O287" s="10">
        <f>H287</f>
        <v>500</v>
      </c>
      <c r="AG287" s="29">
        <f>N295</f>
        <v>65.618444008240388</v>
      </c>
      <c r="AH287" s="29">
        <f>O295</f>
        <v>500</v>
      </c>
      <c r="AI287" s="10">
        <f t="shared" si="1"/>
        <v>70.380944008240391</v>
      </c>
    </row>
    <row r="288" spans="1:35" x14ac:dyDescent="0.2">
      <c r="A288" s="109">
        <v>1440.61608</v>
      </c>
      <c r="B288" s="10">
        <v>692.53227000000004</v>
      </c>
      <c r="C288" s="10">
        <v>1989</v>
      </c>
      <c r="D288" s="28">
        <v>1</v>
      </c>
      <c r="E288" s="10">
        <v>39</v>
      </c>
      <c r="F288" s="10">
        <f>(C288-$AE$8)*EchelleFPAparam!$C$3/EchelleFPAparam!$E$3</f>
        <v>5.3928571428571428E-3</v>
      </c>
      <c r="AG288" s="29">
        <f>N299</f>
        <v>65.619182457780539</v>
      </c>
      <c r="AH288" s="29">
        <f>O299</f>
        <v>500</v>
      </c>
      <c r="AI288" s="10">
        <f t="shared" si="1"/>
        <v>70.381682457780542</v>
      </c>
    </row>
    <row r="289" spans="1:35" x14ac:dyDescent="0.2">
      <c r="A289" s="109"/>
      <c r="B289" s="10">
        <f>B288+(D288-1)*2048-3072+(D288-2)*EchelleFPAparam!$B$3/EchelleFPAparam!$C$3</f>
        <v>-2524.4677299999998</v>
      </c>
      <c r="AG289" s="29">
        <f>N303</f>
        <v>65.61922651832117</v>
      </c>
      <c r="AH289" s="29">
        <f>O303</f>
        <v>500</v>
      </c>
      <c r="AI289" s="10">
        <f t="shared" si="1"/>
        <v>70.381726518321173</v>
      </c>
    </row>
    <row r="290" spans="1:35" x14ac:dyDescent="0.2">
      <c r="A290" s="109"/>
      <c r="B290" s="10">
        <f>B289*EchelleFPAparam!$C$3*COS(EchelleFPAparam!$AC$3)*$B$6</f>
        <v>-45.881704084750098</v>
      </c>
      <c r="AG290" s="29">
        <f>N307</f>
        <v>65.61957402286545</v>
      </c>
      <c r="AH290" s="29">
        <f>O307</f>
        <v>500</v>
      </c>
      <c r="AI290" s="10">
        <f t="shared" si="1"/>
        <v>70.382074022865453</v>
      </c>
    </row>
    <row r="291" spans="1:35" x14ac:dyDescent="0.2">
      <c r="A291" s="109"/>
      <c r="B291" s="10">
        <f>ATAN(B290/EchelleFPAparam!$E$3)</f>
        <v>-3.0335733403233353E-2</v>
      </c>
      <c r="C291" s="29">
        <f>EchelleFPAparam!$M$3+$B291</f>
        <v>-8.6308443341566676E-2</v>
      </c>
      <c r="F291" s="10">
        <f>ASIN($E288*$A288/(COS(F288)*2*EchelleFPAparam!$S$3*COS(-$C291/2)))-$C291/2</f>
        <v>1.1452237609831502</v>
      </c>
      <c r="G291" s="29">
        <f>$F291*180/EchelleFPAparam!$O$3</f>
        <v>65.616487133092406</v>
      </c>
      <c r="H291" s="10">
        <v>500</v>
      </c>
      <c r="I291" s="10" t="str">
        <f>I287</f>
        <v>H</v>
      </c>
      <c r="J291" s="10">
        <f>A288</f>
        <v>1440.61608</v>
      </c>
      <c r="K291" s="10">
        <f>B288+(D288-1)*2198</f>
        <v>692.53227000000004</v>
      </c>
      <c r="L291" s="30">
        <f>C288</f>
        <v>1989</v>
      </c>
      <c r="M291" s="10">
        <f>E288</f>
        <v>39</v>
      </c>
      <c r="N291" s="29">
        <f>G291</f>
        <v>65.616487133092406</v>
      </c>
      <c r="O291" s="10">
        <f>H291</f>
        <v>500</v>
      </c>
      <c r="AG291" s="29">
        <f>N311</f>
        <v>65.619341443502293</v>
      </c>
      <c r="AH291" s="29">
        <f>O311</f>
        <v>500</v>
      </c>
      <c r="AI291" s="10">
        <f t="shared" si="1"/>
        <v>70.381841443502296</v>
      </c>
    </row>
    <row r="292" spans="1:35" x14ac:dyDescent="0.2">
      <c r="A292" s="109">
        <v>1563.97632</v>
      </c>
      <c r="B292" s="10">
        <v>1330.4154000000001</v>
      </c>
      <c r="C292" s="10">
        <v>1347</v>
      </c>
      <c r="D292" s="28">
        <v>1</v>
      </c>
      <c r="E292" s="10">
        <v>36</v>
      </c>
      <c r="F292" s="10">
        <f>(C292-$AE$8)*EchelleFPAparam!$C$3/EchelleFPAparam!$E$3</f>
        <v>-2.2499999999999998E-3</v>
      </c>
      <c r="AG292" s="29">
        <f>N315</f>
        <v>65.617526556961352</v>
      </c>
      <c r="AH292" s="29">
        <f>O315</f>
        <v>500</v>
      </c>
      <c r="AI292" s="10">
        <f t="shared" si="1"/>
        <v>70.380026556961354</v>
      </c>
    </row>
    <row r="293" spans="1:35" x14ac:dyDescent="0.2">
      <c r="A293" s="109"/>
      <c r="B293" s="10">
        <f>B292+(D292-1)*2048-3072+(D292-2)*EchelleFPAparam!$B$3/EchelleFPAparam!$C$3</f>
        <v>-1886.5845999999999</v>
      </c>
      <c r="AG293" s="29">
        <f>N319</f>
        <v>65.619606282719445</v>
      </c>
      <c r="AH293" s="29">
        <f>O319</f>
        <v>500</v>
      </c>
      <c r="AI293" s="10">
        <f t="shared" si="1"/>
        <v>70.382106282719448</v>
      </c>
    </row>
    <row r="294" spans="1:35" x14ac:dyDescent="0.2">
      <c r="A294" s="109"/>
      <c r="B294" s="10">
        <f>B293*EchelleFPAparam!$C$3*COS(EchelleFPAparam!$AC$3)*$B$6</f>
        <v>-34.288303755836338</v>
      </c>
      <c r="AG294" s="29">
        <f>N323</f>
        <v>65.620372203014597</v>
      </c>
      <c r="AH294" s="29">
        <f>O323</f>
        <v>500</v>
      </c>
      <c r="AI294" s="10">
        <f t="shared" si="1"/>
        <v>70.3828722030146</v>
      </c>
    </row>
    <row r="295" spans="1:35" x14ac:dyDescent="0.2">
      <c r="A295" s="109"/>
      <c r="B295" s="10">
        <f>ATAN(B294/EchelleFPAparam!$E$3)</f>
        <v>-2.2673563353830323E-2</v>
      </c>
      <c r="C295" s="29">
        <f>EchelleFPAparam!$M$3+$B295</f>
        <v>-7.8646273292163657E-2</v>
      </c>
      <c r="F295" s="10">
        <f>ASIN($E292*$A292/(COS(F292)*2*EchelleFPAparam!$S$3*COS(-$C295/2)))-$C295/2</f>
        <v>1.1452579148980373</v>
      </c>
      <c r="G295" s="29">
        <f>$F295*180/EchelleFPAparam!$O$3</f>
        <v>65.618444008240388</v>
      </c>
      <c r="H295" s="10">
        <v>500</v>
      </c>
      <c r="I295" s="10" t="str">
        <f>I291</f>
        <v>H</v>
      </c>
      <c r="J295" s="10">
        <f>A292</f>
        <v>1563.97632</v>
      </c>
      <c r="K295" s="10">
        <f>B292+(D292-1)*2198</f>
        <v>1330.4154000000001</v>
      </c>
      <c r="L295" s="30">
        <f>C292</f>
        <v>1347</v>
      </c>
      <c r="M295" s="10">
        <f>E292</f>
        <v>36</v>
      </c>
      <c r="N295" s="29">
        <f>G295</f>
        <v>65.618444008240388</v>
      </c>
      <c r="O295" s="10">
        <f>H295</f>
        <v>500</v>
      </c>
      <c r="AG295" s="29">
        <f>N327</f>
        <v>65.62010419408746</v>
      </c>
      <c r="AH295" s="29">
        <f>O327</f>
        <v>500</v>
      </c>
      <c r="AI295" s="10">
        <f t="shared" si="1"/>
        <v>70.382604194087463</v>
      </c>
    </row>
    <row r="296" spans="1:35" x14ac:dyDescent="0.2">
      <c r="A296" s="109">
        <v>1657.7574400000001</v>
      </c>
      <c r="B296" s="10">
        <v>1670.3742999999999</v>
      </c>
      <c r="C296" s="10">
        <v>853</v>
      </c>
      <c r="D296" s="28">
        <v>1</v>
      </c>
      <c r="E296" s="10">
        <v>34</v>
      </c>
      <c r="F296" s="10">
        <f>(C296-$AE$8)*EchelleFPAparam!$C$3/EchelleFPAparam!$E$3</f>
        <v>-8.1309523809523793E-3</v>
      </c>
      <c r="AG296" s="29">
        <f>N331</f>
        <v>65.62000931009365</v>
      </c>
      <c r="AH296" s="29">
        <f>O331</f>
        <v>500</v>
      </c>
      <c r="AI296" s="10">
        <f t="shared" si="1"/>
        <v>70.382509310093653</v>
      </c>
    </row>
    <row r="297" spans="1:35" x14ac:dyDescent="0.2">
      <c r="A297" s="109"/>
      <c r="B297" s="10">
        <f>B296+(D296-1)*2048-3072+(D296-2)*EchelleFPAparam!$B$3/EchelleFPAparam!$C$3</f>
        <v>-1546.6257000000001</v>
      </c>
      <c r="AG297" s="29">
        <f>N335</f>
        <v>65.620419656406398</v>
      </c>
      <c r="AH297" s="29">
        <f>O335</f>
        <v>500</v>
      </c>
      <c r="AI297" s="10">
        <f t="shared" si="1"/>
        <v>70.382919656406401</v>
      </c>
    </row>
    <row r="298" spans="1:35" x14ac:dyDescent="0.2">
      <c r="A298" s="109"/>
      <c r="B298" s="10">
        <f>B297*EchelleFPAparam!$C$3*COS(EchelleFPAparam!$AC$3)*$B$6</f>
        <v>-28.109617664738174</v>
      </c>
      <c r="AG298" s="29">
        <f>N339</f>
        <v>65.620944189892327</v>
      </c>
      <c r="AH298" s="29">
        <f>O339</f>
        <v>500</v>
      </c>
      <c r="AI298" s="10">
        <f t="shared" si="1"/>
        <v>70.38344418989233</v>
      </c>
    </row>
    <row r="299" spans="1:35" x14ac:dyDescent="0.2">
      <c r="A299" s="109"/>
      <c r="B299" s="10">
        <f>ATAN(B298/EchelleFPAparam!$E$3)</f>
        <v>-1.8588875572356972E-2</v>
      </c>
      <c r="C299" s="29">
        <f>EchelleFPAparam!$M$3+$B299</f>
        <v>-7.4561585510690309E-2</v>
      </c>
      <c r="F299" s="10">
        <f>ASIN($E296*$A296/(COS(F296)*2*EchelleFPAparam!$S$3*COS(-$C299/2)))-$C299/2</f>
        <v>1.1452708032740633</v>
      </c>
      <c r="G299" s="29">
        <f>$F299*180/EchelleFPAparam!$O$3</f>
        <v>65.619182457780539</v>
      </c>
      <c r="H299" s="10">
        <v>500</v>
      </c>
      <c r="I299" s="10" t="str">
        <f>I295</f>
        <v>H</v>
      </c>
      <c r="J299" s="10">
        <f>A296</f>
        <v>1657.7574400000001</v>
      </c>
      <c r="K299" s="10">
        <f>B296+(D296-1)*2198</f>
        <v>1670.3742999999999</v>
      </c>
      <c r="L299" s="30">
        <f>C296</f>
        <v>853</v>
      </c>
      <c r="M299" s="10">
        <f>E296</f>
        <v>34</v>
      </c>
      <c r="N299" s="29">
        <f>G299</f>
        <v>65.619182457780539</v>
      </c>
      <c r="O299" s="10">
        <f>H299</f>
        <v>500</v>
      </c>
      <c r="AG299" s="29">
        <f>N343</f>
        <v>65.62063795989107</v>
      </c>
      <c r="AH299" s="29">
        <f>O343</f>
        <v>500</v>
      </c>
      <c r="AI299" s="10">
        <f t="shared" si="1"/>
        <v>70.383137959891073</v>
      </c>
    </row>
    <row r="300" spans="1:35" x14ac:dyDescent="0.2">
      <c r="A300" s="109">
        <v>1605.57952</v>
      </c>
      <c r="B300" s="10">
        <v>745.43257000000006</v>
      </c>
      <c r="C300" s="10">
        <v>1110</v>
      </c>
      <c r="D300" s="28">
        <v>1</v>
      </c>
      <c r="E300" s="10">
        <v>35</v>
      </c>
      <c r="F300" s="10">
        <f>(C300-$AE$8)*EchelleFPAparam!$C$3/EchelleFPAparam!$E$3</f>
        <v>-5.0714285714285713E-3</v>
      </c>
      <c r="AG300" s="29">
        <f>N347</f>
        <v>65.62030771864876</v>
      </c>
      <c r="AH300" s="29">
        <f>O347</f>
        <v>500</v>
      </c>
      <c r="AI300" s="10">
        <f t="shared" si="1"/>
        <v>70.382807718648763</v>
      </c>
    </row>
    <row r="301" spans="1:35" x14ac:dyDescent="0.2">
      <c r="A301" s="109"/>
      <c r="B301" s="10">
        <f>B300+(D300-1)*2048-3072+(D300-2)*EchelleFPAparam!$B$3/EchelleFPAparam!$C$3</f>
        <v>-2471.5674300000001</v>
      </c>
      <c r="AG301" s="29">
        <f>N351</f>
        <v>65.619908497889</v>
      </c>
      <c r="AH301" s="29">
        <f>O351</f>
        <v>500</v>
      </c>
      <c r="AI301" s="10">
        <f t="shared" si="1"/>
        <v>70.382408497889003</v>
      </c>
    </row>
    <row r="302" spans="1:35" x14ac:dyDescent="0.2">
      <c r="A302" s="109"/>
      <c r="B302" s="10">
        <f>B301*EchelleFPAparam!$C$3*COS(EchelleFPAparam!$AC$3)*$B$6</f>
        <v>-44.920251544972729</v>
      </c>
      <c r="AG302" s="29">
        <f>N355</f>
        <v>65.619431161842286</v>
      </c>
      <c r="AH302" s="29">
        <f>O355</f>
        <v>500</v>
      </c>
      <c r="AI302" s="10">
        <f t="shared" si="1"/>
        <v>70.381931161842289</v>
      </c>
    </row>
    <row r="303" spans="1:35" x14ac:dyDescent="0.2">
      <c r="A303" s="109"/>
      <c r="B303" s="10">
        <f>ATAN(B302/EchelleFPAparam!$E$3)</f>
        <v>-2.9700424926359964E-2</v>
      </c>
      <c r="C303" s="29">
        <f>EchelleFPAparam!$M$3+$B303</f>
        <v>-8.5673134864693301E-2</v>
      </c>
      <c r="F303" s="10">
        <f>ASIN($E300*$A300/(COS(F300)*2*EchelleFPAparam!$S$3*COS(-$C303/2)))-$C303/2</f>
        <v>1.1452715722755791</v>
      </c>
      <c r="G303" s="29">
        <f>$F303*180/EchelleFPAparam!$O$3</f>
        <v>65.61922651832117</v>
      </c>
      <c r="H303" s="10">
        <v>500</v>
      </c>
      <c r="I303" s="10" t="s">
        <v>355</v>
      </c>
      <c r="J303" s="10">
        <f>A300</f>
        <v>1605.57952</v>
      </c>
      <c r="K303" s="10">
        <f>B300+(D300-1)*2198</f>
        <v>745.43257000000006</v>
      </c>
      <c r="L303" s="30">
        <f>C300</f>
        <v>1110</v>
      </c>
      <c r="M303" s="10">
        <f>E300</f>
        <v>35</v>
      </c>
      <c r="N303" s="29">
        <f>G303</f>
        <v>65.61922651832117</v>
      </c>
      <c r="O303" s="10">
        <f>H303</f>
        <v>500</v>
      </c>
      <c r="AG303" s="29">
        <f>N359</f>
        <v>65.617516385478879</v>
      </c>
      <c r="AH303" s="29">
        <f>O359</f>
        <v>500</v>
      </c>
      <c r="AI303" s="10">
        <f t="shared" si="1"/>
        <v>70.380016385478882</v>
      </c>
    </row>
    <row r="304" spans="1:35" x14ac:dyDescent="0.2">
      <c r="A304" s="109">
        <v>1707.4674500000001</v>
      </c>
      <c r="B304" s="10">
        <v>1583.692</v>
      </c>
      <c r="C304" s="10">
        <v>583</v>
      </c>
      <c r="D304" s="28">
        <v>1</v>
      </c>
      <c r="E304" s="10">
        <v>33</v>
      </c>
      <c r="F304" s="10">
        <f>(C304-$AE$8)*EchelleFPAparam!$C$3/EchelleFPAparam!$E$3</f>
        <v>-1.1345238095238096E-2</v>
      </c>
      <c r="AG304" s="29">
        <f>N363</f>
        <v>65.619015762114159</v>
      </c>
      <c r="AH304" s="29">
        <f>O363</f>
        <v>500</v>
      </c>
      <c r="AI304" s="10">
        <f t="shared" si="1"/>
        <v>70.381515762114162</v>
      </c>
    </row>
    <row r="305" spans="1:35" x14ac:dyDescent="0.2">
      <c r="A305" s="109"/>
      <c r="B305" s="10">
        <f>B304+(D304-1)*2048-3072+(D304-2)*EchelleFPAparam!$B$3/EchelleFPAparam!$C$3</f>
        <v>-1633.308</v>
      </c>
      <c r="AG305" s="29">
        <f>N367</f>
        <v>65.139245917744063</v>
      </c>
      <c r="AH305" s="29">
        <f>O367</f>
        <v>550</v>
      </c>
      <c r="AI305" s="10">
        <f t="shared" si="1"/>
        <v>70.377995917744059</v>
      </c>
    </row>
    <row r="306" spans="1:35" x14ac:dyDescent="0.2">
      <c r="A306" s="109"/>
      <c r="B306" s="10">
        <f>B305*EchelleFPAparam!$C$3*COS(EchelleFPAparam!$AC$3)*$B$6</f>
        <v>-29.685051404976768</v>
      </c>
      <c r="AG306" s="29">
        <f>N371</f>
        <v>65.141807398074107</v>
      </c>
      <c r="AH306" s="29">
        <f>O371</f>
        <v>550</v>
      </c>
      <c r="AI306" s="10">
        <f t="shared" si="1"/>
        <v>70.380557398074103</v>
      </c>
    </row>
    <row r="307" spans="1:35" x14ac:dyDescent="0.2">
      <c r="A307" s="109"/>
      <c r="B307" s="10">
        <f>ATAN(B306/EchelleFPAparam!$E$3)</f>
        <v>-1.9630448556566798E-2</v>
      </c>
      <c r="C307" s="29">
        <f>EchelleFPAparam!$M$3+$B307</f>
        <v>-7.5603158494900125E-2</v>
      </c>
      <c r="F307" s="10">
        <f>ASIN($E304*$A304/(COS(F304)*2*EchelleFPAparam!$S$3*COS(-$C307/2)))-$C307/2</f>
        <v>1.1452776373741318</v>
      </c>
      <c r="G307" s="29">
        <f>$F307*180/EchelleFPAparam!$O$3</f>
        <v>65.61957402286545</v>
      </c>
      <c r="H307" s="10">
        <v>500</v>
      </c>
      <c r="I307" s="10" t="str">
        <f>I303</f>
        <v>H</v>
      </c>
      <c r="J307" s="10">
        <f>A304</f>
        <v>1707.4674500000001</v>
      </c>
      <c r="K307" s="10">
        <f>B304+(D304-1)*2198</f>
        <v>1583.692</v>
      </c>
      <c r="L307" s="30">
        <f>C304</f>
        <v>583</v>
      </c>
      <c r="M307" s="10">
        <f>E304</f>
        <v>33</v>
      </c>
      <c r="N307" s="29">
        <f>G307</f>
        <v>65.61957402286545</v>
      </c>
      <c r="O307" s="10">
        <f>H307</f>
        <v>500</v>
      </c>
      <c r="AG307" s="29">
        <f>N375</f>
        <v>65.141172028847578</v>
      </c>
      <c r="AH307" s="29">
        <f>O375</f>
        <v>550</v>
      </c>
      <c r="AI307" s="10">
        <f t="shared" si="1"/>
        <v>70.379922028847574</v>
      </c>
    </row>
    <row r="308" spans="1:35" x14ac:dyDescent="0.2">
      <c r="A308" s="109">
        <v>1762.16579</v>
      </c>
      <c r="B308" s="10">
        <v>1834.7373</v>
      </c>
      <c r="C308" s="10">
        <v>292</v>
      </c>
      <c r="D308" s="28">
        <v>1</v>
      </c>
      <c r="E308" s="10">
        <v>32</v>
      </c>
      <c r="F308" s="10">
        <f>(C308-$AE$8)*EchelleFPAparam!$C$3/EchelleFPAparam!$E$3</f>
        <v>-1.4809523809523809E-2</v>
      </c>
      <c r="AG308" s="29">
        <f>N379</f>
        <v>65.142450297101021</v>
      </c>
      <c r="AH308" s="29">
        <f>O379</f>
        <v>550</v>
      </c>
      <c r="AI308" s="10">
        <f t="shared" si="1"/>
        <v>70.381200297101017</v>
      </c>
    </row>
    <row r="309" spans="1:35" x14ac:dyDescent="0.2">
      <c r="A309" s="109"/>
      <c r="B309" s="10">
        <f>B308+(D308-1)*2048-3072+(D308-2)*EchelleFPAparam!$B$3/EchelleFPAparam!$C$3</f>
        <v>-1382.2627</v>
      </c>
      <c r="AG309" s="29">
        <f>N383</f>
        <v>65.138634583517273</v>
      </c>
      <c r="AH309" s="29">
        <f>O383</f>
        <v>550</v>
      </c>
      <c r="AI309" s="10">
        <f t="shared" si="1"/>
        <v>70.377384583517269</v>
      </c>
    </row>
    <row r="310" spans="1:35" x14ac:dyDescent="0.2">
      <c r="A310" s="109"/>
      <c r="B310" s="10">
        <f>B309*EchelleFPAparam!$C$3*COS(EchelleFPAparam!$AC$3)*$B$6</f>
        <v>-25.122352492415381</v>
      </c>
      <c r="AG310" s="29">
        <f>N387</f>
        <v>64.667343797624454</v>
      </c>
      <c r="AH310" s="29">
        <f>O387</f>
        <v>600</v>
      </c>
      <c r="AI310" s="10">
        <f t="shared" si="1"/>
        <v>70.382343797624458</v>
      </c>
    </row>
    <row r="311" spans="1:35" x14ac:dyDescent="0.2">
      <c r="A311" s="109"/>
      <c r="B311" s="10">
        <f>ATAN(B310/EchelleFPAparam!$E$3)</f>
        <v>-1.661378375945937E-2</v>
      </c>
      <c r="C311" s="29">
        <f>EchelleFPAparam!$M$3+$B311</f>
        <v>-7.2586493697792701E-2</v>
      </c>
      <c r="F311" s="10">
        <f>ASIN($E308*$A308/(COS(F308)*2*EchelleFPAparam!$S$3*COS(-$C311/2)))-$C311/2</f>
        <v>1.1452735780984127</v>
      </c>
      <c r="G311" s="29">
        <f>$F311*180/EchelleFPAparam!$O$3</f>
        <v>65.619341443502293</v>
      </c>
      <c r="H311" s="10">
        <v>500</v>
      </c>
      <c r="I311" s="10" t="str">
        <f>I307</f>
        <v>H</v>
      </c>
      <c r="J311" s="10">
        <f>A308</f>
        <v>1762.16579</v>
      </c>
      <c r="K311" s="10">
        <f>B308+(D308-1)*2198</f>
        <v>1834.7373</v>
      </c>
      <c r="L311" s="30">
        <f>C308</f>
        <v>292</v>
      </c>
      <c r="M311" s="10">
        <f>E308</f>
        <v>32</v>
      </c>
      <c r="N311" s="29">
        <f>G311</f>
        <v>65.619341443502293</v>
      </c>
      <c r="O311" s="10">
        <f>H311</f>
        <v>500</v>
      </c>
      <c r="AG311" s="29">
        <f>N391</f>
        <v>64.666351976006794</v>
      </c>
      <c r="AH311" s="29">
        <f>O391</f>
        <v>600</v>
      </c>
      <c r="AI311" s="10">
        <f t="shared" si="1"/>
        <v>70.381351976006798</v>
      </c>
    </row>
    <row r="312" spans="1:35" x14ac:dyDescent="0.2">
      <c r="A312" s="109">
        <v>1476.9505899999999</v>
      </c>
      <c r="B312" s="10">
        <v>364.68027999999998</v>
      </c>
      <c r="C312" s="10">
        <v>1787</v>
      </c>
      <c r="D312" s="28">
        <v>1</v>
      </c>
      <c r="E312" s="10">
        <v>38</v>
      </c>
      <c r="F312" s="10">
        <f>(C312-$AE$8)*EchelleFPAparam!$C$3/EchelleFPAparam!$E$3</f>
        <v>2.988095238095238E-3</v>
      </c>
      <c r="AG312" s="29">
        <f>N395</f>
        <v>64.189185725123579</v>
      </c>
      <c r="AH312" s="29">
        <f>O395</f>
        <v>650</v>
      </c>
      <c r="AI312" s="10">
        <f t="shared" si="1"/>
        <v>70.380435725123576</v>
      </c>
    </row>
    <row r="313" spans="1:35" x14ac:dyDescent="0.2">
      <c r="A313" s="109"/>
      <c r="B313" s="10">
        <f>B312+(D312-1)*2048-3072+(D312-2)*EchelleFPAparam!$B$3/EchelleFPAparam!$C$3</f>
        <v>-2852.31972</v>
      </c>
      <c r="AG313" s="29">
        <f>N399</f>
        <v>64.18929173271961</v>
      </c>
      <c r="AH313" s="29">
        <f>O399</f>
        <v>650</v>
      </c>
      <c r="AI313" s="10">
        <f t="shared" si="1"/>
        <v>70.380541732719607</v>
      </c>
    </row>
    <row r="314" spans="1:35" x14ac:dyDescent="0.2">
      <c r="A314" s="109"/>
      <c r="B314" s="10">
        <f>B313*EchelleFPAparam!$C$3*COS(EchelleFPAparam!$AC$3)*$B$6</f>
        <v>-51.840349469682963</v>
      </c>
      <c r="AG314" s="29">
        <f>N403</f>
        <v>64.185551888983255</v>
      </c>
      <c r="AH314" s="29">
        <f>O403</f>
        <v>650</v>
      </c>
      <c r="AI314" s="10">
        <f t="shared" si="1"/>
        <v>70.376801888983252</v>
      </c>
    </row>
    <row r="315" spans="1:35" x14ac:dyDescent="0.2">
      <c r="A315" s="109"/>
      <c r="B315" s="10">
        <f>ATAN(B314/EchelleFPAparam!$E$3)</f>
        <v>-3.4272520210162749E-2</v>
      </c>
      <c r="C315" s="29">
        <f>EchelleFPAparam!$M$3+$B315</f>
        <v>-9.0245230148496086E-2</v>
      </c>
      <c r="F315" s="10">
        <f>ASIN($E312*$A312/(COS(F312)*2*EchelleFPAparam!$S$3*COS(-$C315/2)))-$C315/2</f>
        <v>1.1452419023522551</v>
      </c>
      <c r="G315" s="29">
        <f>$F315*180/EchelleFPAparam!$O$3</f>
        <v>65.617526556961352</v>
      </c>
      <c r="H315" s="10">
        <v>500</v>
      </c>
      <c r="I315" s="10" t="str">
        <f>I311</f>
        <v>H</v>
      </c>
      <c r="J315" s="10">
        <f>A312</f>
        <v>1476.9505899999999</v>
      </c>
      <c r="K315" s="10">
        <f>B312+(D312-1)*2198</f>
        <v>364.68027999999998</v>
      </c>
      <c r="L315" s="30">
        <f>C312</f>
        <v>1787</v>
      </c>
      <c r="M315" s="10">
        <f>E312</f>
        <v>38</v>
      </c>
      <c r="N315" s="29">
        <f>G315</f>
        <v>65.617526556961352</v>
      </c>
      <c r="O315" s="10">
        <f>H315</f>
        <v>500</v>
      </c>
      <c r="AG315" s="29">
        <f>N407</f>
        <v>66.092008819903839</v>
      </c>
      <c r="AH315" s="29">
        <f>O407</f>
        <v>450</v>
      </c>
      <c r="AI315" s="10">
        <f t="shared" si="1"/>
        <v>70.378258819903834</v>
      </c>
    </row>
    <row r="316" spans="1:35" x14ac:dyDescent="0.2">
      <c r="A316" s="109">
        <v>1452.1804999999999</v>
      </c>
      <c r="B316" s="10">
        <v>989.25217999999995</v>
      </c>
      <c r="C316" s="10">
        <v>1988</v>
      </c>
      <c r="D316" s="28">
        <v>2</v>
      </c>
      <c r="E316" s="10">
        <v>39</v>
      </c>
      <c r="F316" s="10">
        <f>(C316-$AE$8)*EchelleFPAparam!$C$3/EchelleFPAparam!$E$3</f>
        <v>5.3809523809523804E-3</v>
      </c>
      <c r="AG316" s="29">
        <f>N411</f>
        <v>66.094453939534802</v>
      </c>
      <c r="AH316" s="29">
        <f>O411</f>
        <v>450</v>
      </c>
      <c r="AI316" s="10">
        <f t="shared" si="1"/>
        <v>70.380703939534797</v>
      </c>
    </row>
    <row r="317" spans="1:35" x14ac:dyDescent="0.2">
      <c r="A317" s="109"/>
      <c r="B317" s="10">
        <f>B316+(D316-1)*2048-3072+(D316-2)*EchelleFPAparam!$B$3/EchelleFPAparam!$C$3</f>
        <v>-34.747820000000047</v>
      </c>
      <c r="AG317" s="29">
        <f>N415</f>
        <v>66.093861584090433</v>
      </c>
      <c r="AH317" s="29">
        <f>O415</f>
        <v>450</v>
      </c>
      <c r="AI317" s="10">
        <f t="shared" si="1"/>
        <v>70.380111584090429</v>
      </c>
    </row>
    <row r="318" spans="1:35" x14ac:dyDescent="0.2">
      <c r="A318" s="109"/>
      <c r="B318" s="10">
        <f>B317*EchelleFPAparam!$C$3*COS(EchelleFPAparam!$AC$3)*$B$6</f>
        <v>-0.63153478885236669</v>
      </c>
      <c r="AG318" s="29">
        <f>N419</f>
        <v>66.093845348032545</v>
      </c>
      <c r="AH318" s="29">
        <f>O419</f>
        <v>450</v>
      </c>
      <c r="AI318" s="10">
        <f t="shared" si="1"/>
        <v>70.38009534803254</v>
      </c>
    </row>
    <row r="319" spans="1:35" x14ac:dyDescent="0.2">
      <c r="A319" s="109"/>
      <c r="B319" s="10">
        <f>ATAN(B318/EchelleFPAparam!$E$3)</f>
        <v>-4.1768171436966345E-4</v>
      </c>
      <c r="C319" s="29">
        <f>EchelleFPAparam!$M$3+$B319</f>
        <v>-5.6390391652702994E-2</v>
      </c>
      <c r="F319" s="10">
        <f>ASIN($E316*$A316/(COS(F316)*2*EchelleFPAparam!$S$3*COS(-$C319/2)))-$C319/2</f>
        <v>1.1452782004148085</v>
      </c>
      <c r="G319" s="29">
        <f>$F319*180/EchelleFPAparam!$O$3</f>
        <v>65.619606282719445</v>
      </c>
      <c r="H319" s="10">
        <v>500</v>
      </c>
      <c r="I319" s="10" t="str">
        <f>I315</f>
        <v>H</v>
      </c>
      <c r="J319" s="10">
        <f>A316</f>
        <v>1452.1804999999999</v>
      </c>
      <c r="K319" s="10">
        <f>B316+(D316-1)*2198</f>
        <v>3187.25218</v>
      </c>
      <c r="L319" s="30">
        <f>C316</f>
        <v>1988</v>
      </c>
      <c r="M319" s="10">
        <f>E316</f>
        <v>39</v>
      </c>
      <c r="N319" s="29">
        <f>G319</f>
        <v>65.619606282719445</v>
      </c>
      <c r="O319" s="10">
        <f>H319</f>
        <v>500</v>
      </c>
      <c r="AG319" s="29">
        <f>N423</f>
        <v>66.569131536734105</v>
      </c>
      <c r="AH319" s="29">
        <f>O423</f>
        <v>400</v>
      </c>
      <c r="AI319" s="10">
        <f t="shared" si="1"/>
        <v>70.379131536734107</v>
      </c>
    </row>
    <row r="320" spans="1:35" x14ac:dyDescent="0.2">
      <c r="A320" s="109">
        <v>1533.91572</v>
      </c>
      <c r="B320" s="10">
        <v>1670.3874000000001</v>
      </c>
      <c r="C320" s="10">
        <v>1570</v>
      </c>
      <c r="D320" s="28">
        <v>2</v>
      </c>
      <c r="E320" s="10">
        <v>37</v>
      </c>
      <c r="F320" s="10">
        <f>(C320-$AE$8)*EchelleFPAparam!$C$3/EchelleFPAparam!$E$3</f>
        <v>4.0476190476190473E-4</v>
      </c>
      <c r="AG320" s="29">
        <f>N427</f>
        <v>66.571205760956715</v>
      </c>
      <c r="AH320" s="29">
        <f>O427</f>
        <v>400</v>
      </c>
      <c r="AI320" s="10">
        <f t="shared" si="1"/>
        <v>70.381205760956718</v>
      </c>
    </row>
    <row r="321" spans="1:35" x14ac:dyDescent="0.2">
      <c r="A321" s="109"/>
      <c r="B321" s="10">
        <f>B320+(D320-1)*2048-3072+(D320-2)*EchelleFPAparam!$B$3/EchelleFPAparam!$C$3</f>
        <v>646.38740000000007</v>
      </c>
      <c r="AG321" s="29">
        <f>N431</f>
        <v>66.570680206607236</v>
      </c>
      <c r="AH321" s="29">
        <f>O431</f>
        <v>400</v>
      </c>
      <c r="AI321" s="10">
        <f t="shared" si="1"/>
        <v>70.380680206607238</v>
      </c>
    </row>
    <row r="322" spans="1:35" x14ac:dyDescent="0.2">
      <c r="A322" s="109"/>
      <c r="B322" s="10">
        <f>B321*EchelleFPAparam!$C$3*COS(EchelleFPAparam!$AC$3)*$B$6</f>
        <v>11.747963762210976</v>
      </c>
      <c r="AG322" s="29">
        <f>N435</f>
        <v>67.043500733512488</v>
      </c>
      <c r="AH322" s="29">
        <f>O435</f>
        <v>350</v>
      </c>
      <c r="AI322" s="10">
        <f t="shared" si="1"/>
        <v>70.377250733512483</v>
      </c>
    </row>
    <row r="323" spans="1:35" x14ac:dyDescent="0.2">
      <c r="A323" s="109"/>
      <c r="B323" s="10">
        <f>ATAN(B322/EchelleFPAparam!$E$3)</f>
        <v>7.7696609539315174E-3</v>
      </c>
      <c r="C323" s="29">
        <f>EchelleFPAparam!$M$3+$B323</f>
        <v>-4.8203048984401815E-2</v>
      </c>
      <c r="F323" s="10">
        <f>ASIN($E320*$A320/(COS(F320)*2*EchelleFPAparam!$S$3*COS(-$C323/2)))-$C323/2</f>
        <v>1.1452915682459643</v>
      </c>
      <c r="G323" s="29">
        <f>$F323*180/EchelleFPAparam!$O$3</f>
        <v>65.620372203014597</v>
      </c>
      <c r="H323" s="10">
        <v>500</v>
      </c>
      <c r="I323" s="10" t="str">
        <f>I319</f>
        <v>H</v>
      </c>
      <c r="J323" s="10">
        <f>A320</f>
        <v>1533.91572</v>
      </c>
      <c r="K323" s="10">
        <f>B320+(D320-1)*2198</f>
        <v>3868.3874000000001</v>
      </c>
      <c r="L323" s="30">
        <f>C320</f>
        <v>1570</v>
      </c>
      <c r="M323" s="10">
        <f>E320</f>
        <v>37</v>
      </c>
      <c r="N323" s="29">
        <f>G323</f>
        <v>65.620372203014597</v>
      </c>
      <c r="O323" s="10">
        <f>H323</f>
        <v>500</v>
      </c>
      <c r="AG323" s="29">
        <f>N439</f>
        <v>67.043921062847176</v>
      </c>
      <c r="AH323" s="29">
        <f>O439</f>
        <v>350</v>
      </c>
      <c r="AI323" s="10">
        <f t="shared" si="1"/>
        <v>70.37767106284717</v>
      </c>
    </row>
    <row r="324" spans="1:35" x14ac:dyDescent="0.2">
      <c r="A324" s="109">
        <v>1577.6153899999999</v>
      </c>
      <c r="B324" s="10">
        <v>1899.8431</v>
      </c>
      <c r="C324" s="10">
        <v>1342</v>
      </c>
      <c r="D324" s="28">
        <v>2</v>
      </c>
      <c r="E324" s="10">
        <v>36</v>
      </c>
      <c r="F324" s="10">
        <f>(C324-$AE$8)*EchelleFPAparam!$C$3/EchelleFPAparam!$E$3</f>
        <v>-2.3095238095238091E-3</v>
      </c>
    </row>
    <row r="325" spans="1:35" x14ac:dyDescent="0.2">
      <c r="A325" s="109"/>
      <c r="B325" s="10">
        <f>B324+(D324-1)*2048-3072+(D324-2)*EchelleFPAparam!$B$3/EchelleFPAparam!$C$3</f>
        <v>875.84310000000005</v>
      </c>
      <c r="AG325" s="10">
        <f>INDEX(LINEST(AG284:AG323,AH284:AH323),2)</f>
        <v>70.379359177254031</v>
      </c>
      <c r="AH325" s="10">
        <f>INDEX(LINEST(AG284:AG323,AH284:AH323),1)</f>
        <v>-9.5222124746210425E-3</v>
      </c>
      <c r="AI325" s="10">
        <f>GEOMEAN(AI297:AI323)</f>
        <v>70.380437962887314</v>
      </c>
    </row>
    <row r="326" spans="1:35" x14ac:dyDescent="0.2">
      <c r="A326" s="109"/>
      <c r="B326" s="10">
        <f>B325*EchelleFPAparam!$C$3*COS(EchelleFPAparam!$AC$3)*$B$6</f>
        <v>15.918275944398857</v>
      </c>
      <c r="AG326" s="29"/>
      <c r="AH326" s="29"/>
    </row>
    <row r="327" spans="1:35" x14ac:dyDescent="0.2">
      <c r="A327" s="109"/>
      <c r="B327" s="10">
        <f>ATAN(B326/EchelleFPAparam!$E$3)</f>
        <v>1.052757134071544E-2</v>
      </c>
      <c r="C327" s="29">
        <f>EchelleFPAparam!$M$3+$B327</f>
        <v>-4.5445138597617889E-2</v>
      </c>
      <c r="F327" s="10">
        <f>ASIN($E324*$A324/(COS(F324)*2*EchelleFPAparam!$S$3*COS(-$C327/2)))-$C327/2</f>
        <v>1.1452868906076918</v>
      </c>
      <c r="G327" s="29">
        <f>$F327*180/EchelleFPAparam!$O$3</f>
        <v>65.62010419408746</v>
      </c>
      <c r="H327" s="10">
        <v>500</v>
      </c>
      <c r="I327" s="10" t="s">
        <v>355</v>
      </c>
      <c r="J327" s="10">
        <f>A324</f>
        <v>1577.6153899999999</v>
      </c>
      <c r="K327" s="10">
        <f>B324+(D324-1)*2198</f>
        <v>4097.8431</v>
      </c>
      <c r="L327" s="30">
        <f>C324</f>
        <v>1342</v>
      </c>
      <c r="M327" s="10">
        <f>E324</f>
        <v>36</v>
      </c>
      <c r="N327" s="29">
        <f>G327</f>
        <v>65.62010419408746</v>
      </c>
      <c r="O327" s="10">
        <f>H327</f>
        <v>500</v>
      </c>
      <c r="AG327" s="29"/>
      <c r="AH327" s="29"/>
    </row>
    <row r="328" spans="1:35" x14ac:dyDescent="0.2">
      <c r="A328" s="109">
        <v>1568.5307399999999</v>
      </c>
      <c r="B328" s="10">
        <v>38.243917000000003</v>
      </c>
      <c r="C328" s="10">
        <v>1343</v>
      </c>
      <c r="D328" s="28">
        <v>2</v>
      </c>
      <c r="E328" s="10">
        <v>36</v>
      </c>
      <c r="F328" s="10">
        <f>(C328-$AE$8)*EchelleFPAparam!$C$3/EchelleFPAparam!$E$3</f>
        <v>-2.2976190476190475E-3</v>
      </c>
      <c r="AG328" s="29"/>
      <c r="AH328" s="29"/>
    </row>
    <row r="329" spans="1:35" x14ac:dyDescent="0.2">
      <c r="A329" s="109"/>
      <c r="B329" s="10">
        <f>B328+(D328-1)*2048-3072+(D328-2)*EchelleFPAparam!$B$3/EchelleFPAparam!$C$3</f>
        <v>-985.75608300000022</v>
      </c>
    </row>
    <row r="330" spans="1:35" x14ac:dyDescent="0.2">
      <c r="A330" s="109"/>
      <c r="B330" s="10">
        <f>B329*EchelleFPAparam!$C$3*COS(EchelleFPAparam!$AC$3)*$B$6</f>
        <v>-17.915922775510531</v>
      </c>
      <c r="AG330" s="29"/>
      <c r="AH330" s="29"/>
    </row>
    <row r="331" spans="1:35" x14ac:dyDescent="0.2">
      <c r="A331" s="109"/>
      <c r="B331" s="10">
        <f>ATAN(B330/EchelleFPAparam!$E$3)</f>
        <v>-1.1848600771254976E-2</v>
      </c>
      <c r="C331" s="29">
        <f>EchelleFPAparam!$M$3+$B331</f>
        <v>-6.7821310709588301E-2</v>
      </c>
      <c r="F331" s="10">
        <f>ASIN($E328*$A328/(COS(F328)*2*EchelleFPAparam!$S$3*COS(-$C331/2)))-$C331/2</f>
        <v>1.1452852345695679</v>
      </c>
      <c r="G331" s="29">
        <f>$F331*180/EchelleFPAparam!$O$3</f>
        <v>65.62000931009365</v>
      </c>
      <c r="H331" s="10">
        <v>500</v>
      </c>
      <c r="I331" s="10" t="str">
        <f>I327</f>
        <v>H</v>
      </c>
      <c r="J331" s="10">
        <f>A328</f>
        <v>1568.5307399999999</v>
      </c>
      <c r="K331" s="10">
        <f>B328+(D328-1)*2198</f>
        <v>2236.2439169999998</v>
      </c>
      <c r="L331" s="30">
        <f>C328</f>
        <v>1343</v>
      </c>
      <c r="M331" s="10">
        <f>E328</f>
        <v>36</v>
      </c>
      <c r="N331" s="29">
        <f>G331</f>
        <v>65.62000931009365</v>
      </c>
      <c r="O331" s="10">
        <f>H331</f>
        <v>500</v>
      </c>
      <c r="AG331" s="29"/>
      <c r="AH331" s="29"/>
    </row>
    <row r="332" spans="1:35" x14ac:dyDescent="0.2">
      <c r="A332" s="109">
        <v>1497.80375</v>
      </c>
      <c r="B332" s="10">
        <v>424.75698</v>
      </c>
      <c r="C332" s="10">
        <v>1784</v>
      </c>
      <c r="D332" s="28">
        <v>3</v>
      </c>
      <c r="E332" s="10">
        <v>38</v>
      </c>
      <c r="F332" s="10">
        <f>(C332-$AE$8)*EchelleFPAparam!$C$3/EchelleFPAparam!$E$3</f>
        <v>2.952380952380952E-3</v>
      </c>
      <c r="AG332" s="29"/>
      <c r="AH332" s="29"/>
    </row>
    <row r="333" spans="1:35" x14ac:dyDescent="0.2">
      <c r="A333" s="109"/>
      <c r="B333" s="10">
        <f>B332+(D332-1)*2048-3072+(D332-2)*EchelleFPAparam!$B$3/EchelleFPAparam!$C$3</f>
        <v>1593.7569800000001</v>
      </c>
    </row>
    <row r="334" spans="1:35" x14ac:dyDescent="0.2">
      <c r="A334" s="109"/>
      <c r="B334" s="10">
        <f>B333*EchelleFPAparam!$C$3*COS(EchelleFPAparam!$AC$3)*$B$6</f>
        <v>28.966219401570637</v>
      </c>
      <c r="AG334" s="29"/>
      <c r="AH334" s="29"/>
    </row>
    <row r="335" spans="1:35" x14ac:dyDescent="0.2">
      <c r="A335" s="109"/>
      <c r="B335" s="10">
        <f>ATAN(B334/EchelleFPAparam!$E$3)</f>
        <v>1.915520934749888E-2</v>
      </c>
      <c r="C335" s="29">
        <f>EchelleFPAparam!$M$3+$B335</f>
        <v>-3.6817500590834454E-2</v>
      </c>
      <c r="F335" s="10">
        <f>ASIN($E332*$A332/(COS(F332)*2*EchelleFPAparam!$S$3*COS(-$C335/2)))-$C335/2</f>
        <v>1.1452923964639048</v>
      </c>
      <c r="G335" s="29">
        <f>$F335*180/EchelleFPAparam!$O$3</f>
        <v>65.620419656406398</v>
      </c>
      <c r="H335" s="10">
        <v>500</v>
      </c>
      <c r="I335" s="10" t="str">
        <f>I331</f>
        <v>H</v>
      </c>
      <c r="J335" s="10">
        <f>A332</f>
        <v>1497.80375</v>
      </c>
      <c r="K335" s="10">
        <f>B332+(D332-1)*2198</f>
        <v>4820.7569800000001</v>
      </c>
      <c r="L335" s="30">
        <f>C332</f>
        <v>1784</v>
      </c>
      <c r="M335" s="10">
        <f>E332</f>
        <v>38</v>
      </c>
      <c r="N335" s="29">
        <f>G335</f>
        <v>65.620419656406398</v>
      </c>
      <c r="O335" s="10">
        <f>H335</f>
        <v>500</v>
      </c>
      <c r="AG335" s="29"/>
      <c r="AH335" s="29"/>
    </row>
    <row r="336" spans="1:35" x14ac:dyDescent="0.2">
      <c r="A336" s="109">
        <v>1500.9407900000001</v>
      </c>
      <c r="B336" s="10">
        <v>1135.2399</v>
      </c>
      <c r="C336" s="10">
        <v>1784</v>
      </c>
      <c r="D336" s="28">
        <v>3</v>
      </c>
      <c r="E336" s="10">
        <v>38</v>
      </c>
      <c r="F336" s="10">
        <f>(C336-$AE$8)*EchelleFPAparam!$C$3/EchelleFPAparam!$E$3</f>
        <v>2.952380952380952E-3</v>
      </c>
      <c r="AG336" s="29"/>
      <c r="AH336" s="29"/>
    </row>
    <row r="337" spans="1:34" x14ac:dyDescent="0.2">
      <c r="A337" s="109"/>
      <c r="B337" s="10">
        <f>B336+(D336-1)*2048-3072+(D336-2)*EchelleFPAparam!$B$3/EchelleFPAparam!$C$3</f>
        <v>2304.2399000000005</v>
      </c>
    </row>
    <row r="338" spans="1:34" x14ac:dyDescent="0.2">
      <c r="A338" s="109"/>
      <c r="B338" s="10">
        <f>B337*EchelleFPAparam!$C$3*COS(EchelleFPAparam!$AC$3)*$B$6</f>
        <v>41.879106623428378</v>
      </c>
      <c r="AG338" s="29"/>
      <c r="AH338" s="29"/>
    </row>
    <row r="339" spans="1:34" x14ac:dyDescent="0.2">
      <c r="A339" s="109"/>
      <c r="B339" s="10">
        <f>ATAN(B338/EchelleFPAparam!$E$3)</f>
        <v>2.7690742126225125E-2</v>
      </c>
      <c r="C339" s="29">
        <f>EchelleFPAparam!$M$3+$B339</f>
        <v>-2.8281967812108205E-2</v>
      </c>
      <c r="F339" s="10">
        <f>ASIN($E336*$A336/(COS(F336)*2*EchelleFPAparam!$S$3*COS(-$C339/2)))-$C339/2</f>
        <v>1.1453015513004063</v>
      </c>
      <c r="G339" s="29">
        <f>$F339*180/EchelleFPAparam!$O$3</f>
        <v>65.620944189892327</v>
      </c>
      <c r="H339" s="10">
        <v>500</v>
      </c>
      <c r="I339" s="10" t="str">
        <f>I335</f>
        <v>H</v>
      </c>
      <c r="J339" s="10">
        <f>A336</f>
        <v>1500.9407900000001</v>
      </c>
      <c r="K339" s="10">
        <f>B336+(D336-1)*2198</f>
        <v>5531.2399000000005</v>
      </c>
      <c r="L339" s="30">
        <f>C336</f>
        <v>1784</v>
      </c>
      <c r="M339" s="10">
        <f>E336</f>
        <v>38</v>
      </c>
      <c r="N339" s="29">
        <f>G339</f>
        <v>65.620944189892327</v>
      </c>
      <c r="O339" s="10">
        <f>H339</f>
        <v>500</v>
      </c>
      <c r="AG339" s="29"/>
      <c r="AH339" s="29"/>
    </row>
    <row r="340" spans="1:34" x14ac:dyDescent="0.2">
      <c r="A340" s="109">
        <v>1539.91786</v>
      </c>
      <c r="B340" s="10">
        <v>781.95209</v>
      </c>
      <c r="C340" s="10">
        <v>1568</v>
      </c>
      <c r="D340" s="28">
        <v>3</v>
      </c>
      <c r="E340" s="10">
        <v>37</v>
      </c>
      <c r="F340" s="10">
        <f>(C340-$AE$8)*EchelleFPAparam!$C$3/EchelleFPAparam!$E$3</f>
        <v>3.8095238095238091E-4</v>
      </c>
      <c r="AG340" s="29"/>
      <c r="AH340" s="29"/>
    </row>
    <row r="341" spans="1:34" x14ac:dyDescent="0.2">
      <c r="A341" s="109"/>
      <c r="B341" s="10">
        <f>B340+(D340-1)*2048-3072+(D340-2)*EchelleFPAparam!$B$3/EchelleFPAparam!$C$3</f>
        <v>1950.9520899999998</v>
      </c>
    </row>
    <row r="342" spans="1:34" x14ac:dyDescent="0.2">
      <c r="A342" s="109"/>
      <c r="B342" s="10">
        <f>B341*EchelleFPAparam!$C$3*COS(EchelleFPAparam!$AC$3)*$B$6</f>
        <v>35.458170216699401</v>
      </c>
      <c r="AG342" s="29"/>
      <c r="AH342" s="29"/>
    </row>
    <row r="343" spans="1:34" x14ac:dyDescent="0.2">
      <c r="A343" s="109"/>
      <c r="B343" s="10">
        <f>ATAN(B342/EchelleFPAparam!$E$3)</f>
        <v>2.344687314787175E-2</v>
      </c>
      <c r="C343" s="29">
        <f>EchelleFPAparam!$M$3+$B343</f>
        <v>-3.2525836790461581E-2</v>
      </c>
      <c r="F343" s="10">
        <f>ASIN($E340*$A340/(COS(F340)*2*EchelleFPAparam!$S$3*COS(-$C343/2)))-$C343/2</f>
        <v>1.145296206578537</v>
      </c>
      <c r="G343" s="29">
        <f>$F343*180/EchelleFPAparam!$O$3</f>
        <v>65.62063795989107</v>
      </c>
      <c r="H343" s="10">
        <v>500</v>
      </c>
      <c r="I343" s="10" t="str">
        <f>I339</f>
        <v>H</v>
      </c>
      <c r="J343" s="10">
        <f>A340</f>
        <v>1539.91786</v>
      </c>
      <c r="K343" s="10">
        <f>B340+(D340-1)*2198</f>
        <v>5177.9520899999998</v>
      </c>
      <c r="L343" s="30">
        <f>C340</f>
        <v>1568</v>
      </c>
      <c r="M343" s="10">
        <f>E340</f>
        <v>37</v>
      </c>
      <c r="N343" s="29">
        <f>G343</f>
        <v>65.62063795989107</v>
      </c>
      <c r="O343" s="10">
        <f>H343</f>
        <v>500</v>
      </c>
      <c r="AG343" s="29"/>
      <c r="AH343" s="29"/>
    </row>
    <row r="344" spans="1:34" x14ac:dyDescent="0.2">
      <c r="A344" s="109">
        <v>1582.44111</v>
      </c>
      <c r="B344" s="10">
        <v>729.57956000000001</v>
      </c>
      <c r="C344" s="10">
        <v>1340</v>
      </c>
      <c r="D344" s="28">
        <v>3</v>
      </c>
      <c r="E344" s="10">
        <v>36</v>
      </c>
      <c r="F344" s="10">
        <f>(C344-$AE$8)*EchelleFPAparam!$C$3/EchelleFPAparam!$E$3</f>
        <v>-2.3333333333333331E-3</v>
      </c>
      <c r="AG344" s="29"/>
      <c r="AH344" s="29"/>
    </row>
    <row r="345" spans="1:34" x14ac:dyDescent="0.2">
      <c r="A345" s="109"/>
      <c r="B345" s="10">
        <f>B344+(D344-1)*2048-3072+(D344-2)*EchelleFPAparam!$B$3/EchelleFPAparam!$C$3</f>
        <v>1898.5795600000001</v>
      </c>
    </row>
    <row r="346" spans="1:34" x14ac:dyDescent="0.2">
      <c r="A346" s="109"/>
      <c r="B346" s="10">
        <f>B345*EchelleFPAparam!$C$3*COS(EchelleFPAparam!$AC$3)*$B$6</f>
        <v>34.506309792787512</v>
      </c>
      <c r="AG346" s="29"/>
      <c r="AH346" s="29"/>
    </row>
    <row r="347" spans="1:34" x14ac:dyDescent="0.2">
      <c r="A347" s="109"/>
      <c r="B347" s="10">
        <f>ATAN(B346/EchelleFPAparam!$E$3)</f>
        <v>2.2817672657888199E-2</v>
      </c>
      <c r="C347" s="29">
        <f>EchelleFPAparam!$M$3+$B347</f>
        <v>-3.3155037280445131E-2</v>
      </c>
      <c r="F347" s="10">
        <f>ASIN($E344*$A344/(COS(F344)*2*EchelleFPAparam!$S$3*COS(-$C347/2)))-$C347/2</f>
        <v>1.1452904427814479</v>
      </c>
      <c r="G347" s="29">
        <f>$F347*180/EchelleFPAparam!$O$3</f>
        <v>65.62030771864876</v>
      </c>
      <c r="H347" s="10">
        <v>500</v>
      </c>
      <c r="I347" s="10" t="str">
        <f>I343</f>
        <v>H</v>
      </c>
      <c r="J347" s="10">
        <f>A344</f>
        <v>1582.44111</v>
      </c>
      <c r="K347" s="10">
        <f>B344+(D344-1)*2198</f>
        <v>5125.5795600000001</v>
      </c>
      <c r="L347" s="30">
        <f>C344</f>
        <v>1340</v>
      </c>
      <c r="M347" s="10">
        <f>E344</f>
        <v>36</v>
      </c>
      <c r="N347" s="29">
        <f>G347</f>
        <v>65.62030771864876</v>
      </c>
      <c r="O347" s="10">
        <f>H347</f>
        <v>500</v>
      </c>
      <c r="AG347" s="29"/>
      <c r="AH347" s="29"/>
    </row>
    <row r="348" spans="1:34" x14ac:dyDescent="0.2">
      <c r="A348" s="109">
        <v>1631.97136</v>
      </c>
      <c r="B348" s="10">
        <v>1646.3426999999999</v>
      </c>
      <c r="C348" s="10">
        <v>1095</v>
      </c>
      <c r="D348" s="28">
        <v>3</v>
      </c>
      <c r="E348" s="10">
        <v>35</v>
      </c>
      <c r="F348" s="10">
        <f>(C348-$AE$8)*EchelleFPAparam!$C$3/EchelleFPAparam!$E$3</f>
        <v>-5.2499999999999995E-3</v>
      </c>
      <c r="AG348" s="29"/>
      <c r="AH348" s="29"/>
    </row>
    <row r="349" spans="1:34" x14ac:dyDescent="0.2">
      <c r="A349" s="109"/>
      <c r="B349" s="10">
        <f>B348+(D348-1)*2048-3072+(D348-2)*EchelleFPAparam!$B$3/EchelleFPAparam!$C$3</f>
        <v>2815.3427000000001</v>
      </c>
    </row>
    <row r="350" spans="1:34" x14ac:dyDescent="0.2">
      <c r="A350" s="109"/>
      <c r="B350" s="10">
        <f>B349*EchelleFPAparam!$C$3*COS(EchelleFPAparam!$AC$3)*$B$6</f>
        <v>51.16829940961906</v>
      </c>
      <c r="AG350" s="29"/>
      <c r="AH350" s="29"/>
    </row>
    <row r="351" spans="1:34" x14ac:dyDescent="0.2">
      <c r="A351" s="109"/>
      <c r="B351" s="10">
        <f>ATAN(B350/EchelleFPAparam!$E$3)</f>
        <v>3.3828557810089969E-2</v>
      </c>
      <c r="C351" s="29">
        <f>EchelleFPAparam!$M$3+$B351</f>
        <v>-2.2144152128243361E-2</v>
      </c>
      <c r="F351" s="10">
        <f>ASIN($E348*$A348/(COS(F348)*2*EchelleFPAparam!$S$3*COS(-$C351/2)))-$C351/2</f>
        <v>1.1452834750646448</v>
      </c>
      <c r="G351" s="29">
        <f>$F351*180/EchelleFPAparam!$O$3</f>
        <v>65.619908497889</v>
      </c>
      <c r="H351" s="10">
        <v>500</v>
      </c>
      <c r="I351" s="10" t="s">
        <v>355</v>
      </c>
      <c r="J351" s="10">
        <f>A348</f>
        <v>1631.97136</v>
      </c>
      <c r="K351" s="10">
        <f>B348+(D348-1)*2198</f>
        <v>6042.3427000000001</v>
      </c>
      <c r="L351" s="30">
        <f>C348</f>
        <v>1095</v>
      </c>
      <c r="M351" s="10">
        <f>E348</f>
        <v>35</v>
      </c>
      <c r="N351" s="29">
        <f>G351</f>
        <v>65.619908497889</v>
      </c>
      <c r="O351" s="10">
        <f>H351</f>
        <v>500</v>
      </c>
      <c r="AG351" s="29"/>
      <c r="AH351" s="29"/>
    </row>
    <row r="352" spans="1:34" x14ac:dyDescent="0.2">
      <c r="A352" s="109">
        <v>1678.97191</v>
      </c>
      <c r="B352" s="10">
        <v>1448.1569999999999</v>
      </c>
      <c r="C352" s="10">
        <v>838</v>
      </c>
      <c r="D352" s="28">
        <v>3</v>
      </c>
      <c r="E352" s="10">
        <v>34</v>
      </c>
      <c r="F352" s="10">
        <f>(C352-$AE$8)*EchelleFPAparam!$C$3/EchelleFPAparam!$E$3</f>
        <v>-8.3095238095238083E-3</v>
      </c>
      <c r="AG352" s="29"/>
      <c r="AH352" s="29"/>
    </row>
    <row r="353" spans="1:34" x14ac:dyDescent="0.2">
      <c r="A353" s="109"/>
      <c r="B353" s="10">
        <f>B352+(D352-1)*2048-3072+(D352-2)*EchelleFPAparam!$B$3/EchelleFPAparam!$C$3</f>
        <v>2617.1570000000002</v>
      </c>
    </row>
    <row r="354" spans="1:34" x14ac:dyDescent="0.2">
      <c r="A354" s="109"/>
      <c r="B354" s="10">
        <f>B353*EchelleFPAparam!$C$3*COS(EchelleFPAparam!$AC$3)*$B$6</f>
        <v>47.566313322346303</v>
      </c>
      <c r="AG354" s="29"/>
      <c r="AH354" s="29"/>
    </row>
    <row r="355" spans="1:34" x14ac:dyDescent="0.2">
      <c r="A355" s="109"/>
      <c r="B355" s="10">
        <f>ATAN(B354/EchelleFPAparam!$E$3)</f>
        <v>3.1448829895553407E-2</v>
      </c>
      <c r="C355" s="29">
        <f>EchelleFPAparam!$M$3+$B355</f>
        <v>-2.4523880042779923E-2</v>
      </c>
      <c r="F355" s="10">
        <f>ASIN($E352*$A352/(COS(F352)*2*EchelleFPAparam!$S$3*COS(-$C355/2)))-$C355/2</f>
        <v>1.145275143978868</v>
      </c>
      <c r="G355" s="29">
        <f>$F355*180/EchelleFPAparam!$O$3</f>
        <v>65.619431161842286</v>
      </c>
      <c r="H355" s="10">
        <v>500</v>
      </c>
      <c r="I355" s="10" t="str">
        <f>I351</f>
        <v>H</v>
      </c>
      <c r="J355" s="10">
        <f>A352</f>
        <v>1678.97191</v>
      </c>
      <c r="K355" s="10">
        <f>B352+(D352-1)*2198</f>
        <v>5844.1570000000002</v>
      </c>
      <c r="L355" s="30">
        <f>C352</f>
        <v>838</v>
      </c>
      <c r="M355" s="10">
        <f>E352</f>
        <v>34</v>
      </c>
      <c r="N355" s="29">
        <f>G355</f>
        <v>65.619431161842286</v>
      </c>
      <c r="O355" s="10">
        <f>H355</f>
        <v>500</v>
      </c>
    </row>
    <row r="356" spans="1:34" x14ac:dyDescent="0.2">
      <c r="A356" s="109">
        <v>1784.76261</v>
      </c>
      <c r="B356" s="10">
        <v>1647.8027</v>
      </c>
      <c r="C356" s="10">
        <v>268</v>
      </c>
      <c r="D356" s="28">
        <v>3</v>
      </c>
      <c r="E356" s="10">
        <v>32</v>
      </c>
      <c r="F356" s="10">
        <f>(C356-$AE$8)*EchelleFPAparam!$C$3/EchelleFPAparam!$E$3</f>
        <v>-1.5095238095238094E-2</v>
      </c>
      <c r="AG356" s="29"/>
      <c r="AH356" s="29"/>
    </row>
    <row r="357" spans="1:34" x14ac:dyDescent="0.2">
      <c r="A357" s="109"/>
      <c r="B357" s="10">
        <f>B356+(D356-1)*2048-3072+(D356-2)*EchelleFPAparam!$B$3/EchelleFPAparam!$C$3</f>
        <v>2816.8027000000002</v>
      </c>
      <c r="AG357" s="29"/>
      <c r="AH357" s="29"/>
    </row>
    <row r="358" spans="1:34" x14ac:dyDescent="0.2">
      <c r="A358" s="109"/>
      <c r="B358" s="10">
        <f>B357*EchelleFPAparam!$C$3*COS(EchelleFPAparam!$AC$3)*$B$6</f>
        <v>51.194834622237423</v>
      </c>
      <c r="AG358" s="29"/>
      <c r="AH358" s="29"/>
    </row>
    <row r="359" spans="1:34" x14ac:dyDescent="0.2">
      <c r="A359" s="109"/>
      <c r="B359" s="10">
        <f>ATAN(B358/EchelleFPAparam!$E$3)</f>
        <v>3.3846087467720533E-2</v>
      </c>
      <c r="C359" s="29">
        <f>EchelleFPAparam!$M$3+$B359</f>
        <v>-2.2126622470612797E-2</v>
      </c>
      <c r="F359" s="10">
        <f>ASIN($E356*$A356/(COS(F356)*2*EchelleFPAparam!$S$3*COS(-$C359/2)))-$C359/2</f>
        <v>1.1452417248263935</v>
      </c>
      <c r="G359" s="29">
        <f>$F359*180/EchelleFPAparam!$O$3</f>
        <v>65.617516385478879</v>
      </c>
      <c r="H359" s="10">
        <v>500</v>
      </c>
      <c r="I359" s="10" t="str">
        <f>I355</f>
        <v>H</v>
      </c>
      <c r="J359" s="10">
        <f>A356</f>
        <v>1784.76261</v>
      </c>
      <c r="K359" s="10">
        <f>B356+(D356-1)*2198</f>
        <v>6043.8027000000002</v>
      </c>
      <c r="L359" s="30">
        <f>C356</f>
        <v>268</v>
      </c>
      <c r="M359" s="10">
        <f>E356</f>
        <v>32</v>
      </c>
      <c r="N359" s="29">
        <f>G359</f>
        <v>65.617516385478879</v>
      </c>
      <c r="O359" s="10">
        <f>H359</f>
        <v>500</v>
      </c>
      <c r="AG359" s="29"/>
      <c r="AH359" s="29"/>
    </row>
    <row r="360" spans="1:34" x14ac:dyDescent="0.2">
      <c r="A360" s="109">
        <v>1723.54297</v>
      </c>
      <c r="B360" s="10">
        <v>215.49804</v>
      </c>
      <c r="C360" s="10">
        <v>569</v>
      </c>
      <c r="D360" s="28">
        <v>3</v>
      </c>
      <c r="E360" s="10">
        <v>33</v>
      </c>
      <c r="F360" s="10">
        <f>(C360-$AE$8)*EchelleFPAparam!$C$3/EchelleFPAparam!$E$3</f>
        <v>-1.1511904761904761E-2</v>
      </c>
      <c r="AG360" s="29"/>
      <c r="AH360" s="29"/>
    </row>
    <row r="361" spans="1:34" x14ac:dyDescent="0.2">
      <c r="A361" s="109"/>
      <c r="B361" s="10">
        <f>B360+(D360-1)*2048-3072+(D360-2)*EchelleFPAparam!$B$3/EchelleFPAparam!$C$3</f>
        <v>1384.4980400000004</v>
      </c>
      <c r="AG361" s="29"/>
      <c r="AH361" s="29"/>
    </row>
    <row r="362" spans="1:34" x14ac:dyDescent="0.2">
      <c r="A362" s="109"/>
      <c r="B362" s="10">
        <f>B361*EchelleFPAparam!$C$3*COS(EchelleFPAparam!$AC$3)*$B$6</f>
        <v>25.162979356918349</v>
      </c>
    </row>
    <row r="363" spans="1:34" x14ac:dyDescent="0.2">
      <c r="A363" s="109"/>
      <c r="B363" s="10">
        <f>ATAN(B362/EchelleFPAparam!$E$3)</f>
        <v>1.6640645951032762E-2</v>
      </c>
      <c r="C363" s="29">
        <f>EchelleFPAparam!$M$3+$B363</f>
        <v>-3.9332063987300568E-2</v>
      </c>
      <c r="F363" s="10">
        <f>ASIN($E360*$A360/(COS(F360)*2*EchelleFPAparam!$S$3*COS(-$C363/2)))-$C363/2</f>
        <v>1.1452678938857932</v>
      </c>
      <c r="G363" s="29">
        <f>$F363*180/EchelleFPAparam!$O$3</f>
        <v>65.619015762114159</v>
      </c>
      <c r="H363" s="10">
        <v>500</v>
      </c>
      <c r="I363" s="10" t="str">
        <f>I359</f>
        <v>H</v>
      </c>
      <c r="J363" s="10">
        <f>A360</f>
        <v>1723.54297</v>
      </c>
      <c r="K363" s="10">
        <f>B360+(D360-1)*2198</f>
        <v>4611.4980400000004</v>
      </c>
      <c r="L363" s="30">
        <f>C360</f>
        <v>569</v>
      </c>
      <c r="M363" s="10">
        <f>E360</f>
        <v>33</v>
      </c>
      <c r="N363" s="29">
        <f>G363</f>
        <v>65.619015762114159</v>
      </c>
      <c r="O363" s="10">
        <f>H363</f>
        <v>500</v>
      </c>
    </row>
    <row r="364" spans="1:34" x14ac:dyDescent="0.2">
      <c r="A364" s="109">
        <v>1476.67118</v>
      </c>
      <c r="B364" s="10">
        <v>1593.2059999999999</v>
      </c>
      <c r="C364" s="10">
        <v>1820</v>
      </c>
      <c r="D364" s="28">
        <v>1</v>
      </c>
      <c r="E364" s="10">
        <v>38</v>
      </c>
      <c r="F364" s="10">
        <f>(C364-$AE$8)*EchelleFPAparam!$C$3/EchelleFPAparam!$E$3</f>
        <v>3.3809523809523803E-3</v>
      </c>
    </row>
    <row r="365" spans="1:34" x14ac:dyDescent="0.2">
      <c r="A365" s="109"/>
      <c r="B365" s="10">
        <f>B364+(D364-1)*2048-3072+(D364-2)*EchelleFPAparam!$B$3/EchelleFPAparam!$C$3</f>
        <v>-1623.7940000000001</v>
      </c>
    </row>
    <row r="366" spans="1:34" x14ac:dyDescent="0.2">
      <c r="A366" s="109"/>
      <c r="B366" s="10">
        <f>B365*EchelleFPAparam!$C$3*COS(EchelleFPAparam!$AC$3)*$B$6</f>
        <v>-29.512136327681521</v>
      </c>
    </row>
    <row r="367" spans="1:34" x14ac:dyDescent="0.2">
      <c r="A367" s="109"/>
      <c r="B367" s="10">
        <f>ATAN(B366/EchelleFPAparam!$E$3)</f>
        <v>-1.9516130541065799E-2</v>
      </c>
      <c r="C367" s="29">
        <f>EchelleFPAparam!$M$3+$B367</f>
        <v>-7.5488840479399133E-2</v>
      </c>
      <c r="F367" s="10">
        <f>ASIN($E364*$A364/(COS(F364)*2*EchelleFPAparam!$S$3*COS(-$C367/2)))-$C367/2</f>
        <v>1.136894330326053</v>
      </c>
      <c r="G367" s="29">
        <f>$F367*180/EchelleFPAparam!$O$3</f>
        <v>65.139245917744063</v>
      </c>
      <c r="H367" s="10">
        <v>550</v>
      </c>
      <c r="I367" s="10" t="str">
        <f>I363</f>
        <v>H</v>
      </c>
      <c r="J367" s="10">
        <f>A364</f>
        <v>1476.67118</v>
      </c>
      <c r="K367" s="10">
        <f>B364+(D364-1)*2198</f>
        <v>1593.2059999999999</v>
      </c>
      <c r="L367" s="30">
        <f>C364</f>
        <v>1820</v>
      </c>
      <c r="M367" s="10">
        <f>E364</f>
        <v>38</v>
      </c>
      <c r="N367" s="29">
        <f>G367</f>
        <v>65.139245917744063</v>
      </c>
      <c r="O367" s="10">
        <f>H367</f>
        <v>550</v>
      </c>
    </row>
    <row r="368" spans="1:34" x14ac:dyDescent="0.2">
      <c r="A368" s="109">
        <v>1524.37861</v>
      </c>
      <c r="B368" s="10">
        <v>980.54431</v>
      </c>
      <c r="C368" s="10">
        <v>1605</v>
      </c>
      <c r="D368" s="28">
        <v>2</v>
      </c>
      <c r="E368" s="10">
        <v>37</v>
      </c>
      <c r="F368" s="10">
        <f>(C368-$AE$8)*EchelleFPAparam!$C$3/EchelleFPAparam!$E$3</f>
        <v>8.2142857142857148E-4</v>
      </c>
    </row>
    <row r="369" spans="1:15" x14ac:dyDescent="0.2">
      <c r="A369" s="109"/>
      <c r="B369" s="10">
        <f>B368+(D368-1)*2048-3072+(D368-2)*EchelleFPAparam!$B$3/EchelleFPAparam!$C$3</f>
        <v>-43.455689999999777</v>
      </c>
    </row>
    <row r="370" spans="1:15" x14ac:dyDescent="0.2">
      <c r="A370" s="109"/>
      <c r="B370" s="10">
        <f>B369*EchelleFPAparam!$C$3*COS(EchelleFPAparam!$AC$3)*$B$6</f>
        <v>-0.78979861207361279</v>
      </c>
    </row>
    <row r="371" spans="1:15" x14ac:dyDescent="0.2">
      <c r="A371" s="109"/>
      <c r="B371" s="10">
        <f>ATAN(B370/EchelleFPAparam!$E$3)</f>
        <v>-5.223535319051468E-4</v>
      </c>
      <c r="C371" s="29">
        <f>EchelleFPAparam!$M$3+$B371</f>
        <v>-5.6495063470238478E-2</v>
      </c>
      <c r="F371" s="10">
        <f>ASIN($E368*$A368/(COS(F368)*2*EchelleFPAparam!$S$3*COS(-$C371/2)))-$C371/2</f>
        <v>1.1369390365921979</v>
      </c>
      <c r="G371" s="29">
        <f>$F371*180/EchelleFPAparam!$O$3</f>
        <v>65.141807398074107</v>
      </c>
      <c r="H371" s="10">
        <v>550</v>
      </c>
      <c r="I371" s="10" t="str">
        <f>I367</f>
        <v>H</v>
      </c>
      <c r="J371" s="10">
        <f>A368</f>
        <v>1524.37861</v>
      </c>
      <c r="K371" s="10">
        <f>B368+(D368-1)*2198</f>
        <v>3178.5443100000002</v>
      </c>
      <c r="L371" s="30">
        <f>C368</f>
        <v>1605</v>
      </c>
      <c r="M371" s="10">
        <f>E368</f>
        <v>37</v>
      </c>
      <c r="N371" s="29">
        <f>G371</f>
        <v>65.141807398074107</v>
      </c>
      <c r="O371" s="10">
        <f>H371</f>
        <v>550</v>
      </c>
    </row>
    <row r="372" spans="1:15" x14ac:dyDescent="0.2">
      <c r="A372" s="109">
        <v>1710.34501</v>
      </c>
      <c r="B372" s="10">
        <v>1222.5952</v>
      </c>
      <c r="C372" s="10">
        <v>614</v>
      </c>
      <c r="D372" s="28">
        <v>2</v>
      </c>
      <c r="E372" s="10">
        <v>33</v>
      </c>
      <c r="F372" s="10">
        <f>(C372-$AE$8)*EchelleFPAparam!$C$3/EchelleFPAparam!$E$3</f>
        <v>-1.0976190476190476E-2</v>
      </c>
    </row>
    <row r="373" spans="1:15" x14ac:dyDescent="0.2">
      <c r="A373" s="109"/>
      <c r="B373" s="10">
        <f>B372+(D372-1)*2048-3072+(D372-2)*EchelleFPAparam!$B$3/EchelleFPAparam!$C$3</f>
        <v>198.59519999999975</v>
      </c>
    </row>
    <row r="374" spans="1:15" x14ac:dyDescent="0.2">
      <c r="A374" s="109"/>
      <c r="B374" s="10">
        <f>B373*EchelleFPAparam!$C$3*COS(EchelleFPAparam!$AC$3)*$B$6</f>
        <v>3.6094286691681146</v>
      </c>
    </row>
    <row r="375" spans="1:15" x14ac:dyDescent="0.2">
      <c r="A375" s="109"/>
      <c r="B375" s="10">
        <f>ATAN(B374/EchelleFPAparam!$E$3)</f>
        <v>2.38718373867715E-3</v>
      </c>
      <c r="C375" s="29">
        <f>EchelleFPAparam!$M$3+$B375</f>
        <v>-5.3585526199656182E-2</v>
      </c>
      <c r="F375" s="10">
        <f>ASIN($E372*$A372/(COS(F372)*2*EchelleFPAparam!$S$3*COS(-$C375/2)))-$C375/2</f>
        <v>1.1369279473070653</v>
      </c>
      <c r="G375" s="29">
        <f>$F375*180/EchelleFPAparam!$O$3</f>
        <v>65.141172028847578</v>
      </c>
      <c r="H375" s="10">
        <v>550</v>
      </c>
      <c r="I375" s="10" t="s">
        <v>355</v>
      </c>
      <c r="J375" s="10">
        <f>A372</f>
        <v>1710.34501</v>
      </c>
      <c r="K375" s="10">
        <f>B372+(D372-1)*2198</f>
        <v>3420.5951999999997</v>
      </c>
      <c r="L375" s="30">
        <f>C372</f>
        <v>614</v>
      </c>
      <c r="M375" s="10">
        <f>E372</f>
        <v>33</v>
      </c>
      <c r="N375" s="29">
        <f>G375</f>
        <v>65.141172028847578</v>
      </c>
      <c r="O375" s="10">
        <f>H375</f>
        <v>550</v>
      </c>
    </row>
    <row r="376" spans="1:15" x14ac:dyDescent="0.2">
      <c r="A376" s="109">
        <v>1533.91572</v>
      </c>
      <c r="B376" s="10">
        <v>810.21148000000005</v>
      </c>
      <c r="C376" s="10">
        <v>1602</v>
      </c>
      <c r="D376" s="28">
        <v>3</v>
      </c>
      <c r="E376" s="10">
        <v>37</v>
      </c>
      <c r="F376" s="10">
        <f>(C376-$AE$8)*EchelleFPAparam!$C$3/EchelleFPAparam!$E$3</f>
        <v>7.8571428571428564E-4</v>
      </c>
    </row>
    <row r="377" spans="1:15" x14ac:dyDescent="0.2">
      <c r="A377" s="109"/>
      <c r="B377" s="10">
        <f>B376+(D376-1)*2048-3072+(D376-2)*EchelleFPAparam!$B$3/EchelleFPAparam!$C$3</f>
        <v>1979.2114799999999</v>
      </c>
    </row>
    <row r="378" spans="1:15" x14ac:dyDescent="0.2">
      <c r="A378" s="109"/>
      <c r="B378" s="10">
        <f>B377*EchelleFPAparam!$C$3*COS(EchelleFPAparam!$AC$3)*$B$6</f>
        <v>35.971779067463174</v>
      </c>
    </row>
    <row r="379" spans="1:15" x14ac:dyDescent="0.2">
      <c r="A379" s="109"/>
      <c r="B379" s="10">
        <f>ATAN(B378/EchelleFPAparam!$E$3)</f>
        <v>2.3786372113731503E-2</v>
      </c>
      <c r="C379" s="29">
        <f>EchelleFPAparam!$M$3+$B379</f>
        <v>-3.2186337824601827E-2</v>
      </c>
      <c r="F379" s="10">
        <f>ASIN($E376*$A376/(COS(F376)*2*EchelleFPAparam!$S$3*COS(-$C379/2)))-$C379/2</f>
        <v>1.1369502572971411</v>
      </c>
      <c r="G379" s="29">
        <f>$F379*180/EchelleFPAparam!$O$3</f>
        <v>65.142450297101021</v>
      </c>
      <c r="H379" s="10">
        <v>550</v>
      </c>
      <c r="I379" s="10" t="str">
        <f>I375</f>
        <v>H</v>
      </c>
      <c r="J379" s="10">
        <f>A376</f>
        <v>1533.91572</v>
      </c>
      <c r="K379" s="10">
        <f>B376+(D376-1)*2198</f>
        <v>5206.2114799999999</v>
      </c>
      <c r="L379" s="30">
        <f>C376</f>
        <v>1602</v>
      </c>
      <c r="M379" s="10">
        <f>E376</f>
        <v>37</v>
      </c>
      <c r="N379" s="29">
        <f>G379</f>
        <v>65.142450297101021</v>
      </c>
      <c r="O379" s="10">
        <f>H379</f>
        <v>550</v>
      </c>
    </row>
    <row r="380" spans="1:15" x14ac:dyDescent="0.2">
      <c r="A380" s="109">
        <v>1777.5582999999999</v>
      </c>
      <c r="B380" s="10">
        <v>1610.6702</v>
      </c>
      <c r="C380" s="10">
        <v>308</v>
      </c>
      <c r="D380" s="28">
        <v>3</v>
      </c>
      <c r="E380" s="10">
        <v>32</v>
      </c>
      <c r="F380" s="10">
        <f>(C380-$AE$8)*EchelleFPAparam!$C$3/EchelleFPAparam!$E$3</f>
        <v>-1.4619047619047618E-2</v>
      </c>
    </row>
    <row r="381" spans="1:15" x14ac:dyDescent="0.2">
      <c r="A381" s="109"/>
      <c r="B381" s="10">
        <f>B380+(D380-1)*2048-3072+(D380-2)*EchelleFPAparam!$B$3/EchelleFPAparam!$C$3</f>
        <v>2779.6702000000005</v>
      </c>
    </row>
    <row r="382" spans="1:15" x14ac:dyDescent="0.2">
      <c r="A382" s="109"/>
      <c r="B382" s="10">
        <f>B381*EchelleFPAparam!$C$3*COS(EchelleFPAparam!$AC$3)*$B$6</f>
        <v>50.5199587437777</v>
      </c>
    </row>
    <row r="383" spans="1:15" x14ac:dyDescent="0.2">
      <c r="A383" s="109"/>
      <c r="B383" s="10">
        <f>ATAN(B382/EchelleFPAparam!$E$3)</f>
        <v>3.3400245406970196E-2</v>
      </c>
      <c r="C383" s="29">
        <f>EchelleFPAparam!$M$3+$B383</f>
        <v>-2.2572464531363134E-2</v>
      </c>
      <c r="F383" s="10">
        <f>ASIN($E380*$A380/(COS(F380)*2*EchelleFPAparam!$S$3*COS(-$C383/2)))-$C383/2</f>
        <v>1.1368836605308079</v>
      </c>
      <c r="G383" s="29">
        <f>$F383*180/EchelleFPAparam!$O$3</f>
        <v>65.138634583517273</v>
      </c>
      <c r="H383" s="10">
        <v>550</v>
      </c>
      <c r="I383" s="10" t="str">
        <f>I379</f>
        <v>H</v>
      </c>
      <c r="J383" s="10">
        <f>A380</f>
        <v>1777.5582999999999</v>
      </c>
      <c r="K383" s="10">
        <f>B380+(D380-1)*2198</f>
        <v>6006.6702000000005</v>
      </c>
      <c r="L383" s="30">
        <f>C380</f>
        <v>308</v>
      </c>
      <c r="M383" s="10">
        <f>E380</f>
        <v>32</v>
      </c>
      <c r="N383" s="29">
        <f>G383</f>
        <v>65.138634583517273</v>
      </c>
      <c r="O383" s="10">
        <f>H383</f>
        <v>550</v>
      </c>
    </row>
    <row r="384" spans="1:15" x14ac:dyDescent="0.2">
      <c r="A384" s="109">
        <v>1476.9505899999999</v>
      </c>
      <c r="B384" s="10">
        <v>744.12644999999998</v>
      </c>
      <c r="C384" s="10">
        <v>1852</v>
      </c>
      <c r="D384" s="28">
        <v>2</v>
      </c>
      <c r="E384" s="10">
        <v>38</v>
      </c>
      <c r="F384" s="10">
        <f>(C384-$AE$8)*EchelleFPAparam!$C$3/EchelleFPAparam!$E$3</f>
        <v>3.7619047619047619E-3</v>
      </c>
    </row>
    <row r="385" spans="1:15" x14ac:dyDescent="0.2">
      <c r="A385" s="109"/>
      <c r="B385" s="10">
        <f>B384+(D384-1)*2048-3072+(D384-2)*EchelleFPAparam!$B$3/EchelleFPAparam!$C$3</f>
        <v>-279.87355000000025</v>
      </c>
    </row>
    <row r="386" spans="1:15" x14ac:dyDescent="0.2">
      <c r="A386" s="109"/>
      <c r="B386" s="10">
        <f>B385*EchelleFPAparam!$C$3*COS(EchelleFPAparam!$AC$3)*$B$6</f>
        <v>-5.0866466818526224</v>
      </c>
    </row>
    <row r="387" spans="1:15" x14ac:dyDescent="0.2">
      <c r="A387" s="109"/>
      <c r="B387" s="10">
        <f>ATAN(B386/EchelleFPAparam!$E$3)</f>
        <v>-3.364171621830698E-3</v>
      </c>
      <c r="C387" s="29">
        <f>EchelleFPAparam!$M$3+$B387</f>
        <v>-5.9336881560164027E-2</v>
      </c>
      <c r="F387" s="10">
        <f>ASIN($E384*$A384/(COS(F384)*2*EchelleFPAparam!$S$3*COS(-$C387/2)))-$C387/2</f>
        <v>1.1286580844611513</v>
      </c>
      <c r="G387" s="29">
        <f>$F387*180/EchelleFPAparam!$O$3</f>
        <v>64.667343797624454</v>
      </c>
      <c r="H387" s="10">
        <v>600</v>
      </c>
      <c r="I387" s="10" t="str">
        <f>I383</f>
        <v>H</v>
      </c>
      <c r="J387" s="10">
        <f>A384</f>
        <v>1476.9505899999999</v>
      </c>
      <c r="K387" s="10">
        <f>B384+(D384-1)*2198</f>
        <v>2942.1264499999997</v>
      </c>
      <c r="L387" s="30">
        <f>C384</f>
        <v>1852</v>
      </c>
      <c r="M387" s="10">
        <f>E384</f>
        <v>38</v>
      </c>
      <c r="N387" s="29">
        <f>G387</f>
        <v>64.667343797624454</v>
      </c>
      <c r="O387" s="10">
        <f>H387</f>
        <v>600</v>
      </c>
    </row>
    <row r="388" spans="1:15" x14ac:dyDescent="0.2">
      <c r="A388" s="109">
        <v>1710.34501</v>
      </c>
      <c r="B388" s="10">
        <v>346.62148000000002</v>
      </c>
      <c r="C388" s="10">
        <v>647</v>
      </c>
      <c r="D388" s="28">
        <v>3</v>
      </c>
      <c r="E388" s="10">
        <v>33</v>
      </c>
      <c r="F388" s="10">
        <f>(C388-$AE$8)*EchelleFPAparam!$C$3/EchelleFPAparam!$E$3</f>
        <v>-1.0583333333333332E-2</v>
      </c>
    </row>
    <row r="389" spans="1:15" x14ac:dyDescent="0.2">
      <c r="A389" s="109"/>
      <c r="B389" s="10">
        <f>B388+(D388-1)*2048-3072+(D388-2)*EchelleFPAparam!$B$3/EchelleFPAparam!$C$3</f>
        <v>1515.6214799999998</v>
      </c>
    </row>
    <row r="390" spans="1:15" x14ac:dyDescent="0.2">
      <c r="A390" s="109"/>
      <c r="B390" s="10">
        <f>B389*EchelleFPAparam!$C$3*COS(EchelleFPAparam!$AC$3)*$B$6</f>
        <v>27.546122069007783</v>
      </c>
    </row>
    <row r="391" spans="1:15" x14ac:dyDescent="0.2">
      <c r="A391" s="109"/>
      <c r="B391" s="10">
        <f>ATAN(B390/EchelleFPAparam!$E$3)</f>
        <v>1.8216319501052441E-2</v>
      </c>
      <c r="C391" s="29">
        <f>EchelleFPAparam!$M$3+$B391</f>
        <v>-3.7756390437280893E-2</v>
      </c>
      <c r="F391" s="10">
        <f>ASIN($E388*$A388/(COS(F388)*2*EchelleFPAparam!$S$3*COS(-$C391/2)))-$C391/2</f>
        <v>1.128640773908075</v>
      </c>
      <c r="G391" s="29">
        <f>$F391*180/EchelleFPAparam!$O$3</f>
        <v>64.666351976006794</v>
      </c>
      <c r="H391" s="10">
        <v>600</v>
      </c>
      <c r="I391" s="10" t="str">
        <f>I387</f>
        <v>H</v>
      </c>
      <c r="J391" s="10">
        <f>A388</f>
        <v>1710.34501</v>
      </c>
      <c r="K391" s="10">
        <f>B388+(D388-1)*2198</f>
        <v>4742.6214799999998</v>
      </c>
      <c r="L391" s="30">
        <f>C388</f>
        <v>647</v>
      </c>
      <c r="M391" s="10">
        <f>E388</f>
        <v>33</v>
      </c>
      <c r="N391" s="29">
        <f>G391</f>
        <v>64.666351976006794</v>
      </c>
      <c r="O391" s="10">
        <f>H391</f>
        <v>600</v>
      </c>
    </row>
    <row r="392" spans="1:15" x14ac:dyDescent="0.2">
      <c r="A392" s="109">
        <v>1476.67118</v>
      </c>
      <c r="B392" s="10">
        <v>2007.6048000000001</v>
      </c>
      <c r="C392" s="10">
        <v>1887</v>
      </c>
      <c r="D392" s="28">
        <v>2</v>
      </c>
      <c r="E392" s="10">
        <v>38</v>
      </c>
      <c r="F392" s="10">
        <f>(C392-$AE$8)*EchelleFPAparam!$C$3/EchelleFPAparam!$E$3</f>
        <v>4.1785714285714282E-3</v>
      </c>
    </row>
    <row r="393" spans="1:15" x14ac:dyDescent="0.2">
      <c r="A393" s="109"/>
      <c r="B393" s="10">
        <f>B392+(D392-1)*2048-3072+(D392-2)*EchelleFPAparam!$B$3/EchelleFPAparam!$C$3</f>
        <v>983.60480000000007</v>
      </c>
    </row>
    <row r="394" spans="1:15" x14ac:dyDescent="0.2">
      <c r="A394" s="109"/>
      <c r="B394" s="10">
        <f>B393*EchelleFPAparam!$C$3*COS(EchelleFPAparam!$AC$3)*$B$6</f>
        <v>17.876823630437062</v>
      </c>
    </row>
    <row r="395" spans="1:15" x14ac:dyDescent="0.2">
      <c r="A395" s="109"/>
      <c r="B395" s="10">
        <f>ATAN(B394/EchelleFPAparam!$E$3)</f>
        <v>1.1822745170596611E-2</v>
      </c>
      <c r="C395" s="29">
        <f>EchelleFPAparam!$M$3+$B395</f>
        <v>-4.4149964767736721E-2</v>
      </c>
      <c r="F395" s="10">
        <f>ASIN($E392*$A392/(COS(F392)*2*EchelleFPAparam!$S$3*COS(-$C395/2)))-$C395/2</f>
        <v>1.1203126516277357</v>
      </c>
      <c r="G395" s="29">
        <f>$F395*180/EchelleFPAparam!$O$3</f>
        <v>64.189185725123579</v>
      </c>
      <c r="H395" s="10">
        <v>650</v>
      </c>
      <c r="I395" s="10" t="str">
        <f>I391</f>
        <v>H</v>
      </c>
      <c r="J395" s="10">
        <f>A392</f>
        <v>1476.67118</v>
      </c>
      <c r="K395" s="10">
        <f>B392+(D392-1)*2198</f>
        <v>4205.6048000000001</v>
      </c>
      <c r="L395" s="30">
        <f>C392</f>
        <v>1887</v>
      </c>
      <c r="M395" s="10">
        <f>E392</f>
        <v>38</v>
      </c>
      <c r="N395" s="29">
        <f>G395</f>
        <v>64.189185725123579</v>
      </c>
      <c r="O395" s="10">
        <f>H395</f>
        <v>650</v>
      </c>
    </row>
    <row r="396" spans="1:15" x14ac:dyDescent="0.2">
      <c r="A396" s="109">
        <v>1521.3688099999999</v>
      </c>
      <c r="B396" s="10">
        <v>808.29742999999996</v>
      </c>
      <c r="C396" s="10">
        <v>1672</v>
      </c>
      <c r="D396" s="28">
        <v>3</v>
      </c>
      <c r="E396" s="10">
        <v>37</v>
      </c>
      <c r="F396" s="10">
        <f>(C396-$AE$8)*EchelleFPAparam!$C$3/EchelleFPAparam!$E$3</f>
        <v>1.6190476190476189E-3</v>
      </c>
    </row>
    <row r="397" spans="1:15" x14ac:dyDescent="0.2">
      <c r="A397" s="109"/>
      <c r="B397" s="10">
        <f>B396+(D396-1)*2048-3072+(D396-2)*EchelleFPAparam!$B$3/EchelleFPAparam!$C$3</f>
        <v>1977.2974299999996</v>
      </c>
    </row>
    <row r="398" spans="1:15" x14ac:dyDescent="0.2">
      <c r="A398" s="109"/>
      <c r="B398" s="10">
        <f>B397*EchelleFPAparam!$C$3*COS(EchelleFPAparam!$AC$3)*$B$6</f>
        <v>35.936991585468533</v>
      </c>
    </row>
    <row r="399" spans="1:15" x14ac:dyDescent="0.2">
      <c r="A399" s="109"/>
      <c r="B399" s="10">
        <f>ATAN(B398/EchelleFPAparam!$E$3)</f>
        <v>2.376337752229047E-2</v>
      </c>
      <c r="C399" s="29">
        <f>EchelleFPAparam!$M$3+$B399</f>
        <v>-3.220933241604286E-2</v>
      </c>
      <c r="F399" s="10">
        <f>ASIN($E396*$A396/(COS(F396)*2*EchelleFPAparam!$S$3*COS(-$C399/2)))-$C399/2</f>
        <v>1.1203145018093459</v>
      </c>
      <c r="G399" s="29">
        <f>$F399*180/EchelleFPAparam!$O$3</f>
        <v>64.18929173271961</v>
      </c>
      <c r="H399" s="10">
        <v>650</v>
      </c>
      <c r="I399" s="10" t="s">
        <v>355</v>
      </c>
      <c r="J399" s="10">
        <f>A396</f>
        <v>1521.3688099999999</v>
      </c>
      <c r="K399" s="10">
        <f>B396+(D396-1)*2198</f>
        <v>5204.2974299999996</v>
      </c>
      <c r="L399" s="30">
        <f>C396</f>
        <v>1672</v>
      </c>
      <c r="M399" s="10">
        <f>E396</f>
        <v>37</v>
      </c>
      <c r="N399" s="29">
        <f>G399</f>
        <v>64.18929173271961</v>
      </c>
      <c r="O399" s="10">
        <f>H399</f>
        <v>650</v>
      </c>
    </row>
    <row r="400" spans="1:15" x14ac:dyDescent="0.2">
      <c r="A400" s="109">
        <v>1762.16579</v>
      </c>
      <c r="B400" s="10">
        <v>1413.8149000000001</v>
      </c>
      <c r="C400" s="10">
        <v>391</v>
      </c>
      <c r="D400" s="28">
        <v>3</v>
      </c>
      <c r="E400" s="10">
        <v>32</v>
      </c>
      <c r="F400" s="10">
        <f>(C400-$AE$8)*EchelleFPAparam!$C$3/EchelleFPAparam!$E$3</f>
        <v>-1.3630952380952381E-2</v>
      </c>
    </row>
    <row r="401" spans="1:15" x14ac:dyDescent="0.2">
      <c r="A401" s="109"/>
      <c r="B401" s="10">
        <f>B400+(D400-1)*2048-3072+(D400-2)*EchelleFPAparam!$B$3/EchelleFPAparam!$C$3</f>
        <v>2582.8149000000003</v>
      </c>
    </row>
    <row r="402" spans="1:15" x14ac:dyDescent="0.2">
      <c r="A402" s="109"/>
      <c r="B402" s="10">
        <f>B401*EchelleFPAparam!$C$3*COS(EchelleFPAparam!$AC$3)*$B$6</f>
        <v>46.942152414633334</v>
      </c>
    </row>
    <row r="403" spans="1:15" x14ac:dyDescent="0.2">
      <c r="A403" s="109"/>
      <c r="B403" s="10">
        <f>ATAN(B402/EchelleFPAparam!$E$3)</f>
        <v>3.1036427876751028E-2</v>
      </c>
      <c r="C403" s="29">
        <f>EchelleFPAparam!$M$3+$B403</f>
        <v>-2.4936282061582302E-2</v>
      </c>
      <c r="F403" s="10">
        <f>ASIN($E400*$A400/(COS(F400)*2*EchelleFPAparam!$S$3*COS(-$C403/2)))-$C403/2</f>
        <v>1.1202492292216721</v>
      </c>
      <c r="G403" s="29">
        <f>$F403*180/EchelleFPAparam!$O$3</f>
        <v>64.185551888983255</v>
      </c>
      <c r="H403" s="10">
        <v>650</v>
      </c>
      <c r="I403" s="10" t="str">
        <f>I399</f>
        <v>H</v>
      </c>
      <c r="J403" s="10">
        <f>A400</f>
        <v>1762.16579</v>
      </c>
      <c r="K403" s="10">
        <f>B400+(D400-1)*2198</f>
        <v>5809.8149000000003</v>
      </c>
      <c r="L403" s="30">
        <f>C400</f>
        <v>391</v>
      </c>
      <c r="M403" s="10">
        <f>E400</f>
        <v>32</v>
      </c>
      <c r="N403" s="29">
        <f>G403</f>
        <v>64.185551888983255</v>
      </c>
      <c r="O403" s="10">
        <f>H403</f>
        <v>650</v>
      </c>
    </row>
    <row r="404" spans="1:15" x14ac:dyDescent="0.2">
      <c r="A404" s="109">
        <v>1524.37861</v>
      </c>
      <c r="B404" s="10">
        <v>599.46078</v>
      </c>
      <c r="C404" s="10">
        <v>1539</v>
      </c>
      <c r="D404" s="28">
        <v>1</v>
      </c>
      <c r="E404" s="10">
        <v>37</v>
      </c>
      <c r="F404" s="10">
        <f>(C404-$AE$8)*EchelleFPAparam!$C$3/EchelleFPAparam!$E$3</f>
        <v>3.571428571428571E-5</v>
      </c>
    </row>
    <row r="405" spans="1:15" x14ac:dyDescent="0.2">
      <c r="A405" s="109"/>
      <c r="B405" s="10">
        <f>B404+(D404-1)*2048-3072+(D404-2)*EchelleFPAparam!$B$3/EchelleFPAparam!$C$3</f>
        <v>-2617.5392200000001</v>
      </c>
    </row>
    <row r="406" spans="1:15" x14ac:dyDescent="0.2">
      <c r="A406" s="109"/>
      <c r="B406" s="10">
        <f>B405*EchelleFPAparam!$C$3*COS(EchelleFPAparam!$AC$3)*$B$6</f>
        <v>-47.57326009561136</v>
      </c>
    </row>
    <row r="407" spans="1:15" x14ac:dyDescent="0.2">
      <c r="A407" s="109"/>
      <c r="B407" s="10">
        <f>ATAN(B406/EchelleFPAparam!$E$3)</f>
        <v>-3.1453419779130229E-2</v>
      </c>
      <c r="C407" s="29">
        <f>EchelleFPAparam!$M$3+$B407</f>
        <v>-8.7426129717463552E-2</v>
      </c>
      <c r="F407" s="10">
        <f>ASIN($E404*$A404/(COS(F404)*2*EchelleFPAparam!$S$3*COS(-$C407/2)))-$C407/2</f>
        <v>1.1535231802052528</v>
      </c>
      <c r="G407" s="29">
        <f>$F407*180/EchelleFPAparam!$O$3</f>
        <v>66.092008819903839</v>
      </c>
      <c r="H407" s="10">
        <v>450</v>
      </c>
      <c r="I407" s="10" t="str">
        <f>I403</f>
        <v>H</v>
      </c>
      <c r="J407" s="10">
        <f>A404</f>
        <v>1524.37861</v>
      </c>
      <c r="K407" s="10">
        <f>B404+(D404-1)*2198</f>
        <v>599.46078</v>
      </c>
      <c r="L407" s="30">
        <f>C404</f>
        <v>1539</v>
      </c>
      <c r="M407" s="10">
        <f>E404</f>
        <v>37</v>
      </c>
      <c r="N407" s="29">
        <f>G407</f>
        <v>66.092008819903839</v>
      </c>
      <c r="O407" s="10">
        <f>H407</f>
        <v>450</v>
      </c>
    </row>
    <row r="408" spans="1:15" x14ac:dyDescent="0.2">
      <c r="A408" s="109">
        <v>1710.34501</v>
      </c>
      <c r="B408" s="10">
        <v>830.08321999999998</v>
      </c>
      <c r="C408" s="10">
        <v>546</v>
      </c>
      <c r="D408" s="28">
        <v>1</v>
      </c>
      <c r="E408" s="10">
        <v>33</v>
      </c>
      <c r="F408" s="10">
        <f>(C408-$AE$8)*EchelleFPAparam!$C$3/EchelleFPAparam!$E$3</f>
        <v>-1.1785714285714287E-2</v>
      </c>
    </row>
    <row r="409" spans="1:15" x14ac:dyDescent="0.2">
      <c r="A409" s="109"/>
      <c r="B409" s="10">
        <f>B408+(D408-1)*2048-3072+(D408-2)*EchelleFPAparam!$B$3/EchelleFPAparam!$C$3</f>
        <v>-2386.91678</v>
      </c>
    </row>
    <row r="410" spans="1:15" x14ac:dyDescent="0.2">
      <c r="A410" s="109"/>
      <c r="B410" s="10">
        <f>B409*EchelleFPAparam!$C$3*COS(EchelleFPAparam!$AC$3)*$B$6</f>
        <v>-43.381742643580772</v>
      </c>
    </row>
    <row r="411" spans="1:15" x14ac:dyDescent="0.2">
      <c r="A411" s="109"/>
      <c r="B411" s="10">
        <f>ATAN(B410/EchelleFPAparam!$E$3)</f>
        <v>-2.868375954460747E-2</v>
      </c>
      <c r="C411" s="29">
        <f>EchelleFPAparam!$M$3+$B411</f>
        <v>-8.4656469482940797E-2</v>
      </c>
      <c r="F411" s="10">
        <f>ASIN($E408*$A408/(COS(F408)*2*EchelleFPAparam!$S$3*COS(-$C411/2)))-$C411/2</f>
        <v>1.1535658555940487</v>
      </c>
      <c r="G411" s="29">
        <f>$F411*180/EchelleFPAparam!$O$3</f>
        <v>66.094453939534802</v>
      </c>
      <c r="H411" s="10">
        <v>450</v>
      </c>
      <c r="I411" s="10" t="str">
        <f>I407</f>
        <v>H</v>
      </c>
      <c r="J411" s="10">
        <f>A408</f>
        <v>1710.34501</v>
      </c>
      <c r="K411" s="10">
        <f>B408+(D408-1)*2198</f>
        <v>830.08321999999998</v>
      </c>
      <c r="L411" s="30">
        <f>C408</f>
        <v>546</v>
      </c>
      <c r="M411" s="10">
        <f>E408</f>
        <v>33</v>
      </c>
      <c r="N411" s="29">
        <f>G411</f>
        <v>66.094453939534802</v>
      </c>
      <c r="O411" s="10">
        <f>H411</f>
        <v>450</v>
      </c>
    </row>
    <row r="412" spans="1:15" x14ac:dyDescent="0.2">
      <c r="A412" s="109">
        <v>1673.1084000000001</v>
      </c>
      <c r="B412" s="10">
        <v>1135.8883000000001</v>
      </c>
      <c r="C412" s="10">
        <v>809</v>
      </c>
      <c r="D412" s="28">
        <v>2</v>
      </c>
      <c r="E412" s="10">
        <v>34</v>
      </c>
      <c r="F412" s="10">
        <f>(C412-$AE$8)*EchelleFPAparam!$C$3/EchelleFPAparam!$E$3</f>
        <v>-8.6547619047619029E-3</v>
      </c>
    </row>
    <row r="413" spans="1:15" x14ac:dyDescent="0.2">
      <c r="A413" s="109"/>
      <c r="B413" s="10">
        <f>B412+(D412-1)*2048-3072+(D412-2)*EchelleFPAparam!$B$3/EchelleFPAparam!$C$3</f>
        <v>111.88830000000007</v>
      </c>
    </row>
    <row r="414" spans="1:15" x14ac:dyDescent="0.2">
      <c r="A414" s="109"/>
      <c r="B414" s="10">
        <f>B413*EchelleFPAparam!$C$3*COS(EchelleFPAparam!$AC$3)*$B$6</f>
        <v>2.0335478287717099</v>
      </c>
    </row>
    <row r="415" spans="1:15" x14ac:dyDescent="0.2">
      <c r="A415" s="109"/>
      <c r="B415" s="10">
        <f>ATAN(B414/EchelleFPAparam!$E$3)</f>
        <v>1.3449382292578744E-3</v>
      </c>
      <c r="C415" s="29">
        <f>EchelleFPAparam!$M$3+$B415</f>
        <v>-5.4627771709075457E-2</v>
      </c>
      <c r="F415" s="10">
        <f>ASIN($E412*$A412/(COS(F412)*2*EchelleFPAparam!$S$3*COS(-$C415/2)))-$C415/2</f>
        <v>1.1535555170410496</v>
      </c>
      <c r="G415" s="29">
        <f>$F415*180/EchelleFPAparam!$O$3</f>
        <v>66.093861584090433</v>
      </c>
      <c r="H415" s="10">
        <v>450</v>
      </c>
      <c r="I415" s="10" t="str">
        <f>I411</f>
        <v>H</v>
      </c>
      <c r="J415" s="10">
        <f>A412</f>
        <v>1673.1084000000001</v>
      </c>
      <c r="K415" s="10">
        <f>B412+(D412-1)*2198</f>
        <v>3333.8883000000001</v>
      </c>
      <c r="L415" s="30">
        <f>C412</f>
        <v>809</v>
      </c>
      <c r="M415" s="10">
        <f>E412</f>
        <v>34</v>
      </c>
      <c r="N415" s="29">
        <f>G415</f>
        <v>66.093861584090433</v>
      </c>
      <c r="O415" s="10">
        <f>H415</f>
        <v>450</v>
      </c>
    </row>
    <row r="416" spans="1:15" x14ac:dyDescent="0.2">
      <c r="A416" s="109">
        <v>1678.97191</v>
      </c>
      <c r="B416" s="10">
        <v>117.10402000000001</v>
      </c>
      <c r="C416" s="10">
        <v>806</v>
      </c>
      <c r="D416" s="28">
        <v>3</v>
      </c>
      <c r="E416" s="10">
        <v>34</v>
      </c>
      <c r="F416" s="10">
        <f>(C416-$AE$8)*EchelleFPAparam!$C$3/EchelleFPAparam!$E$3</f>
        <v>-8.6904761904761894E-3</v>
      </c>
    </row>
    <row r="417" spans="1:15" x14ac:dyDescent="0.2">
      <c r="A417" s="109"/>
      <c r="B417" s="10">
        <f>B416+(D416-1)*2048-3072+(D416-2)*EchelleFPAparam!$B$3/EchelleFPAparam!$C$3</f>
        <v>1286.1040199999998</v>
      </c>
    </row>
    <row r="418" spans="1:15" x14ac:dyDescent="0.2">
      <c r="A418" s="109"/>
      <c r="B418" s="10">
        <f>B417*EchelleFPAparam!$C$3*COS(EchelleFPAparam!$AC$3)*$B$6</f>
        <v>23.374687410976534</v>
      </c>
    </row>
    <row r="419" spans="1:15" x14ac:dyDescent="0.2">
      <c r="A419" s="109"/>
      <c r="B419" s="10">
        <f>ATAN(B418/EchelleFPAparam!$E$3)</f>
        <v>1.5458217947620331E-2</v>
      </c>
      <c r="C419" s="29">
        <f>EchelleFPAparam!$M$3+$B419</f>
        <v>-4.0514491990712997E-2</v>
      </c>
      <c r="F419" s="10">
        <f>ASIN($E416*$A416/(COS(F416)*2*EchelleFPAparam!$S$3*COS(-$C419/2)))-$C419/2</f>
        <v>1.1535552336683779</v>
      </c>
      <c r="G419" s="29">
        <f>$F419*180/EchelleFPAparam!$O$3</f>
        <v>66.093845348032545</v>
      </c>
      <c r="H419" s="10">
        <v>450</v>
      </c>
      <c r="I419" s="10" t="str">
        <f>I415</f>
        <v>H</v>
      </c>
      <c r="J419" s="10">
        <f>A416</f>
        <v>1678.97191</v>
      </c>
      <c r="K419" s="10">
        <f>B416+(D416-1)*2198</f>
        <v>4513.1040199999998</v>
      </c>
      <c r="L419" s="30">
        <f>C416</f>
        <v>806</v>
      </c>
      <c r="M419" s="10">
        <f>E416</f>
        <v>34</v>
      </c>
      <c r="N419" s="29">
        <f>G419</f>
        <v>66.093845348032545</v>
      </c>
      <c r="O419" s="10">
        <f>H419</f>
        <v>450</v>
      </c>
    </row>
    <row r="420" spans="1:15" x14ac:dyDescent="0.2">
      <c r="A420" s="109">
        <v>1533.91572</v>
      </c>
      <c r="B420" s="10">
        <v>1278.8091999999999</v>
      </c>
      <c r="C420" s="10">
        <v>1503</v>
      </c>
      <c r="D420" s="28">
        <v>1</v>
      </c>
      <c r="E420" s="10">
        <v>37</v>
      </c>
      <c r="F420" s="10">
        <f>(C420-$AE$8)*EchelleFPAparam!$C$3/EchelleFPAparam!$E$3</f>
        <v>-3.9285714285714282E-4</v>
      </c>
    </row>
    <row r="421" spans="1:15" x14ac:dyDescent="0.2">
      <c r="A421" s="109"/>
      <c r="B421" s="10">
        <f>B420+(D420-1)*2048-3072+(D420-2)*EchelleFPAparam!$B$3/EchelleFPAparam!$C$3</f>
        <v>-1938.1908000000001</v>
      </c>
    </row>
    <row r="422" spans="1:15" x14ac:dyDescent="0.2">
      <c r="A422" s="109"/>
      <c r="B422" s="10">
        <f>B421*EchelleFPAparam!$C$3*COS(EchelleFPAparam!$AC$3)*$B$6</f>
        <v>-35.226236282840134</v>
      </c>
    </row>
    <row r="423" spans="1:15" x14ac:dyDescent="0.2">
      <c r="A423" s="109"/>
      <c r="B423" s="10">
        <f>ATAN(B422/EchelleFPAparam!$E$3)</f>
        <v>-2.3293561453565766E-2</v>
      </c>
      <c r="C423" s="29">
        <f>EchelleFPAparam!$M$3+$B423</f>
        <v>-7.9266271391899096E-2</v>
      </c>
      <c r="F423" s="10">
        <f>ASIN($E420*$A420/(COS(F420)*2*EchelleFPAparam!$S$3*COS(-$C423/2)))-$C423/2</f>
        <v>1.1618505426730201</v>
      </c>
      <c r="G423" s="29">
        <f>$F423*180/EchelleFPAparam!$O$3</f>
        <v>66.569131536734105</v>
      </c>
      <c r="H423" s="10">
        <v>400</v>
      </c>
      <c r="I423" s="10" t="s">
        <v>355</v>
      </c>
      <c r="J423" s="10">
        <f>A420</f>
        <v>1533.91572</v>
      </c>
      <c r="K423" s="10">
        <f>B420+(D420-1)*2198</f>
        <v>1278.8091999999999</v>
      </c>
      <c r="L423" s="30">
        <f>C420</f>
        <v>1503</v>
      </c>
      <c r="M423" s="10">
        <f>E420</f>
        <v>37</v>
      </c>
      <c r="N423" s="29">
        <f>G423</f>
        <v>66.569131536734105</v>
      </c>
      <c r="O423" s="10">
        <f>H423</f>
        <v>400</v>
      </c>
    </row>
    <row r="424" spans="1:15" x14ac:dyDescent="0.2">
      <c r="A424" s="109">
        <v>1678.97191</v>
      </c>
      <c r="B424" s="10">
        <v>993.26868999999999</v>
      </c>
      <c r="C424" s="10">
        <v>772</v>
      </c>
      <c r="D424" s="28">
        <v>2</v>
      </c>
      <c r="E424" s="10">
        <v>34</v>
      </c>
      <c r="F424" s="10">
        <f>(C424-$AE$8)*EchelleFPAparam!$C$3/EchelleFPAparam!$E$3</f>
        <v>-9.0952380952380937E-3</v>
      </c>
    </row>
    <row r="425" spans="1:15" x14ac:dyDescent="0.2">
      <c r="A425" s="109"/>
      <c r="B425" s="10">
        <f>B424+(D424-1)*2048-3072+(D424-2)*EchelleFPAparam!$B$3/EchelleFPAparam!$C$3</f>
        <v>-30.731310000000121</v>
      </c>
    </row>
    <row r="426" spans="1:15" x14ac:dyDescent="0.2">
      <c r="A426" s="109"/>
      <c r="B426" s="10">
        <f>B425*EchelleFPAparam!$C$3*COS(EchelleFPAparam!$AC$3)*$B$6</f>
        <v>-0.55853551019910519</v>
      </c>
    </row>
    <row r="427" spans="1:15" x14ac:dyDescent="0.2">
      <c r="A427" s="109"/>
      <c r="B427" s="10">
        <f>ATAN(B426/EchelleFPAparam!$E$3)</f>
        <v>-3.6940177565715596E-4</v>
      </c>
      <c r="C427" s="29">
        <f>EchelleFPAparam!$M$3+$B427</f>
        <v>-5.6342111713990485E-2</v>
      </c>
      <c r="F427" s="10">
        <f>ASIN($E424*$A424/(COS(F424)*2*EchelleFPAparam!$S$3*COS(-$C427/2)))-$C427/2</f>
        <v>1.1618867447156642</v>
      </c>
      <c r="G427" s="29">
        <f>$F427*180/EchelleFPAparam!$O$3</f>
        <v>66.571205760956715</v>
      </c>
      <c r="H427" s="10">
        <v>400</v>
      </c>
      <c r="I427" s="10" t="str">
        <f>I423</f>
        <v>H</v>
      </c>
      <c r="J427" s="10">
        <f>A424</f>
        <v>1678.97191</v>
      </c>
      <c r="K427" s="10">
        <f>B424+(D424-1)*2198</f>
        <v>3191.2686899999999</v>
      </c>
      <c r="L427" s="30">
        <f>C424</f>
        <v>772</v>
      </c>
      <c r="M427" s="10">
        <f>E424</f>
        <v>34</v>
      </c>
      <c r="N427" s="29">
        <f>G427</f>
        <v>66.571205760956715</v>
      </c>
      <c r="O427" s="10">
        <f>H427</f>
        <v>400</v>
      </c>
    </row>
    <row r="428" spans="1:15" x14ac:dyDescent="0.2">
      <c r="A428" s="109">
        <v>1500.9407900000001</v>
      </c>
      <c r="B428" s="10">
        <v>692.66560000000004</v>
      </c>
      <c r="C428" s="10">
        <v>1717</v>
      </c>
      <c r="D428" s="28">
        <v>2</v>
      </c>
      <c r="E428" s="10">
        <v>38</v>
      </c>
      <c r="F428" s="10">
        <f>(C428-$AE$8)*EchelleFPAparam!$C$3/EchelleFPAparam!$E$3</f>
        <v>2.1547619047619045E-3</v>
      </c>
    </row>
    <row r="429" spans="1:15" x14ac:dyDescent="0.2">
      <c r="A429" s="109"/>
      <c r="B429" s="10">
        <f>B428+(D428-1)*2048-3072+(D428-2)*EchelleFPAparam!$B$3/EchelleFPAparam!$C$3</f>
        <v>-331.33439999999973</v>
      </c>
    </row>
    <row r="430" spans="1:15" x14ac:dyDescent="0.2">
      <c r="A430" s="109"/>
      <c r="B430" s="10">
        <f>B429*EchelleFPAparam!$C$3*COS(EchelleFPAparam!$AC$3)*$B$6</f>
        <v>-6.0219375012166276</v>
      </c>
    </row>
    <row r="431" spans="1:15" x14ac:dyDescent="0.2">
      <c r="A431" s="109"/>
      <c r="B431" s="10">
        <f>ATAN(B430/EchelleFPAparam!$E$3)</f>
        <v>-3.9827418391040091E-3</v>
      </c>
      <c r="C431" s="29">
        <f>EchelleFPAparam!$M$3+$B431</f>
        <v>-5.9955451777437337E-2</v>
      </c>
      <c r="F431" s="10">
        <f>ASIN($E428*$A428/(COS(F428)*2*EchelleFPAparam!$S$3*COS(-$C431/2)))-$C431/2</f>
        <v>1.161877572061732</v>
      </c>
      <c r="G431" s="29">
        <f>$F431*180/EchelleFPAparam!$O$3</f>
        <v>66.570680206607236</v>
      </c>
      <c r="H431" s="10">
        <v>400</v>
      </c>
      <c r="I431" s="10" t="str">
        <f>I427</f>
        <v>H</v>
      </c>
      <c r="J431" s="10">
        <f>A428</f>
        <v>1500.9407900000001</v>
      </c>
      <c r="K431" s="10">
        <f>B428+(D428-1)*2198</f>
        <v>2890.6656000000003</v>
      </c>
      <c r="L431" s="30">
        <f>C428</f>
        <v>1717</v>
      </c>
      <c r="M431" s="10">
        <f>E428</f>
        <v>38</v>
      </c>
      <c r="N431" s="29">
        <f>G431</f>
        <v>66.570680206607236</v>
      </c>
      <c r="O431" s="10">
        <f>H431</f>
        <v>400</v>
      </c>
    </row>
    <row r="432" spans="1:15" x14ac:dyDescent="0.2">
      <c r="A432" s="109">
        <v>1678.97191</v>
      </c>
      <c r="B432" s="10">
        <v>1903.8811000000001</v>
      </c>
      <c r="C432" s="10">
        <v>740</v>
      </c>
      <c r="D432" s="28">
        <v>1</v>
      </c>
      <c r="E432" s="10">
        <v>34</v>
      </c>
      <c r="F432" s="10">
        <f>(C432-$AE$8)*EchelleFPAparam!$C$3/EchelleFPAparam!$E$3</f>
        <v>-9.4761904761904766E-3</v>
      </c>
    </row>
    <row r="433" spans="1:35" x14ac:dyDescent="0.2">
      <c r="A433" s="109"/>
      <c r="B433" s="10">
        <f>B432+(D432-1)*2048-3072+(D432-2)*EchelleFPAparam!$B$3/EchelleFPAparam!$C$3</f>
        <v>-1313.1188999999999</v>
      </c>
    </row>
    <row r="434" spans="1:35" x14ac:dyDescent="0.2">
      <c r="A434" s="109"/>
      <c r="B434" s="10">
        <f>B433*EchelleFPAparam!$C$3*COS(EchelleFPAparam!$AC$3)*$B$6</f>
        <v>-23.865677537455607</v>
      </c>
    </row>
    <row r="435" spans="1:35" x14ac:dyDescent="0.2">
      <c r="A435" s="109"/>
      <c r="B435" s="10">
        <f>ATAN(B434/EchelleFPAparam!$E$3)</f>
        <v>-1.5782867636542956E-2</v>
      </c>
      <c r="C435" s="29">
        <f>EchelleFPAparam!$M$3+$B435</f>
        <v>-7.1755577574876286E-2</v>
      </c>
      <c r="F435" s="10">
        <f>ASIN($E432*$A432/(COS(F432)*2*EchelleFPAparam!$S$3*COS(-$C435/2)))-$C435/2</f>
        <v>1.1701298471491526</v>
      </c>
      <c r="G435" s="29">
        <f>$F435*180/EchelleFPAparam!$O$3</f>
        <v>67.043500733512488</v>
      </c>
      <c r="H435" s="10">
        <v>350</v>
      </c>
      <c r="I435" s="10" t="str">
        <f>I431</f>
        <v>H</v>
      </c>
      <c r="J435" s="10">
        <f>A432</f>
        <v>1678.97191</v>
      </c>
      <c r="K435" s="10">
        <f>B432+(D432-1)*2198</f>
        <v>1903.8811000000001</v>
      </c>
      <c r="L435" s="30">
        <f>C432</f>
        <v>740</v>
      </c>
      <c r="M435" s="10">
        <f>E432</f>
        <v>34</v>
      </c>
      <c r="N435" s="29">
        <f>G435</f>
        <v>67.043500733512488</v>
      </c>
      <c r="O435" s="10">
        <f>H435</f>
        <v>350</v>
      </c>
    </row>
    <row r="436" spans="1:35" x14ac:dyDescent="0.2">
      <c r="A436" s="109">
        <v>1589.50215</v>
      </c>
      <c r="B436" s="10">
        <v>499.26665000000003</v>
      </c>
      <c r="C436" s="10">
        <v>1238</v>
      </c>
      <c r="D436" s="28">
        <v>2</v>
      </c>
      <c r="E436" s="10">
        <v>36</v>
      </c>
      <c r="F436" s="10">
        <f>(C436-$AE$8)*EchelleFPAparam!$C$3/EchelleFPAparam!$E$3</f>
        <v>-3.5476190476190477E-3</v>
      </c>
    </row>
    <row r="437" spans="1:35" x14ac:dyDescent="0.2">
      <c r="A437" s="109"/>
      <c r="B437" s="10">
        <f>B436+(D436-1)*2048-3072+(D436-2)*EchelleFPAparam!$B$3/EchelleFPAparam!$C$3</f>
        <v>-524.73334999999997</v>
      </c>
    </row>
    <row r="438" spans="1:35" x14ac:dyDescent="0.2">
      <c r="A438" s="109"/>
      <c r="B438" s="10">
        <f>B437*EchelleFPAparam!$C$3*COS(EchelleFPAparam!$AC$3)*$B$6</f>
        <v>-9.5369253494476638</v>
      </c>
    </row>
    <row r="439" spans="1:35" x14ac:dyDescent="0.2">
      <c r="A439" s="109"/>
      <c r="B439" s="10">
        <f>ATAN(B438/EchelleFPAparam!$E$3)</f>
        <v>-6.30740666583388E-3</v>
      </c>
      <c r="C439" s="29">
        <f>EchelleFPAparam!$M$3+$B439</f>
        <v>-6.2280116604167213E-2</v>
      </c>
      <c r="F439" s="10">
        <f>ASIN($E436*$A436/(COS(F436)*2*EchelleFPAparam!$S$3*COS(-$C439/2)))-$C439/2</f>
        <v>1.170137183280094</v>
      </c>
      <c r="G439" s="29">
        <f>$F439*180/EchelleFPAparam!$O$3</f>
        <v>67.043921062847176</v>
      </c>
      <c r="H439" s="10">
        <v>350</v>
      </c>
      <c r="I439" s="121" t="s">
        <v>355</v>
      </c>
      <c r="J439" s="10">
        <f>A436</f>
        <v>1589.50215</v>
      </c>
      <c r="K439" s="10">
        <f>B436+(D436-1)*2198</f>
        <v>2697.26665</v>
      </c>
      <c r="L439" s="30">
        <f>C436</f>
        <v>1238</v>
      </c>
      <c r="M439" s="10">
        <f>E436</f>
        <v>36</v>
      </c>
      <c r="N439" s="29">
        <f>G439</f>
        <v>67.043921062847176</v>
      </c>
      <c r="O439" s="10">
        <f>H439</f>
        <v>350</v>
      </c>
    </row>
    <row r="440" spans="1:35" x14ac:dyDescent="0.2">
      <c r="A440" s="123">
        <v>1220.78757</v>
      </c>
      <c r="B440" s="10">
        <v>18.218665999999999</v>
      </c>
      <c r="C440" s="10">
        <v>1057</v>
      </c>
      <c r="D440" s="28">
        <v>1</v>
      </c>
      <c r="E440" s="10">
        <v>46</v>
      </c>
      <c r="F440" s="10">
        <f>(C440-$AE$5)*EchelleFPAparam!$C$3/EchelleFPAparam!$E$3</f>
        <v>-5.7023809523809527E-3</v>
      </c>
      <c r="I440" s="121"/>
    </row>
    <row r="441" spans="1:35" x14ac:dyDescent="0.2">
      <c r="A441" s="123"/>
      <c r="B441" s="10">
        <f>B440+(D440-1)*2048-3072+(D440-2)*EchelleFPAparam!$B$3/EchelleFPAparam!$C$3</f>
        <v>-3198.7813339999998</v>
      </c>
      <c r="I441" s="121"/>
    </row>
    <row r="442" spans="1:35" x14ac:dyDescent="0.2">
      <c r="A442" s="123"/>
      <c r="B442" s="10">
        <f>B441*EchelleFPAparam!$C$3*COS(EchelleFPAparam!$AC$3)*$B$6</f>
        <v>-58.137221107758087</v>
      </c>
      <c r="I442" s="121"/>
    </row>
    <row r="443" spans="1:35" x14ac:dyDescent="0.2">
      <c r="A443" s="123"/>
      <c r="B443" s="10">
        <f>ATAN(B442/EchelleFPAparam!$E$3)</f>
        <v>-3.843161085706049E-2</v>
      </c>
      <c r="C443" s="29">
        <f>EchelleFPAparam!$M$3+$B443</f>
        <v>-9.440432079539382E-2</v>
      </c>
      <c r="F443" s="10">
        <f>ASIN($E440*$A440/(COS(F440)*2*EchelleFPAparam!$S$3*COS(-$C443/2)))-$C443/2</f>
        <v>1.1486595929905115</v>
      </c>
      <c r="G443" s="29">
        <f>$F443*180/EchelleFPAparam!$O$3</f>
        <v>65.813345803322008</v>
      </c>
      <c r="H443" s="10">
        <v>480</v>
      </c>
      <c r="I443" s="121" t="s">
        <v>353</v>
      </c>
      <c r="J443" s="10">
        <f>A440</f>
        <v>1220.78757</v>
      </c>
      <c r="K443" s="10">
        <f>B440+(D440-1)*2198</f>
        <v>18.218665999999999</v>
      </c>
      <c r="L443" s="30">
        <f>C440</f>
        <v>1057</v>
      </c>
      <c r="M443" s="10">
        <f>E440</f>
        <v>46</v>
      </c>
      <c r="N443" s="29">
        <f>G443</f>
        <v>65.813345803322008</v>
      </c>
      <c r="O443" s="10">
        <f>H443</f>
        <v>480</v>
      </c>
    </row>
    <row r="444" spans="1:35" x14ac:dyDescent="0.2">
      <c r="A444" s="123">
        <v>1126.07899</v>
      </c>
      <c r="B444" s="10">
        <v>825.61423000000002</v>
      </c>
      <c r="C444" s="10">
        <v>1874</v>
      </c>
      <c r="D444" s="28">
        <v>1</v>
      </c>
      <c r="E444" s="10">
        <v>50</v>
      </c>
      <c r="F444" s="10">
        <f>(C444-$AE$5)*EchelleFPAparam!$C$3/EchelleFPAparam!$E$3</f>
        <v>4.0238095238095233E-3</v>
      </c>
      <c r="I444" s="121"/>
      <c r="AG444" s="29">
        <f>N443</f>
        <v>65.813345803322008</v>
      </c>
      <c r="AH444" s="29">
        <f>O443</f>
        <v>480</v>
      </c>
      <c r="AI444" s="10">
        <f t="shared" ref="AI444:AI470" si="2">AG444+AH444*0.009525</f>
        <v>70.385345803322011</v>
      </c>
    </row>
    <row r="445" spans="1:35" x14ac:dyDescent="0.2">
      <c r="A445" s="123"/>
      <c r="B445" s="10">
        <f>B444+(D444-1)*2048-3072+(D444-2)*EchelleFPAparam!$B$3/EchelleFPAparam!$C$3</f>
        <v>-2391.3857699999999</v>
      </c>
      <c r="I445" s="121"/>
      <c r="AG445" s="29">
        <f>N447</f>
        <v>65.808583782398642</v>
      </c>
      <c r="AH445" s="29">
        <f>O447</f>
        <v>480</v>
      </c>
      <c r="AI445" s="10">
        <f t="shared" si="2"/>
        <v>70.380583782398645</v>
      </c>
    </row>
    <row r="446" spans="1:35" x14ac:dyDescent="0.2">
      <c r="A446" s="123"/>
      <c r="B446" s="10">
        <f>B445*EchelleFPAparam!$C$3*COS(EchelleFPAparam!$AC$3)*$B$6</f>
        <v>-43.462965657169349</v>
      </c>
      <c r="I446" s="121"/>
      <c r="AG446" s="29">
        <f>N451</f>
        <v>65.815045052676311</v>
      </c>
      <c r="AH446" s="29">
        <f>O451</f>
        <v>480</v>
      </c>
      <c r="AI446" s="10">
        <f t="shared" si="2"/>
        <v>70.387045052676314</v>
      </c>
    </row>
    <row r="447" spans="1:35" x14ac:dyDescent="0.2">
      <c r="A447" s="123"/>
      <c r="B447" s="10">
        <f>ATAN(B446/EchelleFPAparam!$E$3)</f>
        <v>-2.873743420066913E-2</v>
      </c>
      <c r="C447" s="29">
        <f>EchelleFPAparam!$M$3+$B447</f>
        <v>-8.4710144139002463E-2</v>
      </c>
      <c r="F447" s="10">
        <f>ASIN($E444*$A444/(COS(F444)*2*EchelleFPAparam!$S$3*COS(-$C447/2)))-$C447/2</f>
        <v>1.1485764800451219</v>
      </c>
      <c r="G447" s="29">
        <f>$F447*180/EchelleFPAparam!$O$3</f>
        <v>65.808583782398642</v>
      </c>
      <c r="H447" s="10">
        <v>480</v>
      </c>
      <c r="I447" s="121" t="str">
        <f>I443</f>
        <v>J</v>
      </c>
      <c r="J447" s="10">
        <f>A444</f>
        <v>1126.07899</v>
      </c>
      <c r="K447" s="10">
        <f>B444+(D444-1)*2198</f>
        <v>825.61423000000002</v>
      </c>
      <c r="L447" s="30">
        <f>C444</f>
        <v>1874</v>
      </c>
      <c r="M447" s="10">
        <f>E444</f>
        <v>50</v>
      </c>
      <c r="N447" s="29">
        <f>G447</f>
        <v>65.808583782398642</v>
      </c>
      <c r="O447" s="10">
        <f>H447</f>
        <v>480</v>
      </c>
      <c r="AG447" s="29">
        <f>N455</f>
        <v>65.814416879653876</v>
      </c>
      <c r="AH447" s="29">
        <f>O455</f>
        <v>480</v>
      </c>
      <c r="AI447" s="10">
        <f t="shared" si="2"/>
        <v>70.386416879653879</v>
      </c>
    </row>
    <row r="448" spans="1:35" x14ac:dyDescent="0.2">
      <c r="A448" s="123">
        <v>1278.60301</v>
      </c>
      <c r="B448" s="10">
        <v>579.10789999999997</v>
      </c>
      <c r="C448" s="10">
        <v>580</v>
      </c>
      <c r="D448" s="28">
        <v>1</v>
      </c>
      <c r="E448" s="10">
        <v>44</v>
      </c>
      <c r="F448" s="10">
        <f>(C448-$AE$5)*EchelleFPAparam!$C$3/EchelleFPAparam!$E$3</f>
        <v>-1.138095238095238E-2</v>
      </c>
      <c r="I448" s="121"/>
      <c r="AG448" s="29">
        <f>N459</f>
        <v>65.809939261535021</v>
      </c>
      <c r="AH448" s="29">
        <f>O459</f>
        <v>480</v>
      </c>
      <c r="AI448" s="10">
        <f t="shared" si="2"/>
        <v>70.381939261535024</v>
      </c>
    </row>
    <row r="449" spans="1:35" x14ac:dyDescent="0.2">
      <c r="A449" s="123"/>
      <c r="B449" s="10">
        <f>B448+(D448-1)*2048-3072+(D448-2)*EchelleFPAparam!$B$3/EchelleFPAparam!$C$3</f>
        <v>-2637.8921</v>
      </c>
      <c r="I449" s="121"/>
      <c r="AG449" s="29">
        <f>N463</f>
        <v>65.812811440685877</v>
      </c>
      <c r="AH449" s="29">
        <f>O463</f>
        <v>480</v>
      </c>
      <c r="AI449" s="10">
        <f t="shared" si="2"/>
        <v>70.38481144068588</v>
      </c>
    </row>
    <row r="450" spans="1:35" x14ac:dyDescent="0.2">
      <c r="A450" s="123"/>
      <c r="B450" s="10">
        <f>B449*EchelleFPAparam!$C$3*COS(EchelleFPAparam!$AC$3)*$B$6</f>
        <v>-47.943169683416798</v>
      </c>
      <c r="I450" s="121"/>
      <c r="AG450" s="29">
        <f>N467</f>
        <v>65.81431034715628</v>
      </c>
      <c r="AH450" s="29">
        <f>O467</f>
        <v>480</v>
      </c>
      <c r="AI450" s="10">
        <f t="shared" si="2"/>
        <v>70.386310347156282</v>
      </c>
    </row>
    <row r="451" spans="1:35" x14ac:dyDescent="0.2">
      <c r="A451" s="123"/>
      <c r="B451" s="10">
        <f>ATAN(B450/EchelleFPAparam!$E$3)</f>
        <v>-3.1697825137120196E-2</v>
      </c>
      <c r="C451" s="29">
        <f>EchelleFPAparam!$M$3+$B451</f>
        <v>-8.7670535075453526E-2</v>
      </c>
      <c r="F451" s="10">
        <f>ASIN($E448*$A448/(COS(F448)*2*EchelleFPAparam!$S$3*COS(-$C451/2)))-$C451/2</f>
        <v>1.1486892504869946</v>
      </c>
      <c r="G451" s="29">
        <f>$F451*180/EchelleFPAparam!$O$3</f>
        <v>65.815045052676311</v>
      </c>
      <c r="H451" s="10">
        <v>480</v>
      </c>
      <c r="I451" s="121" t="str">
        <f>I447</f>
        <v>J</v>
      </c>
      <c r="J451" s="10">
        <f>A448</f>
        <v>1278.60301</v>
      </c>
      <c r="K451" s="10">
        <f>B448+(D448-1)*2198</f>
        <v>579.10789999999997</v>
      </c>
      <c r="L451" s="30">
        <f>C448</f>
        <v>580</v>
      </c>
      <c r="M451" s="10">
        <f>E448</f>
        <v>44</v>
      </c>
      <c r="N451" s="29">
        <f>G451</f>
        <v>65.815045052676311</v>
      </c>
      <c r="O451" s="10">
        <f>H451</f>
        <v>480</v>
      </c>
      <c r="AG451" s="29">
        <f>N471</f>
        <v>65.813814960058195</v>
      </c>
      <c r="AH451" s="29">
        <f>O471</f>
        <v>480</v>
      </c>
      <c r="AI451" s="10">
        <f t="shared" si="2"/>
        <v>70.385814960058198</v>
      </c>
    </row>
    <row r="452" spans="1:35" x14ac:dyDescent="0.2">
      <c r="A452" s="123">
        <v>1312.3699300000001</v>
      </c>
      <c r="B452" s="10">
        <v>1541.7746</v>
      </c>
      <c r="C452" s="10">
        <v>314</v>
      </c>
      <c r="D452" s="28">
        <v>1</v>
      </c>
      <c r="E452" s="10">
        <v>43</v>
      </c>
      <c r="F452" s="10">
        <f>(C452-$AE$5)*EchelleFPAparam!$C$3/EchelleFPAparam!$E$3</f>
        <v>-1.4547619047619047E-2</v>
      </c>
      <c r="I452" s="121"/>
      <c r="AG452" s="29">
        <f>N475</f>
        <v>65.814719293958078</v>
      </c>
      <c r="AH452" s="29">
        <f>O475</f>
        <v>480</v>
      </c>
      <c r="AI452" s="10">
        <f t="shared" si="2"/>
        <v>70.38671929395808</v>
      </c>
    </row>
    <row r="453" spans="1:35" x14ac:dyDescent="0.2">
      <c r="A453" s="123"/>
      <c r="B453" s="10">
        <f>B452+(D452-1)*2048-3072+(D452-2)*EchelleFPAparam!$B$3/EchelleFPAparam!$C$3</f>
        <v>-1675.2254</v>
      </c>
      <c r="I453" s="121"/>
      <c r="AG453" s="29">
        <f>N479</f>
        <v>65.812734148259196</v>
      </c>
      <c r="AH453" s="29">
        <f>O479</f>
        <v>480</v>
      </c>
      <c r="AI453" s="10">
        <f t="shared" si="2"/>
        <v>70.384734148259199</v>
      </c>
    </row>
    <row r="454" spans="1:35" x14ac:dyDescent="0.2">
      <c r="A454" s="123"/>
      <c r="B454" s="10">
        <f>B453*EchelleFPAparam!$C$3*COS(EchelleFPAparam!$AC$3)*$B$6</f>
        <v>-30.446891899092375</v>
      </c>
      <c r="I454" s="121"/>
      <c r="AG454" s="29">
        <f>N483</f>
        <v>65.813883641090825</v>
      </c>
      <c r="AH454" s="29">
        <f>O483</f>
        <v>480</v>
      </c>
      <c r="AI454" s="10">
        <f t="shared" si="2"/>
        <v>70.385883641090828</v>
      </c>
    </row>
    <row r="455" spans="1:35" x14ac:dyDescent="0.2">
      <c r="A455" s="123"/>
      <c r="B455" s="10">
        <f>ATAN(B454/EchelleFPAparam!$E$3)</f>
        <v>-2.0134112153304549E-2</v>
      </c>
      <c r="C455" s="29">
        <f>EchelleFPAparam!$M$3+$B455</f>
        <v>-7.6106822091637882E-2</v>
      </c>
      <c r="F455" s="10">
        <f>ASIN($E452*$A452/(COS(F452)*2*EchelleFPAparam!$S$3*COS(-$C455/2)))-$C455/2</f>
        <v>1.1486782867993188</v>
      </c>
      <c r="G455" s="29">
        <f>$F455*180/EchelleFPAparam!$O$3</f>
        <v>65.814416879653876</v>
      </c>
      <c r="H455" s="10">
        <v>480</v>
      </c>
      <c r="I455" s="121" t="str">
        <f>I451</f>
        <v>J</v>
      </c>
      <c r="J455" s="10">
        <f>A452</f>
        <v>1312.3699300000001</v>
      </c>
      <c r="K455" s="10">
        <f>B452+(D452-1)*2198</f>
        <v>1541.7746</v>
      </c>
      <c r="L455" s="30">
        <f>C452</f>
        <v>314</v>
      </c>
      <c r="M455" s="10">
        <f>E452</f>
        <v>43</v>
      </c>
      <c r="N455" s="29">
        <f>G455</f>
        <v>65.814416879653876</v>
      </c>
      <c r="O455" s="10">
        <f>H455</f>
        <v>480</v>
      </c>
      <c r="AG455" s="29">
        <f>N487</f>
        <v>65.813574078058551</v>
      </c>
      <c r="AH455" s="29">
        <f>O487</f>
        <v>480</v>
      </c>
      <c r="AI455" s="10">
        <f t="shared" si="2"/>
        <v>70.385574078058553</v>
      </c>
    </row>
    <row r="456" spans="1:35" x14ac:dyDescent="0.2">
      <c r="A456" s="123">
        <v>1146.06178</v>
      </c>
      <c r="B456" s="10">
        <v>27.150846999999999</v>
      </c>
      <c r="C456" s="10">
        <v>1686</v>
      </c>
      <c r="D456" s="28">
        <v>1</v>
      </c>
      <c r="E456" s="10">
        <v>49</v>
      </c>
      <c r="F456" s="10">
        <f>(C456-$AE$5)*EchelleFPAparam!$C$3/EchelleFPAparam!$E$3</f>
        <v>1.7857142857142854E-3</v>
      </c>
      <c r="I456" s="121"/>
      <c r="AG456" s="29">
        <f>N491</f>
        <v>65.813462193347803</v>
      </c>
      <c r="AH456" s="29">
        <f>O491</f>
        <v>480</v>
      </c>
      <c r="AI456" s="10">
        <f t="shared" si="2"/>
        <v>70.385462193347806</v>
      </c>
    </row>
    <row r="457" spans="1:35" x14ac:dyDescent="0.2">
      <c r="A457" s="123"/>
      <c r="B457" s="10">
        <f>B456+(D456-1)*2048-3072+(D456-2)*EchelleFPAparam!$B$3/EchelleFPAparam!$C$3</f>
        <v>-3189.8491530000001</v>
      </c>
      <c r="I457" s="121"/>
      <c r="AG457" s="29">
        <f>N495</f>
        <v>65.812302470797562</v>
      </c>
      <c r="AH457" s="29">
        <f>O495</f>
        <v>480</v>
      </c>
      <c r="AI457" s="10">
        <f t="shared" si="2"/>
        <v>70.384302470797564</v>
      </c>
    </row>
    <row r="458" spans="1:35" x14ac:dyDescent="0.2">
      <c r="A458" s="123"/>
      <c r="B458" s="10">
        <f>B457*EchelleFPAparam!$C$3*COS(EchelleFPAparam!$AC$3)*$B$6</f>
        <v>-57.974880476264495</v>
      </c>
      <c r="I458" s="121"/>
      <c r="AG458" s="29">
        <f>N499</f>
        <v>65.812355551864073</v>
      </c>
      <c r="AH458" s="29">
        <f>O499</f>
        <v>480</v>
      </c>
      <c r="AI458" s="10">
        <f t="shared" si="2"/>
        <v>70.384355551864076</v>
      </c>
    </row>
    <row r="459" spans="1:35" x14ac:dyDescent="0.2">
      <c r="A459" s="123"/>
      <c r="B459" s="10">
        <f>ATAN(B458/EchelleFPAparam!$E$3)</f>
        <v>-3.8324400776475899E-2</v>
      </c>
      <c r="C459" s="29">
        <f>EchelleFPAparam!$M$3+$B459</f>
        <v>-9.4297110714809229E-2</v>
      </c>
      <c r="F459" s="10">
        <f>ASIN($E456*$A456/(COS(F456)*2*EchelleFPAparam!$S$3*COS(-$C459/2)))-$C459/2</f>
        <v>1.1486001376193433</v>
      </c>
      <c r="G459" s="29">
        <f>$F459*180/EchelleFPAparam!$O$3</f>
        <v>65.809939261535021</v>
      </c>
      <c r="H459" s="10">
        <v>480</v>
      </c>
      <c r="I459" s="121" t="str">
        <f>I455</f>
        <v>J</v>
      </c>
      <c r="J459" s="10">
        <f>A456</f>
        <v>1146.06178</v>
      </c>
      <c r="K459" s="10">
        <f>B456+(D456-1)*2198</f>
        <v>27.150846999999999</v>
      </c>
      <c r="L459" s="30">
        <f>C456</f>
        <v>1686</v>
      </c>
      <c r="M459" s="10">
        <f>E456</f>
        <v>49</v>
      </c>
      <c r="N459" s="29">
        <f>G459</f>
        <v>65.809939261535021</v>
      </c>
      <c r="O459" s="10">
        <f>H459</f>
        <v>480</v>
      </c>
      <c r="AG459" s="29">
        <f>N503</f>
        <v>65.432166092981689</v>
      </c>
      <c r="AH459" s="29">
        <f>O503</f>
        <v>520</v>
      </c>
      <c r="AI459" s="10">
        <f t="shared" si="2"/>
        <v>70.385166092981692</v>
      </c>
    </row>
    <row r="460" spans="1:35" x14ac:dyDescent="0.2">
      <c r="A460" s="123">
        <v>1182.26124</v>
      </c>
      <c r="B460" s="10">
        <v>1103.4387999999999</v>
      </c>
      <c r="C460" s="10">
        <v>1462</v>
      </c>
      <c r="D460" s="28">
        <v>2</v>
      </c>
      <c r="E460" s="10">
        <v>48</v>
      </c>
      <c r="F460" s="10">
        <f>(C460-$AE$5)*EchelleFPAparam!$C$3/EchelleFPAparam!$E$3</f>
        <v>-8.8095238095238081E-4</v>
      </c>
      <c r="I460" s="121"/>
      <c r="AG460" s="29">
        <f>N507</f>
        <v>65.431404743527679</v>
      </c>
      <c r="AH460" s="29">
        <f>O507</f>
        <v>520</v>
      </c>
      <c r="AI460" s="10">
        <f t="shared" si="2"/>
        <v>70.384404743527682</v>
      </c>
    </row>
    <row r="461" spans="1:35" x14ac:dyDescent="0.2">
      <c r="A461" s="123"/>
      <c r="B461" s="10">
        <f>B460+(D460-1)*2048-3072+(D460-2)*EchelleFPAparam!$B$3/EchelleFPAparam!$C$3</f>
        <v>79.438799999999901</v>
      </c>
      <c r="I461" s="121"/>
      <c r="AG461" s="29">
        <f>N511</f>
        <v>65.050770083162604</v>
      </c>
      <c r="AH461" s="29">
        <f>O511</f>
        <v>560</v>
      </c>
      <c r="AI461" s="10">
        <f t="shared" si="2"/>
        <v>70.384770083162607</v>
      </c>
    </row>
    <row r="462" spans="1:35" x14ac:dyDescent="0.2">
      <c r="A462" s="123"/>
      <c r="B462" s="10">
        <f>B461*EchelleFPAparam!$C$3*COS(EchelleFPAparam!$AC$3)*$B$6</f>
        <v>1.4437845535255236</v>
      </c>
      <c r="I462" s="121"/>
      <c r="AG462" s="29">
        <f>N515</f>
        <v>65.04965172685705</v>
      </c>
      <c r="AH462" s="29">
        <f>O515</f>
        <v>560</v>
      </c>
      <c r="AI462" s="10">
        <f t="shared" si="2"/>
        <v>70.383651726857053</v>
      </c>
    </row>
    <row r="463" spans="1:35" x14ac:dyDescent="0.2">
      <c r="A463" s="123"/>
      <c r="B463" s="10">
        <f>ATAN(B462/EchelleFPAparam!$E$3)</f>
        <v>9.5488367374992251E-4</v>
      </c>
      <c r="C463" s="29">
        <f>EchelleFPAparam!$M$3+$B463</f>
        <v>-5.501782626458341E-2</v>
      </c>
      <c r="F463" s="10">
        <f>ASIN($E460*$A460/(COS(F460)*2*EchelleFPAparam!$S$3*COS(-$C463/2)))-$C463/2</f>
        <v>1.1486502666029736</v>
      </c>
      <c r="G463" s="29">
        <f>$F463*180/EchelleFPAparam!$O$3</f>
        <v>65.812811440685877</v>
      </c>
      <c r="H463" s="10">
        <v>480</v>
      </c>
      <c r="I463" s="121" t="str">
        <f>I459</f>
        <v>J</v>
      </c>
      <c r="J463" s="10">
        <f>A460</f>
        <v>1182.26124</v>
      </c>
      <c r="K463" s="10">
        <f>B460+(D460-1)*2198</f>
        <v>3301.4387999999999</v>
      </c>
      <c r="L463" s="30">
        <f>C460</f>
        <v>1462</v>
      </c>
      <c r="M463" s="10">
        <f>E460</f>
        <v>48</v>
      </c>
      <c r="N463" s="29">
        <f>G463</f>
        <v>65.812811440685877</v>
      </c>
      <c r="O463" s="10">
        <f>H463</f>
        <v>480</v>
      </c>
      <c r="AG463" s="29">
        <f>N519</f>
        <v>64.670392843263443</v>
      </c>
      <c r="AH463" s="29">
        <f>O519</f>
        <v>600</v>
      </c>
      <c r="AI463" s="10">
        <f t="shared" si="2"/>
        <v>70.385392843263446</v>
      </c>
    </row>
    <row r="464" spans="1:35" x14ac:dyDescent="0.2">
      <c r="A464" s="123">
        <v>1288.2267999999999</v>
      </c>
      <c r="B464" s="10">
        <v>740.38133000000005</v>
      </c>
      <c r="C464" s="10">
        <v>555</v>
      </c>
      <c r="D464" s="28">
        <v>2</v>
      </c>
      <c r="E464" s="10">
        <v>44</v>
      </c>
      <c r="F464" s="10">
        <f>(C464-$AE$5)*EchelleFPAparam!$C$3/EchelleFPAparam!$E$3</f>
        <v>-1.1678571428571427E-2</v>
      </c>
      <c r="I464" s="121"/>
      <c r="AG464" s="29">
        <f>N523</f>
        <v>64.670095564363208</v>
      </c>
      <c r="AH464" s="29">
        <f>O523</f>
        <v>600</v>
      </c>
      <c r="AI464" s="10">
        <f t="shared" si="2"/>
        <v>70.385095564363212</v>
      </c>
    </row>
    <row r="465" spans="1:35" x14ac:dyDescent="0.2">
      <c r="A465" s="123"/>
      <c r="B465" s="10">
        <f>B464+(D464-1)*2048-3072+(D464-2)*EchelleFPAparam!$B$3/EchelleFPAparam!$C$3</f>
        <v>-283.61866999999984</v>
      </c>
      <c r="I465" s="121"/>
      <c r="AG465" s="29">
        <f>N527</f>
        <v>66.568607538825077</v>
      </c>
      <c r="AH465" s="29">
        <f>O527</f>
        <v>400</v>
      </c>
      <c r="AI465" s="10">
        <f t="shared" si="2"/>
        <v>70.378607538825079</v>
      </c>
    </row>
    <row r="466" spans="1:35" x14ac:dyDescent="0.2">
      <c r="A466" s="123"/>
      <c r="B466" s="10">
        <f>B465*EchelleFPAparam!$C$3*COS(EchelleFPAparam!$AC$3)*$B$6</f>
        <v>-5.1547135006754008</v>
      </c>
      <c r="I466" s="121"/>
      <c r="AG466" s="29">
        <f>N531</f>
        <v>66.573004439243292</v>
      </c>
      <c r="AH466" s="29">
        <f>O531</f>
        <v>400</v>
      </c>
      <c r="AI466" s="10">
        <f t="shared" si="2"/>
        <v>70.383004439243294</v>
      </c>
    </row>
    <row r="467" spans="1:35" x14ac:dyDescent="0.2">
      <c r="A467" s="123"/>
      <c r="B467" s="10">
        <f>ATAN(B466/EchelleFPAparam!$E$3)</f>
        <v>-3.4091888428061465E-3</v>
      </c>
      <c r="C467" s="29">
        <f>EchelleFPAparam!$M$3+$B467</f>
        <v>-5.9381898781139475E-2</v>
      </c>
      <c r="F467" s="10">
        <f>ASIN($E464*$A464/(COS(F464)*2*EchelleFPAparam!$S$3*COS(-$C467/2)))-$C467/2</f>
        <v>1.1486764274564478</v>
      </c>
      <c r="G467" s="29">
        <f>$F467*180/EchelleFPAparam!$O$3</f>
        <v>65.81431034715628</v>
      </c>
      <c r="H467" s="10">
        <v>480</v>
      </c>
      <c r="I467" s="121" t="str">
        <f>I463</f>
        <v>J</v>
      </c>
      <c r="J467" s="10">
        <f>A464</f>
        <v>1288.2267999999999</v>
      </c>
      <c r="K467" s="10">
        <f>B464+(D464-1)*2198</f>
        <v>2938.3813300000002</v>
      </c>
      <c r="L467" s="30">
        <f>C464</f>
        <v>555</v>
      </c>
      <c r="M467" s="10">
        <f>E464</f>
        <v>44</v>
      </c>
      <c r="N467" s="29">
        <f>G467</f>
        <v>65.81431034715628</v>
      </c>
      <c r="O467" s="10">
        <f>H467</f>
        <v>480</v>
      </c>
      <c r="AG467" s="29">
        <f>N535</f>
        <v>66.571592043791355</v>
      </c>
      <c r="AH467" s="29">
        <f>O535</f>
        <v>400</v>
      </c>
      <c r="AI467" s="10">
        <f t="shared" si="2"/>
        <v>70.381592043791358</v>
      </c>
    </row>
    <row r="468" spans="1:35" x14ac:dyDescent="0.2">
      <c r="A468" s="123">
        <v>1321.4261200000001</v>
      </c>
      <c r="B468" s="10">
        <v>1557.1547</v>
      </c>
      <c r="C468" s="10">
        <v>291</v>
      </c>
      <c r="D468" s="28">
        <v>2</v>
      </c>
      <c r="E468" s="10">
        <v>43</v>
      </c>
      <c r="F468" s="10">
        <f>(C468-$AE$5)*EchelleFPAparam!$C$3/EchelleFPAparam!$E$3</f>
        <v>-1.4821428571428569E-2</v>
      </c>
      <c r="I468" s="121"/>
      <c r="AG468" s="29">
        <f>N539</f>
        <v>66.191139280460348</v>
      </c>
      <c r="AH468" s="29">
        <f>O539</f>
        <v>440</v>
      </c>
      <c r="AI468" s="10">
        <f t="shared" si="2"/>
        <v>70.382139280460351</v>
      </c>
    </row>
    <row r="469" spans="1:35" x14ac:dyDescent="0.2">
      <c r="A469" s="123"/>
      <c r="B469" s="10">
        <f>B468+(D468-1)*2048-3072+(D468-2)*EchelleFPAparam!$B$3/EchelleFPAparam!$C$3</f>
        <v>533.15470000000005</v>
      </c>
      <c r="I469" s="121"/>
      <c r="AG469" s="29">
        <f>N543</f>
        <v>66.189878064348349</v>
      </c>
      <c r="AH469" s="29">
        <f>O543</f>
        <v>440</v>
      </c>
      <c r="AI469" s="10">
        <f t="shared" si="2"/>
        <v>70.380878064348352</v>
      </c>
    </row>
    <row r="470" spans="1:35" x14ac:dyDescent="0.2">
      <c r="A470" s="123"/>
      <c r="B470" s="10">
        <f>B469*EchelleFPAparam!$C$3*COS(EchelleFPAparam!$AC$3)*$B$6</f>
        <v>9.689981728066579</v>
      </c>
      <c r="I470" s="121"/>
      <c r="AG470" s="29">
        <f>N547</f>
        <v>66.191483721676306</v>
      </c>
      <c r="AH470" s="29">
        <f>O547</f>
        <v>440</v>
      </c>
      <c r="AI470" s="10">
        <f t="shared" si="2"/>
        <v>70.382483721676309</v>
      </c>
    </row>
    <row r="471" spans="1:35" x14ac:dyDescent="0.2">
      <c r="A471" s="123"/>
      <c r="B471" s="10">
        <f>ATAN(B470/EchelleFPAparam!$E$3)</f>
        <v>6.4086303373678934E-3</v>
      </c>
      <c r="C471" s="29">
        <f>EchelleFPAparam!$M$3+$B471</f>
        <v>-4.9564079600965434E-2</v>
      </c>
      <c r="F471" s="10">
        <f>ASIN($E468*$A468/(COS(F468)*2*EchelleFPAparam!$S$3*COS(-$C471/2)))-$C471/2</f>
        <v>1.1486677813203867</v>
      </c>
      <c r="G471" s="29">
        <f>$F471*180/EchelleFPAparam!$O$3</f>
        <v>65.813814960058195</v>
      </c>
      <c r="H471" s="10">
        <v>480</v>
      </c>
      <c r="I471" s="121" t="str">
        <f>I467</f>
        <v>J</v>
      </c>
      <c r="J471" s="10">
        <f>A468</f>
        <v>1321.4261200000001</v>
      </c>
      <c r="K471" s="10">
        <f>B468+(D468-1)*2198</f>
        <v>3755.1547</v>
      </c>
      <c r="L471" s="30">
        <f>C468</f>
        <v>291</v>
      </c>
      <c r="M471" s="10">
        <f>E468</f>
        <v>43</v>
      </c>
      <c r="N471" s="29">
        <f>G471</f>
        <v>65.813814960058195</v>
      </c>
      <c r="O471" s="10">
        <f>H471</f>
        <v>480</v>
      </c>
      <c r="AG471" s="29"/>
      <c r="AH471" s="29"/>
    </row>
    <row r="472" spans="1:35" x14ac:dyDescent="0.2">
      <c r="A472" s="123">
        <v>1318.1016</v>
      </c>
      <c r="B472" s="10">
        <v>731.68362999999999</v>
      </c>
      <c r="C472" s="10">
        <v>299</v>
      </c>
      <c r="D472" s="28">
        <v>2</v>
      </c>
      <c r="E472" s="10">
        <v>43</v>
      </c>
      <c r="F472" s="10">
        <f>(C472-$AE$5)*EchelleFPAparam!$C$3/EchelleFPAparam!$E$3</f>
        <v>-1.4726190476190474E-2</v>
      </c>
      <c r="I472" s="121"/>
      <c r="AG472" s="10">
        <f>INDEX(LINEST(AG444:AG470,AH444:AH470),2)</f>
        <v>70.374664880733832</v>
      </c>
      <c r="AH472" s="10">
        <f>INDEX(LINEST(AG444:AG470,AH444:AH470),1)</f>
        <v>-9.5053873648662194E-3</v>
      </c>
      <c r="AI472" s="10">
        <f>GEOMEAN(AI444:AI470)</f>
        <v>70.384166082750511</v>
      </c>
    </row>
    <row r="473" spans="1:35" x14ac:dyDescent="0.2">
      <c r="A473" s="123"/>
      <c r="B473" s="10">
        <f>B472+(D472-1)*2048-3072+(D472-2)*EchelleFPAparam!$B$3/EchelleFPAparam!$C$3</f>
        <v>-292.31637000000001</v>
      </c>
      <c r="I473" s="121"/>
      <c r="AG473" s="29"/>
      <c r="AH473" s="29"/>
    </row>
    <row r="474" spans="1:35" x14ac:dyDescent="0.2">
      <c r="A474" s="123"/>
      <c r="B474" s="10">
        <f>B473*EchelleFPAparam!$C$3*COS(EchelleFPAparam!$AC$3)*$B$6</f>
        <v>-5.3127924861484841</v>
      </c>
      <c r="I474" s="121"/>
      <c r="AG474" s="29"/>
      <c r="AH474" s="29"/>
    </row>
    <row r="475" spans="1:35" x14ac:dyDescent="0.2">
      <c r="A475" s="123"/>
      <c r="B475" s="10">
        <f>ATAN(B474/EchelleFPAparam!$E$3)</f>
        <v>-3.5137371835981673E-3</v>
      </c>
      <c r="C475" s="29">
        <f>EchelleFPAparam!$M$3+$B475</f>
        <v>-5.9486447121931497E-2</v>
      </c>
      <c r="F475" s="10">
        <f>ASIN($E472*$A472/(COS(F472)*2*EchelleFPAparam!$S$3*COS(-$C475/2)))-$C475/2</f>
        <v>1.1486835649247102</v>
      </c>
      <c r="G475" s="29">
        <f>$F475*180/EchelleFPAparam!$O$3</f>
        <v>65.814719293958078</v>
      </c>
      <c r="H475" s="10">
        <v>480</v>
      </c>
      <c r="I475" s="121" t="str">
        <f>I471</f>
        <v>J</v>
      </c>
      <c r="J475" s="10">
        <f>A472</f>
        <v>1318.1016</v>
      </c>
      <c r="K475" s="10">
        <f>B472+(D472-1)*2198</f>
        <v>2929.68363</v>
      </c>
      <c r="L475" s="30">
        <f>C472</f>
        <v>299</v>
      </c>
      <c r="M475" s="10">
        <f>E472</f>
        <v>43</v>
      </c>
      <c r="N475" s="29">
        <f>G475</f>
        <v>65.814719293958078</v>
      </c>
      <c r="O475" s="10">
        <f>H475</f>
        <v>480</v>
      </c>
      <c r="AG475" s="29"/>
      <c r="AH475" s="29"/>
    </row>
    <row r="476" spans="1:35" x14ac:dyDescent="0.2">
      <c r="A476" s="123">
        <v>1179.5654300000001</v>
      </c>
      <c r="B476" s="10">
        <v>366.24047999999999</v>
      </c>
      <c r="C476" s="10">
        <v>1466</v>
      </c>
      <c r="D476" s="28">
        <v>2</v>
      </c>
      <c r="E476" s="10">
        <v>48</v>
      </c>
      <c r="F476" s="10">
        <f>(C476-$AE$5)*EchelleFPAparam!$C$3/EchelleFPAparam!$E$3</f>
        <v>-8.3333333333333339E-4</v>
      </c>
      <c r="I476" s="121"/>
      <c r="AG476" s="29"/>
      <c r="AH476" s="29"/>
    </row>
    <row r="477" spans="1:35" x14ac:dyDescent="0.2">
      <c r="A477" s="123"/>
      <c r="B477" s="10">
        <f>B476+(D476-1)*2048-3072+(D476-2)*EchelleFPAparam!$B$3/EchelleFPAparam!$C$3</f>
        <v>-657.75952000000007</v>
      </c>
      <c r="I477" s="121"/>
      <c r="AG477" s="29"/>
      <c r="AH477" s="29"/>
    </row>
    <row r="478" spans="1:35" x14ac:dyDescent="0.2">
      <c r="A478" s="123"/>
      <c r="B478" s="10">
        <f>B477*EchelleFPAparam!$C$3*COS(EchelleFPAparam!$AC$3)*$B$6</f>
        <v>-11.954649804759939</v>
      </c>
      <c r="I478" s="121"/>
      <c r="AG478" s="29"/>
      <c r="AH478" s="29"/>
    </row>
    <row r="479" spans="1:35" x14ac:dyDescent="0.2">
      <c r="A479" s="123"/>
      <c r="B479" s="10">
        <f>ATAN(B478/EchelleFPAparam!$E$3)</f>
        <v>-7.9063496740830724E-3</v>
      </c>
      <c r="C479" s="29">
        <f>EchelleFPAparam!$M$3+$B479</f>
        <v>-6.3879059612416397E-2</v>
      </c>
      <c r="F479" s="10">
        <f>ASIN($E476*$A476/(COS(F476)*2*EchelleFPAparam!$S$3*COS(-$C479/2)))-$C479/2</f>
        <v>1.1486489175956212</v>
      </c>
      <c r="G479" s="29">
        <f>$F479*180/EchelleFPAparam!$O$3</f>
        <v>65.812734148259196</v>
      </c>
      <c r="H479" s="10">
        <v>480</v>
      </c>
      <c r="I479" s="121" t="str">
        <f>I475</f>
        <v>J</v>
      </c>
      <c r="J479" s="10">
        <f>A476</f>
        <v>1179.5654300000001</v>
      </c>
      <c r="K479" s="10">
        <f>B476+(D476-1)*2198</f>
        <v>2564.2404799999999</v>
      </c>
      <c r="L479" s="30">
        <f>C476</f>
        <v>1466</v>
      </c>
      <c r="M479" s="10">
        <f>E476</f>
        <v>48</v>
      </c>
      <c r="N479" s="29">
        <f>G479</f>
        <v>65.812734148259196</v>
      </c>
      <c r="O479" s="10">
        <f>H479</f>
        <v>480</v>
      </c>
      <c r="AG479" s="29"/>
      <c r="AH479" s="29"/>
    </row>
    <row r="480" spans="1:35" x14ac:dyDescent="0.2">
      <c r="A480" s="123">
        <v>1324.4277199999999</v>
      </c>
      <c r="B480" s="10">
        <v>121.11501</v>
      </c>
      <c r="C480" s="10">
        <v>283</v>
      </c>
      <c r="D480" s="28">
        <v>3</v>
      </c>
      <c r="E480" s="10">
        <v>43</v>
      </c>
      <c r="F480" s="10">
        <f>(C480-$AE$5)*EchelleFPAparam!$C$3/EchelleFPAparam!$E$3</f>
        <v>-1.4916666666666665E-2</v>
      </c>
      <c r="I480" s="121"/>
      <c r="AG480" s="29"/>
      <c r="AH480" s="29"/>
    </row>
    <row r="481" spans="1:34" x14ac:dyDescent="0.2">
      <c r="A481" s="123"/>
      <c r="B481" s="10">
        <f>B480+(D480-1)*2048-3072+(D480-2)*EchelleFPAparam!$B$3/EchelleFPAparam!$C$3</f>
        <v>1290.1150100000004</v>
      </c>
      <c r="I481" s="121"/>
      <c r="AG481" s="29"/>
      <c r="AH481" s="29"/>
    </row>
    <row r="482" spans="1:34" x14ac:dyDescent="0.2">
      <c r="A482" s="123"/>
      <c r="B482" s="10">
        <f>B481*EchelleFPAparam!$C$3*COS(EchelleFPAparam!$AC$3)*$B$6</f>
        <v>23.447586364716347</v>
      </c>
      <c r="I482" s="121"/>
      <c r="AG482" s="29"/>
      <c r="AH482" s="29"/>
    </row>
    <row r="483" spans="1:34" x14ac:dyDescent="0.2">
      <c r="A483" s="123"/>
      <c r="B483" s="10">
        <f>ATAN(B482/EchelleFPAparam!$E$3)</f>
        <v>1.5506419985373112E-2</v>
      </c>
      <c r="C483" s="29">
        <f>EchelleFPAparam!$M$3+$B483</f>
        <v>-4.046628995296022E-2</v>
      </c>
      <c r="F483" s="10">
        <f>ASIN($E480*$A480/(COS(F480)*2*EchelleFPAparam!$S$3*COS(-$C483/2)))-$C483/2</f>
        <v>1.1486689800305574</v>
      </c>
      <c r="G483" s="29">
        <f>$F483*180/EchelleFPAparam!$O$3</f>
        <v>65.813883641090825</v>
      </c>
      <c r="H483" s="10">
        <v>480</v>
      </c>
      <c r="I483" s="121" t="str">
        <f>I479</f>
        <v>J</v>
      </c>
      <c r="J483" s="10">
        <f>A480</f>
        <v>1324.4277199999999</v>
      </c>
      <c r="K483" s="10">
        <f>B480+(D480-1)*2198</f>
        <v>4517.1150100000004</v>
      </c>
      <c r="L483" s="30">
        <f>C480</f>
        <v>283</v>
      </c>
      <c r="M483" s="10">
        <f>E480</f>
        <v>43</v>
      </c>
      <c r="N483" s="29">
        <f>G483</f>
        <v>65.813883641090825</v>
      </c>
      <c r="O483" s="10">
        <f>H483</f>
        <v>480</v>
      </c>
      <c r="AG483" s="29"/>
      <c r="AH483" s="29"/>
    </row>
    <row r="484" spans="1:34" x14ac:dyDescent="0.2">
      <c r="A484" s="123">
        <v>1298.8845100000001</v>
      </c>
      <c r="B484" s="10">
        <v>1312.5736999999999</v>
      </c>
      <c r="C484" s="10">
        <v>529</v>
      </c>
      <c r="D484" s="28">
        <v>3</v>
      </c>
      <c r="E484" s="10">
        <v>44</v>
      </c>
      <c r="F484" s="10">
        <f>(C484-$AE$5)*EchelleFPAparam!$C$3/EchelleFPAparam!$E$3</f>
        <v>-1.1988095238095237E-2</v>
      </c>
      <c r="I484" s="121"/>
    </row>
    <row r="485" spans="1:34" x14ac:dyDescent="0.2">
      <c r="A485" s="123"/>
      <c r="B485" s="10">
        <f>B484+(D484-1)*2048-3072+(D484-2)*EchelleFPAparam!$B$3/EchelleFPAparam!$C$3</f>
        <v>2481.5736999999999</v>
      </c>
      <c r="I485" s="121"/>
    </row>
    <row r="486" spans="1:34" x14ac:dyDescent="0.2">
      <c r="A486" s="123"/>
      <c r="B486" s="10">
        <f>B485*EchelleFPAparam!$C$3*COS(EchelleFPAparam!$AC$3)*$B$6</f>
        <v>45.102113532621154</v>
      </c>
      <c r="I486" s="121"/>
    </row>
    <row r="487" spans="1:34" x14ac:dyDescent="0.2">
      <c r="A487" s="123"/>
      <c r="B487" s="10">
        <f>ATAN(B486/EchelleFPAparam!$E$3)</f>
        <v>2.9820597520269866E-2</v>
      </c>
      <c r="C487" s="29">
        <f>EchelleFPAparam!$M$3+$B487</f>
        <v>-2.6152112418063464E-2</v>
      </c>
      <c r="F487" s="10">
        <f>ASIN($E484*$A484/(COS(F484)*2*EchelleFPAparam!$S$3*COS(-$C487/2)))-$C487/2</f>
        <v>1.1486635771363221</v>
      </c>
      <c r="G487" s="29">
        <f>$F487*180/EchelleFPAparam!$O$3</f>
        <v>65.813574078058551</v>
      </c>
      <c r="H487" s="10">
        <v>480</v>
      </c>
      <c r="I487" s="121" t="str">
        <f>I483</f>
        <v>J</v>
      </c>
      <c r="J487" s="10">
        <f>A484</f>
        <v>1298.8845100000001</v>
      </c>
      <c r="K487" s="10">
        <f>B484+(D484-1)*2198</f>
        <v>5708.5736999999999</v>
      </c>
      <c r="L487" s="30">
        <f>C484</f>
        <v>529</v>
      </c>
      <c r="M487" s="10">
        <f>E484</f>
        <v>44</v>
      </c>
      <c r="N487" s="29">
        <f>G487</f>
        <v>65.813574078058551</v>
      </c>
      <c r="O487" s="10">
        <f>H487</f>
        <v>480</v>
      </c>
    </row>
    <row r="488" spans="1:34" x14ac:dyDescent="0.2">
      <c r="A488" s="123">
        <v>1212.1114399999999</v>
      </c>
      <c r="B488" s="10">
        <v>198.43006</v>
      </c>
      <c r="C488" s="10">
        <v>1242</v>
      </c>
      <c r="D488" s="28">
        <v>3</v>
      </c>
      <c r="E488" s="10">
        <v>47</v>
      </c>
      <c r="F488" s="10">
        <f>(C488-$AE$5)*EchelleFPAparam!$C$3/EchelleFPAparam!$E$3</f>
        <v>-3.5000000000000001E-3</v>
      </c>
      <c r="I488" s="121"/>
    </row>
    <row r="489" spans="1:34" x14ac:dyDescent="0.2">
      <c r="A489" s="123"/>
      <c r="B489" s="10">
        <f>B488+(D488-1)*2048-3072+(D488-2)*EchelleFPAparam!$B$3/EchelleFPAparam!$C$3</f>
        <v>1367.4300599999997</v>
      </c>
      <c r="I489" s="121"/>
    </row>
    <row r="490" spans="1:34" x14ac:dyDescent="0.2">
      <c r="A490" s="123"/>
      <c r="B490" s="10">
        <f>B489*EchelleFPAparam!$C$3*COS(EchelleFPAparam!$AC$3)*$B$6</f>
        <v>24.852772180023891</v>
      </c>
      <c r="I490" s="121"/>
    </row>
    <row r="491" spans="1:34" x14ac:dyDescent="0.2">
      <c r="A491" s="123"/>
      <c r="B491" s="10">
        <f>ATAN(B490/EchelleFPAparam!$E$3)</f>
        <v>1.6435538583808602E-2</v>
      </c>
      <c r="C491" s="29">
        <f>EchelleFPAparam!$M$3+$B491</f>
        <v>-3.9537171354524725E-2</v>
      </c>
      <c r="F491" s="10">
        <f>ASIN($E488*$A488/(COS(F488)*2*EchelleFPAparam!$S$3*COS(-$C491/2)))-$C491/2</f>
        <v>1.1486616243797081</v>
      </c>
      <c r="G491" s="29">
        <f>$F491*180/EchelleFPAparam!$O$3</f>
        <v>65.813462193347803</v>
      </c>
      <c r="H491" s="10">
        <v>480</v>
      </c>
      <c r="I491" s="121" t="str">
        <f>I487</f>
        <v>J</v>
      </c>
      <c r="J491" s="10">
        <f>A488</f>
        <v>1212.1114399999999</v>
      </c>
      <c r="K491" s="10">
        <f>B488+(D488-1)*2198</f>
        <v>4594.4300599999997</v>
      </c>
      <c r="L491" s="30">
        <f>C488</f>
        <v>1242</v>
      </c>
      <c r="M491" s="10">
        <f>E488</f>
        <v>47</v>
      </c>
      <c r="N491" s="29">
        <f>G491</f>
        <v>65.813462193347803</v>
      </c>
      <c r="O491" s="10">
        <f>H491</f>
        <v>480</v>
      </c>
    </row>
    <row r="492" spans="1:34" x14ac:dyDescent="0.2">
      <c r="A492" s="123">
        <v>1119.0169699999999</v>
      </c>
      <c r="B492" s="10">
        <v>806.62687000000005</v>
      </c>
      <c r="C492" s="10">
        <v>2039</v>
      </c>
      <c r="D492" s="28">
        <v>3</v>
      </c>
      <c r="E492" s="10">
        <v>51</v>
      </c>
      <c r="F492" s="10">
        <f>(C492-$AE$5)*EchelleFPAparam!$C$3/EchelleFPAparam!$E$3</f>
        <v>5.9880952380952368E-3</v>
      </c>
      <c r="I492" s="121"/>
    </row>
    <row r="493" spans="1:34" x14ac:dyDescent="0.2">
      <c r="A493" s="123"/>
      <c r="B493" s="10">
        <f>B492+(D492-1)*2048-3072+(D492-2)*EchelleFPAparam!$B$3/EchelleFPAparam!$C$3</f>
        <v>1975.6268700000001</v>
      </c>
      <c r="I493" s="121"/>
    </row>
    <row r="494" spans="1:34" x14ac:dyDescent="0.2">
      <c r="A494" s="123"/>
      <c r="B494" s="10">
        <f>B493*EchelleFPAparam!$C$3*COS(EchelleFPAparam!$AC$3)*$B$6</f>
        <v>35.906629486296126</v>
      </c>
      <c r="I494" s="121"/>
    </row>
    <row r="495" spans="1:34" x14ac:dyDescent="0.2">
      <c r="A495" s="123"/>
      <c r="B495" s="10">
        <f>ATAN(B494/EchelleFPAparam!$E$3)</f>
        <v>2.374330809672822E-2</v>
      </c>
      <c r="C495" s="29">
        <f>EchelleFPAparam!$M$3+$B495</f>
        <v>-3.222940184160511E-2</v>
      </c>
      <c r="F495" s="10">
        <f>ASIN($E492*$A492/(COS(F492)*2*EchelleFPAparam!$S$3*COS(-$C495/2)))-$C495/2</f>
        <v>1.1486413834024978</v>
      </c>
      <c r="G495" s="29">
        <f>$F495*180/EchelleFPAparam!$O$3</f>
        <v>65.812302470797562</v>
      </c>
      <c r="H495" s="10">
        <v>480</v>
      </c>
      <c r="I495" s="121" t="str">
        <f>I491</f>
        <v>J</v>
      </c>
      <c r="J495" s="10">
        <f>A492</f>
        <v>1119.0169699999999</v>
      </c>
      <c r="K495" s="10">
        <f>B492+(D492-1)*2198</f>
        <v>5202.6268700000001</v>
      </c>
      <c r="L495" s="30">
        <f>C492</f>
        <v>2039</v>
      </c>
      <c r="M495" s="10">
        <f>E492</f>
        <v>51</v>
      </c>
      <c r="N495" s="29">
        <f>G495</f>
        <v>65.812302470797562</v>
      </c>
      <c r="O495" s="10">
        <f>H495</f>
        <v>480</v>
      </c>
    </row>
    <row r="496" spans="1:34" x14ac:dyDescent="0.2">
      <c r="A496" s="123">
        <v>1330.7986800000001</v>
      </c>
      <c r="B496" s="10">
        <v>1781.3398999999999</v>
      </c>
      <c r="C496" s="10">
        <v>264</v>
      </c>
      <c r="D496" s="28">
        <v>3</v>
      </c>
      <c r="E496" s="10">
        <v>43</v>
      </c>
      <c r="F496" s="10">
        <f>(C496-$AE$5)*EchelleFPAparam!$C$3/EchelleFPAparam!$E$3</f>
        <v>-1.514285714285714E-2</v>
      </c>
      <c r="I496" s="121"/>
    </row>
    <row r="497" spans="1:15" x14ac:dyDescent="0.2">
      <c r="A497" s="123"/>
      <c r="B497" s="10">
        <f>B496+(D496-1)*2048-3072+(D496-2)*EchelleFPAparam!$B$3/EchelleFPAparam!$C$3</f>
        <v>2950.3398999999999</v>
      </c>
      <c r="I497" s="121"/>
    </row>
    <row r="498" spans="1:15" x14ac:dyDescent="0.2">
      <c r="A498" s="123"/>
      <c r="B498" s="10">
        <f>B497*EchelleFPAparam!$C$3*COS(EchelleFPAparam!$AC$3)*$B$6</f>
        <v>53.621846947210216</v>
      </c>
      <c r="I498" s="121"/>
    </row>
    <row r="499" spans="1:15" x14ac:dyDescent="0.2">
      <c r="A499" s="123"/>
      <c r="B499" s="10">
        <f>ATAN(B498/EchelleFPAparam!$E$3)</f>
        <v>3.5449327831133186E-2</v>
      </c>
      <c r="C499" s="29">
        <f>EchelleFPAparam!$M$3+$B499</f>
        <v>-2.0523382107200144E-2</v>
      </c>
      <c r="F499" s="10">
        <f>ASIN($E496*$A496/(COS(F496)*2*EchelleFPAparam!$S$3*COS(-$C499/2)))-$C499/2</f>
        <v>1.1486423098418925</v>
      </c>
      <c r="G499" s="29">
        <f>$F499*180/EchelleFPAparam!$O$3</f>
        <v>65.812355551864073</v>
      </c>
      <c r="H499" s="10">
        <v>480</v>
      </c>
      <c r="I499" s="121" t="str">
        <f>I495</f>
        <v>J</v>
      </c>
      <c r="J499" s="10">
        <f>A496</f>
        <v>1330.7986800000001</v>
      </c>
      <c r="K499" s="10">
        <f>B496+(D496-1)*2198</f>
        <v>6177.3398999999999</v>
      </c>
      <c r="L499" s="30">
        <f>C496</f>
        <v>264</v>
      </c>
      <c r="M499" s="10">
        <f>E496</f>
        <v>43</v>
      </c>
      <c r="N499" s="29">
        <f>G499</f>
        <v>65.812355551864073</v>
      </c>
      <c r="O499" s="10">
        <f>H499</f>
        <v>480</v>
      </c>
    </row>
    <row r="500" spans="1:15" x14ac:dyDescent="0.2">
      <c r="A500" s="123">
        <v>1312.3699300000001</v>
      </c>
      <c r="B500" s="10">
        <v>384.54190999999997</v>
      </c>
      <c r="C500" s="10">
        <v>340</v>
      </c>
      <c r="D500" s="28">
        <v>2</v>
      </c>
      <c r="E500" s="10">
        <v>43</v>
      </c>
      <c r="F500" s="10">
        <f>(C500-$AE$5)*EchelleFPAparam!$C$3/EchelleFPAparam!$E$3</f>
        <v>-1.4238095238095237E-2</v>
      </c>
      <c r="I500" s="121"/>
    </row>
    <row r="501" spans="1:15" x14ac:dyDescent="0.2">
      <c r="A501" s="123"/>
      <c r="B501" s="10">
        <f>B500+(D500-1)*2048-3072+(D500-2)*EchelleFPAparam!$B$3/EchelleFPAparam!$C$3</f>
        <v>-639.45809000000008</v>
      </c>
      <c r="I501" s="121"/>
    </row>
    <row r="502" spans="1:15" x14ac:dyDescent="0.2">
      <c r="A502" s="123"/>
      <c r="B502" s="10">
        <f>B501*EchelleFPAparam!$C$3*COS(EchelleFPAparam!$AC$3)*$B$6</f>
        <v>-11.62202491690377</v>
      </c>
      <c r="I502" s="121"/>
    </row>
    <row r="503" spans="1:15" x14ac:dyDescent="0.2">
      <c r="A503" s="123"/>
      <c r="B503" s="10">
        <f>ATAN(B502/EchelleFPAparam!$E$3)</f>
        <v>-7.6863730412110578E-3</v>
      </c>
      <c r="C503" s="29">
        <f>EchelleFPAparam!$M$3+$B503</f>
        <v>-6.3659082979544382E-2</v>
      </c>
      <c r="F503" s="10">
        <f>ASIN($E500*$A500/(COS(F500)*2*EchelleFPAparam!$S$3*COS(-$C503/2)))-$C503/2</f>
        <v>1.1420067519049932</v>
      </c>
      <c r="G503" s="29">
        <f>$F503*180/EchelleFPAparam!$O$3</f>
        <v>65.432166092981689</v>
      </c>
      <c r="H503" s="10">
        <v>520</v>
      </c>
      <c r="I503" s="121" t="str">
        <f>I499</f>
        <v>J</v>
      </c>
      <c r="J503" s="10">
        <f>A500</f>
        <v>1312.3699300000001</v>
      </c>
      <c r="K503" s="10">
        <f>B500+(D500-1)*2198</f>
        <v>2582.5419099999999</v>
      </c>
      <c r="L503" s="30">
        <f>C500</f>
        <v>340</v>
      </c>
      <c r="M503" s="10">
        <f>E500</f>
        <v>43</v>
      </c>
      <c r="N503" s="29">
        <f>G503</f>
        <v>65.432166092981689</v>
      </c>
      <c r="O503" s="10">
        <f>H503</f>
        <v>520</v>
      </c>
    </row>
    <row r="504" spans="1:15" x14ac:dyDescent="0.2">
      <c r="A504" s="123">
        <v>1212.1114399999999</v>
      </c>
      <c r="B504" s="10">
        <v>1270.6424999999999</v>
      </c>
      <c r="C504" s="10">
        <v>1268</v>
      </c>
      <c r="D504" s="28">
        <v>3</v>
      </c>
      <c r="E504" s="10">
        <v>47</v>
      </c>
      <c r="F504" s="10">
        <f>(C504-$AE$5)*EchelleFPAparam!$C$3/EchelleFPAparam!$E$3</f>
        <v>-3.1904761904761902E-3</v>
      </c>
      <c r="I504" s="121"/>
    </row>
    <row r="505" spans="1:15" x14ac:dyDescent="0.2">
      <c r="A505" s="123"/>
      <c r="B505" s="10">
        <f>B504+(D504-1)*2048-3072+(D504-2)*EchelleFPAparam!$B$3/EchelleFPAparam!$C$3</f>
        <v>2439.6424999999999</v>
      </c>
      <c r="I505" s="121"/>
    </row>
    <row r="506" spans="1:15" x14ac:dyDescent="0.2">
      <c r="A506" s="123"/>
      <c r="B506" s="10">
        <f>B505*EchelleFPAparam!$C$3*COS(EchelleFPAparam!$AC$3)*$B$6</f>
        <v>44.340022226221897</v>
      </c>
      <c r="I506" s="121"/>
    </row>
    <row r="507" spans="1:15" x14ac:dyDescent="0.2">
      <c r="A507" s="123"/>
      <c r="B507" s="10">
        <f>ATAN(B506/EchelleFPAparam!$E$3)</f>
        <v>2.931700944009423E-2</v>
      </c>
      <c r="C507" s="29">
        <f>EchelleFPAparam!$M$3+$B507</f>
        <v>-2.66557004982391E-2</v>
      </c>
      <c r="F507" s="10">
        <f>ASIN($E504*$A504/(COS(F504)*2*EchelleFPAparam!$S$3*COS(-$C507/2)))-$C507/2</f>
        <v>1.1419934638500662</v>
      </c>
      <c r="G507" s="29">
        <f>$F507*180/EchelleFPAparam!$O$3</f>
        <v>65.431404743527679</v>
      </c>
      <c r="H507" s="10">
        <v>520</v>
      </c>
      <c r="I507" s="121" t="str">
        <f>I503</f>
        <v>J</v>
      </c>
      <c r="J507" s="10">
        <f>A504</f>
        <v>1212.1114399999999</v>
      </c>
      <c r="K507" s="10">
        <f>B504+(D504-1)*2198</f>
        <v>5666.6424999999999</v>
      </c>
      <c r="L507" s="30">
        <f>C504</f>
        <v>1268</v>
      </c>
      <c r="M507" s="10">
        <f>E504</f>
        <v>47</v>
      </c>
      <c r="N507" s="29">
        <f>G507</f>
        <v>65.431404743527679</v>
      </c>
      <c r="O507" s="10">
        <f>H507</f>
        <v>520</v>
      </c>
    </row>
    <row r="508" spans="1:15" x14ac:dyDescent="0.2">
      <c r="A508" s="123">
        <v>1278.60301</v>
      </c>
      <c r="B508" s="10">
        <v>449.85090000000002</v>
      </c>
      <c r="C508" s="10">
        <v>632</v>
      </c>
      <c r="D508" s="28">
        <v>2</v>
      </c>
      <c r="E508" s="10">
        <v>44</v>
      </c>
      <c r="F508" s="10">
        <f>(C508-$AE$5)*EchelleFPAparam!$C$3/EchelleFPAparam!$E$3</f>
        <v>-1.0761904761904761E-2</v>
      </c>
      <c r="I508" s="121"/>
    </row>
    <row r="509" spans="1:15" x14ac:dyDescent="0.2">
      <c r="A509" s="123"/>
      <c r="B509" s="10">
        <f>B508+(D508-1)*2048-3072+(D508-2)*EchelleFPAparam!$B$3/EchelleFPAparam!$C$3</f>
        <v>-574.14910000000009</v>
      </c>
      <c r="I509" s="121"/>
    </row>
    <row r="510" spans="1:15" x14ac:dyDescent="0.2">
      <c r="A510" s="123"/>
      <c r="B510" s="10">
        <f>B509*EchelleFPAparam!$C$3*COS(EchelleFPAparam!$AC$3)*$B$6</f>
        <v>-10.435046878862499</v>
      </c>
      <c r="I510" s="121"/>
    </row>
    <row r="511" spans="1:15" x14ac:dyDescent="0.2">
      <c r="A511" s="123"/>
      <c r="B511" s="10">
        <f>ATAN(B510/EchelleFPAparam!$E$3)</f>
        <v>-6.9013764603598681E-3</v>
      </c>
      <c r="C511" s="29">
        <f>EchelleFPAparam!$M$3+$B511</f>
        <v>-6.2874086398693199E-2</v>
      </c>
      <c r="F511" s="10">
        <f>ASIN($E508*$A508/(COS(F508)*2*EchelleFPAparam!$S$3*COS(-$C511/2)))-$C511/2</f>
        <v>1.1353501356813445</v>
      </c>
      <c r="G511" s="29">
        <f>$F511*180/EchelleFPAparam!$O$3</f>
        <v>65.050770083162604</v>
      </c>
      <c r="H511" s="10">
        <v>560</v>
      </c>
      <c r="I511" s="121" t="str">
        <f>I507</f>
        <v>J</v>
      </c>
      <c r="J511" s="10">
        <f>A508</f>
        <v>1278.60301</v>
      </c>
      <c r="K511" s="10">
        <f>B508+(D508-1)*2198</f>
        <v>2647.8508999999999</v>
      </c>
      <c r="L511" s="30">
        <f>C508</f>
        <v>632</v>
      </c>
      <c r="M511" s="10">
        <f>E508</f>
        <v>44</v>
      </c>
      <c r="N511" s="29">
        <f>G511</f>
        <v>65.050770083162604</v>
      </c>
      <c r="O511" s="10">
        <f>H511</f>
        <v>560</v>
      </c>
    </row>
    <row r="512" spans="1:15" x14ac:dyDescent="0.2">
      <c r="A512" s="123">
        <v>1182.26124</v>
      </c>
      <c r="B512" s="10">
        <v>1034.1132</v>
      </c>
      <c r="C512" s="10">
        <v>1515</v>
      </c>
      <c r="D512" s="28">
        <v>3</v>
      </c>
      <c r="E512" s="10">
        <v>48</v>
      </c>
      <c r="F512" s="10">
        <f>(C512-$AE$5)*EchelleFPAparam!$C$3/EchelleFPAparam!$E$3</f>
        <v>-2.4999999999999995E-4</v>
      </c>
      <c r="I512" s="121"/>
    </row>
    <row r="513" spans="1:15" x14ac:dyDescent="0.2">
      <c r="A513" s="123"/>
      <c r="B513" s="10">
        <f>B512+(D512-1)*2048-3072+(D512-2)*EchelleFPAparam!$B$3/EchelleFPAparam!$C$3</f>
        <v>2203.1131999999998</v>
      </c>
      <c r="I513" s="121"/>
    </row>
    <row r="514" spans="1:15" x14ac:dyDescent="0.2">
      <c r="A514" s="123"/>
      <c r="B514" s="10">
        <f>B513*EchelleFPAparam!$C$3*COS(EchelleFPAparam!$AC$3)*$B$6</f>
        <v>40.041148756378369</v>
      </c>
      <c r="I514" s="121"/>
    </row>
    <row r="515" spans="1:15" x14ac:dyDescent="0.2">
      <c r="A515" s="123"/>
      <c r="B515" s="10">
        <f>ATAN(B514/EchelleFPAparam!$E$3)</f>
        <v>2.6476053099062161E-2</v>
      </c>
      <c r="C515" s="29">
        <f>EchelleFPAparam!$M$3+$B515</f>
        <v>-2.9496656839271169E-2</v>
      </c>
      <c r="F515" s="10">
        <f>ASIN($E512*$A512/(COS(F512)*2*EchelleFPAparam!$S$3*COS(-$C515/2)))-$C515/2</f>
        <v>1.1353306166813137</v>
      </c>
      <c r="G515" s="29">
        <f>$F515*180/EchelleFPAparam!$O$3</f>
        <v>65.04965172685705</v>
      </c>
      <c r="H515" s="10">
        <v>560</v>
      </c>
      <c r="I515" s="121" t="str">
        <f>I511</f>
        <v>J</v>
      </c>
      <c r="J515" s="10">
        <f>A512</f>
        <v>1182.26124</v>
      </c>
      <c r="K515" s="10">
        <f>B512+(D512-1)*2198</f>
        <v>5430.1131999999998</v>
      </c>
      <c r="L515" s="30">
        <f>C512</f>
        <v>1515</v>
      </c>
      <c r="M515" s="10">
        <f>E512</f>
        <v>48</v>
      </c>
      <c r="N515" s="29">
        <f>G515</f>
        <v>65.04965172685705</v>
      </c>
      <c r="O515" s="10">
        <f>H515</f>
        <v>560</v>
      </c>
    </row>
    <row r="516" spans="1:15" x14ac:dyDescent="0.2">
      <c r="A516" s="123">
        <v>1278.60301</v>
      </c>
      <c r="B516" s="10">
        <v>1494.6531</v>
      </c>
      <c r="C516" s="10">
        <v>660</v>
      </c>
      <c r="D516" s="28">
        <v>2</v>
      </c>
      <c r="E516" s="10">
        <v>44</v>
      </c>
      <c r="F516" s="10">
        <f>(C516-$AE$5)*EchelleFPAparam!$C$3/EchelleFPAparam!$E$3</f>
        <v>-1.0428571428571428E-2</v>
      </c>
    </row>
    <row r="517" spans="1:15" x14ac:dyDescent="0.2">
      <c r="A517" s="123"/>
      <c r="B517" s="10">
        <f>B516+(D516-1)*2048-3072+(D516-2)*EchelleFPAparam!$B$3/EchelleFPAparam!$C$3</f>
        <v>470.65309999999999</v>
      </c>
    </row>
    <row r="518" spans="1:15" x14ac:dyDescent="0.2">
      <c r="A518" s="123"/>
      <c r="B518" s="10">
        <f>B517*EchelleFPAparam!$C$3*COS(EchelleFPAparam!$AC$3)*$B$6</f>
        <v>8.5540274506778076</v>
      </c>
    </row>
    <row r="519" spans="1:15" x14ac:dyDescent="0.2">
      <c r="A519" s="123"/>
      <c r="B519" s="10">
        <f>ATAN(B518/EchelleFPAparam!$E$3)</f>
        <v>5.6573652057141516E-3</v>
      </c>
      <c r="C519" s="29">
        <f>EchelleFPAparam!$M$3+$B519</f>
        <v>-5.0315344732619179E-2</v>
      </c>
      <c r="F519" s="10">
        <f>ASIN($E516*$A516/(COS(F516)*2*EchelleFPAparam!$S$3*COS(-$C519/2)))-$C519/2</f>
        <v>1.1287113003473814</v>
      </c>
      <c r="G519" s="29">
        <f>$F519*180/EchelleFPAparam!$O$3</f>
        <v>64.670392843263443</v>
      </c>
      <c r="H519" s="10">
        <v>600</v>
      </c>
      <c r="I519" s="121" t="str">
        <f>I515</f>
        <v>J</v>
      </c>
      <c r="J519" s="10">
        <f>A516</f>
        <v>1278.60301</v>
      </c>
      <c r="K519" s="10">
        <f>B516+(D516-1)*2198</f>
        <v>3692.6531</v>
      </c>
      <c r="L519" s="30">
        <f>C516</f>
        <v>660</v>
      </c>
      <c r="M519" s="10">
        <f>E516</f>
        <v>44</v>
      </c>
      <c r="N519" s="29">
        <f>G519</f>
        <v>64.670392843263443</v>
      </c>
      <c r="O519" s="10">
        <f>H519</f>
        <v>600</v>
      </c>
    </row>
    <row r="520" spans="1:15" x14ac:dyDescent="0.2">
      <c r="A520" s="123">
        <v>1179.5654300000001</v>
      </c>
      <c r="B520" s="10">
        <v>1346.5741</v>
      </c>
      <c r="C520" s="10">
        <v>1546</v>
      </c>
      <c r="D520" s="28">
        <v>3</v>
      </c>
      <c r="E520" s="10">
        <v>48</v>
      </c>
      <c r="F520" s="10">
        <f>(C520-$AE$5)*EchelleFPAparam!$C$3/EchelleFPAparam!$E$3</f>
        <v>1.1904761904761905E-4</v>
      </c>
      <c r="I520" s="121"/>
    </row>
    <row r="521" spans="1:15" x14ac:dyDescent="0.2">
      <c r="A521" s="123"/>
      <c r="B521" s="10">
        <f>B520+(D520-1)*2048-3072+(D520-2)*EchelleFPAparam!$B$3/EchelleFPAparam!$C$3</f>
        <v>2515.5740999999998</v>
      </c>
      <c r="I521" s="121"/>
    </row>
    <row r="522" spans="1:15" x14ac:dyDescent="0.2">
      <c r="A522" s="123"/>
      <c r="B522" s="10">
        <f>B521*EchelleFPAparam!$C$3*COS(EchelleFPAparam!$AC$3)*$B$6</f>
        <v>45.720064110093233</v>
      </c>
      <c r="I522" s="121"/>
    </row>
    <row r="523" spans="1:15" x14ac:dyDescent="0.2">
      <c r="A523" s="123"/>
      <c r="B523" s="10">
        <f>ATAN(B522/EchelleFPAparam!$E$3)</f>
        <v>3.022892666196636E-2</v>
      </c>
      <c r="C523" s="29">
        <f>EchelleFPAparam!$M$3+$B523</f>
        <v>-2.574378327636697E-2</v>
      </c>
      <c r="F523" s="10">
        <f>ASIN($E520*$A520/(COS(F520)*2*EchelleFPAparam!$S$3*COS(-$C523/2)))-$C523/2</f>
        <v>1.128706111851699</v>
      </c>
      <c r="G523" s="29">
        <f>$F523*180/EchelleFPAparam!$O$3</f>
        <v>64.670095564363208</v>
      </c>
      <c r="H523" s="10">
        <v>600</v>
      </c>
      <c r="I523" s="121" t="str">
        <f>I519</f>
        <v>J</v>
      </c>
      <c r="J523" s="10">
        <f>A520</f>
        <v>1179.5654300000001</v>
      </c>
      <c r="K523" s="10">
        <f>B520+(D520-1)*2198</f>
        <v>5742.5740999999998</v>
      </c>
      <c r="L523" s="30">
        <f>C520</f>
        <v>1546</v>
      </c>
      <c r="M523" s="10">
        <f>E520</f>
        <v>48</v>
      </c>
      <c r="N523" s="29">
        <f>G523</f>
        <v>64.670095564363208</v>
      </c>
      <c r="O523" s="10">
        <f>H523</f>
        <v>600</v>
      </c>
    </row>
    <row r="524" spans="1:15" x14ac:dyDescent="0.2">
      <c r="A524" s="123">
        <v>1182.26124</v>
      </c>
      <c r="B524" s="10">
        <v>1244.855</v>
      </c>
      <c r="C524" s="10">
        <v>1410</v>
      </c>
      <c r="D524" s="28">
        <v>1</v>
      </c>
      <c r="E524" s="10">
        <v>48</v>
      </c>
      <c r="F524" s="10">
        <f>(C524-$AE$5)*EchelleFPAparam!$C$3/EchelleFPAparam!$E$3</f>
        <v>-1.4999999999999998E-3</v>
      </c>
      <c r="I524" s="121"/>
    </row>
    <row r="525" spans="1:15" x14ac:dyDescent="0.2">
      <c r="A525" s="123"/>
      <c r="B525" s="10">
        <f>B524+(D524-1)*2048-3072+(D524-2)*EchelleFPAparam!$B$3/EchelleFPAparam!$C$3</f>
        <v>-1972.145</v>
      </c>
      <c r="I525" s="121"/>
    </row>
    <row r="526" spans="1:15" x14ac:dyDescent="0.2">
      <c r="A526" s="123"/>
      <c r="B526" s="10">
        <f>B525*EchelleFPAparam!$C$3*COS(EchelleFPAparam!$AC$3)*$B$6</f>
        <v>-35.84334718440607</v>
      </c>
      <c r="I526" s="121"/>
    </row>
    <row r="527" spans="1:15" x14ac:dyDescent="0.2">
      <c r="A527" s="123"/>
      <c r="B527" s="10">
        <f>ATAN(B526/EchelleFPAparam!$E$3)</f>
        <v>-2.3701478271118067E-2</v>
      </c>
      <c r="C527" s="29">
        <f>EchelleFPAparam!$M$3+$B527</f>
        <v>-7.9674188209451394E-2</v>
      </c>
      <c r="F527" s="10">
        <f>ASIN($E524*$A524/(COS(F524)*2*EchelleFPAparam!$S$3*COS(-$C527/2)))-$C527/2</f>
        <v>1.1618413971840988</v>
      </c>
      <c r="G527" s="29">
        <f>$F527*180/EchelleFPAparam!$O$3</f>
        <v>66.568607538825077</v>
      </c>
      <c r="H527" s="10">
        <v>400</v>
      </c>
      <c r="I527" s="121" t="str">
        <f>I523</f>
        <v>J</v>
      </c>
      <c r="J527" s="10">
        <f>A524</f>
        <v>1182.26124</v>
      </c>
      <c r="K527" s="10">
        <f>B524+(D524-1)*2198</f>
        <v>1244.855</v>
      </c>
      <c r="L527" s="30">
        <f>C524</f>
        <v>1410</v>
      </c>
      <c r="M527" s="10">
        <f>E524</f>
        <v>48</v>
      </c>
      <c r="N527" s="29">
        <f>G527</f>
        <v>66.568607538825077</v>
      </c>
      <c r="O527" s="10">
        <f>H527</f>
        <v>400</v>
      </c>
    </row>
    <row r="528" spans="1:15" x14ac:dyDescent="0.2">
      <c r="A528" s="123">
        <v>1324.4277199999999</v>
      </c>
      <c r="B528" s="10">
        <v>229.71204</v>
      </c>
      <c r="C528" s="10">
        <v>229</v>
      </c>
      <c r="D528" s="28">
        <v>2</v>
      </c>
      <c r="E528" s="10">
        <v>43</v>
      </c>
      <c r="F528" s="10">
        <f>(C528-$AE$5)*EchelleFPAparam!$C$3/EchelleFPAparam!$E$3</f>
        <v>-1.555952380952381E-2</v>
      </c>
      <c r="I528" s="121"/>
    </row>
    <row r="529" spans="1:15" x14ac:dyDescent="0.2">
      <c r="A529" s="123"/>
      <c r="B529" s="10">
        <f>B528+(D528-1)*2048-3072+(D528-2)*EchelleFPAparam!$B$3/EchelleFPAparam!$C$3</f>
        <v>-794.28796000000011</v>
      </c>
      <c r="I529" s="121"/>
    </row>
    <row r="530" spans="1:15" x14ac:dyDescent="0.2">
      <c r="A530" s="123"/>
      <c r="B530" s="10">
        <f>B529*EchelleFPAparam!$C$3*COS(EchelleFPAparam!$AC$3)*$B$6</f>
        <v>-14.4360273279468</v>
      </c>
      <c r="I530" s="121"/>
    </row>
    <row r="531" spans="1:15" x14ac:dyDescent="0.2">
      <c r="A531" s="123"/>
      <c r="B531" s="10">
        <f>ATAN(B530/EchelleFPAparam!$E$3)</f>
        <v>-9.5473470250132045E-3</v>
      </c>
      <c r="C531" s="29">
        <f>EchelleFPAparam!$M$3+$B531</f>
        <v>-6.5520056963346535E-2</v>
      </c>
      <c r="F531" s="10">
        <f>ASIN($E528*$A528/(COS(F528)*2*EchelleFPAparam!$S$3*COS(-$C531/2)))-$C531/2</f>
        <v>1.1619181375744128</v>
      </c>
      <c r="G531" s="29">
        <f>$F531*180/EchelleFPAparam!$O$3</f>
        <v>66.573004439243292</v>
      </c>
      <c r="H531" s="10">
        <v>400</v>
      </c>
      <c r="I531" s="121" t="str">
        <f>I527</f>
        <v>J</v>
      </c>
      <c r="J531" s="10">
        <f>A528</f>
        <v>1324.4277199999999</v>
      </c>
      <c r="K531" s="10">
        <f>B528+(D528-1)*2198</f>
        <v>2427.7120399999999</v>
      </c>
      <c r="L531" s="30">
        <f>C528</f>
        <v>229</v>
      </c>
      <c r="M531" s="10">
        <f>E528</f>
        <v>43</v>
      </c>
      <c r="N531" s="29">
        <f>G531</f>
        <v>66.573004439243292</v>
      </c>
      <c r="O531" s="10">
        <f>H531</f>
        <v>400</v>
      </c>
    </row>
    <row r="532" spans="1:15" x14ac:dyDescent="0.2">
      <c r="A532" s="123">
        <v>1220.78757</v>
      </c>
      <c r="B532" s="10">
        <v>542.93331000000001</v>
      </c>
      <c r="C532" s="10">
        <v>1174</v>
      </c>
      <c r="D532" s="28">
        <v>3</v>
      </c>
      <c r="E532" s="10">
        <v>47</v>
      </c>
      <c r="F532" s="10">
        <f>(C532-$AE$5)*EchelleFPAparam!$C$3/EchelleFPAparam!$E$3</f>
        <v>-4.3095238095238091E-3</v>
      </c>
      <c r="I532" s="121"/>
    </row>
    <row r="533" spans="1:15" x14ac:dyDescent="0.2">
      <c r="A533" s="123"/>
      <c r="B533" s="10">
        <f>B532+(D532-1)*2048-3072+(D532-2)*EchelleFPAparam!$B$3/EchelleFPAparam!$C$3</f>
        <v>1711.9333100000003</v>
      </c>
      <c r="I533" s="121"/>
    </row>
    <row r="534" spans="1:15" x14ac:dyDescent="0.2">
      <c r="A534" s="123"/>
      <c r="B534" s="10">
        <f>B533*EchelleFPAparam!$C$3*COS(EchelleFPAparam!$AC$3)*$B$6</f>
        <v>31.114050937877018</v>
      </c>
      <c r="I534" s="121"/>
    </row>
    <row r="535" spans="1:15" x14ac:dyDescent="0.2">
      <c r="A535" s="123"/>
      <c r="B535" s="10">
        <f>ATAN(B534/EchelleFPAparam!$E$3)</f>
        <v>2.0575172109983587E-2</v>
      </c>
      <c r="C535" s="29">
        <f>EchelleFPAparam!$M$3+$B535</f>
        <v>-3.5397537828349743E-2</v>
      </c>
      <c r="F535" s="10">
        <f>ASIN($E532*$A532/(COS(F532)*2*EchelleFPAparam!$S$3*COS(-$C535/2)))-$C535/2</f>
        <v>1.1618934866230721</v>
      </c>
      <c r="G535" s="29">
        <f>$F535*180/EchelleFPAparam!$O$3</f>
        <v>66.571592043791355</v>
      </c>
      <c r="H535" s="10">
        <v>400</v>
      </c>
      <c r="I535" s="121" t="str">
        <f>I531</f>
        <v>J</v>
      </c>
      <c r="J535" s="10">
        <f>A532</f>
        <v>1220.78757</v>
      </c>
      <c r="K535" s="10">
        <f>B532+(D532-1)*2198</f>
        <v>4938.9333100000003</v>
      </c>
      <c r="L535" s="30">
        <f>C532</f>
        <v>1174</v>
      </c>
      <c r="M535" s="10">
        <f>E532</f>
        <v>47</v>
      </c>
      <c r="N535" s="29">
        <f>G535</f>
        <v>66.571592043791355</v>
      </c>
      <c r="O535" s="10">
        <f>H535</f>
        <v>400</v>
      </c>
    </row>
    <row r="536" spans="1:15" x14ac:dyDescent="0.2">
      <c r="A536" s="123">
        <v>1288.2267999999999</v>
      </c>
      <c r="B536" s="10">
        <v>1909.3865000000001</v>
      </c>
      <c r="C536" s="10">
        <v>530</v>
      </c>
      <c r="D536" s="28">
        <v>1</v>
      </c>
      <c r="E536" s="10">
        <v>44</v>
      </c>
      <c r="F536" s="10">
        <f>(C536-$AE$5)*EchelleFPAparam!$C$3/EchelleFPAparam!$E$3</f>
        <v>-1.1976190476190474E-2</v>
      </c>
      <c r="I536" s="121"/>
    </row>
    <row r="537" spans="1:15" x14ac:dyDescent="0.2">
      <c r="A537" s="123"/>
      <c r="B537" s="10">
        <f>B536+(D536-1)*2048-3072+(D536-2)*EchelleFPAparam!$B$3/EchelleFPAparam!$C$3</f>
        <v>-1307.6134999999999</v>
      </c>
      <c r="I537" s="121"/>
    </row>
    <row r="538" spans="1:15" x14ac:dyDescent="0.2">
      <c r="A538" s="123"/>
      <c r="B538" s="10">
        <f>B537*EchelleFPAparam!$C$3*COS(EchelleFPAparam!$AC$3)*$B$6</f>
        <v>-23.765617976120602</v>
      </c>
      <c r="I538" s="121"/>
    </row>
    <row r="539" spans="1:15" x14ac:dyDescent="0.2">
      <c r="A539" s="123"/>
      <c r="B539" s="10">
        <f>ATAN(B538/EchelleFPAparam!$E$3)</f>
        <v>-1.5716707092233453E-2</v>
      </c>
      <c r="C539" s="29">
        <f>EchelleFPAparam!$M$3+$B539</f>
        <v>-7.1689417030566777E-2</v>
      </c>
      <c r="F539" s="10">
        <f>ASIN($E536*$A536/(COS(F536)*2*EchelleFPAparam!$S$3*COS(-$C539/2)))-$C539/2</f>
        <v>1.1552533331565416</v>
      </c>
      <c r="G539" s="29">
        <f>$F539*180/EchelleFPAparam!$O$3</f>
        <v>66.191139280460348</v>
      </c>
      <c r="H539" s="10">
        <v>440</v>
      </c>
      <c r="I539" s="121" t="str">
        <f>I535</f>
        <v>J</v>
      </c>
      <c r="J539" s="10">
        <f>A536</f>
        <v>1288.2267999999999</v>
      </c>
      <c r="K539" s="10">
        <f>B536+(D536-1)*2198</f>
        <v>1909.3865000000001</v>
      </c>
      <c r="L539" s="30">
        <f>C536</f>
        <v>530</v>
      </c>
      <c r="M539" s="10">
        <f>E536</f>
        <v>44</v>
      </c>
      <c r="N539" s="29">
        <f>G539</f>
        <v>66.191139280460348</v>
      </c>
      <c r="O539" s="10">
        <f>H539</f>
        <v>440</v>
      </c>
    </row>
    <row r="540" spans="1:15" x14ac:dyDescent="0.2">
      <c r="A540" s="123">
        <v>1182.26124</v>
      </c>
      <c r="B540" s="10">
        <v>73.864007999999998</v>
      </c>
      <c r="C540" s="10">
        <v>1435</v>
      </c>
      <c r="D540" s="28">
        <v>2</v>
      </c>
      <c r="E540" s="10">
        <v>48</v>
      </c>
      <c r="F540" s="10">
        <f>(C540-$AE$5)*EchelleFPAparam!$C$3/EchelleFPAparam!$E$3</f>
        <v>-1.2023809523809522E-3</v>
      </c>
      <c r="I540" s="121"/>
    </row>
    <row r="541" spans="1:15" x14ac:dyDescent="0.2">
      <c r="A541" s="123"/>
      <c r="B541" s="10">
        <f>B540+(D540-1)*2048-3072+(D540-2)*EchelleFPAparam!$B$3/EchelleFPAparam!$C$3</f>
        <v>-950.13599199999999</v>
      </c>
      <c r="I541" s="121"/>
    </row>
    <row r="542" spans="1:15" x14ac:dyDescent="0.2">
      <c r="A542" s="123"/>
      <c r="B542" s="10">
        <f>B541*EchelleFPAparam!$C$3*COS(EchelleFPAparam!$AC$3)*$B$6</f>
        <v>-17.268534632928137</v>
      </c>
      <c r="I542" s="121"/>
    </row>
    <row r="543" spans="1:15" x14ac:dyDescent="0.2">
      <c r="A543" s="123"/>
      <c r="B543" s="10">
        <f>ATAN(B542/EchelleFPAparam!$E$3)</f>
        <v>-1.1420491972009584E-2</v>
      </c>
      <c r="C543" s="29">
        <f>EchelleFPAparam!$M$3+$B543</f>
        <v>-6.7393201910342912E-2</v>
      </c>
      <c r="F543" s="10">
        <f>ASIN($E540*$A540/(COS(F540)*2*EchelleFPAparam!$S$3*COS(-$C543/2)))-$C543/2</f>
        <v>1.1552313207824829</v>
      </c>
      <c r="G543" s="29">
        <f>$F543*180/EchelleFPAparam!$O$3</f>
        <v>66.189878064348349</v>
      </c>
      <c r="H543" s="10">
        <v>440</v>
      </c>
      <c r="I543" s="121" t="str">
        <f>I539</f>
        <v>J</v>
      </c>
      <c r="J543" s="10">
        <f>A540</f>
        <v>1182.26124</v>
      </c>
      <c r="K543" s="10">
        <f>B540+(D540-1)*2198</f>
        <v>2271.864008</v>
      </c>
      <c r="L543" s="30">
        <f>C540</f>
        <v>1435</v>
      </c>
      <c r="M543" s="10">
        <f>E540</f>
        <v>48</v>
      </c>
      <c r="N543" s="29">
        <f>G543</f>
        <v>66.189878064348349</v>
      </c>
      <c r="O543" s="10">
        <f>H543</f>
        <v>440</v>
      </c>
    </row>
    <row r="544" spans="1:15" x14ac:dyDescent="0.2">
      <c r="A544" s="123">
        <v>1298.8845100000001</v>
      </c>
      <c r="B544" s="10">
        <v>252.88838999999999</v>
      </c>
      <c r="C544" s="10">
        <v>504</v>
      </c>
      <c r="D544" s="28">
        <v>3</v>
      </c>
      <c r="E544" s="10">
        <v>44</v>
      </c>
      <c r="F544" s="10">
        <f>(C544-$AE$5)*EchelleFPAparam!$C$3/EchelleFPAparam!$E$3</f>
        <v>-1.2285714285714283E-2</v>
      </c>
      <c r="I544" s="121"/>
    </row>
    <row r="545" spans="1:35" x14ac:dyDescent="0.2">
      <c r="A545" s="123"/>
      <c r="B545" s="10">
        <f>B544+(D544-1)*2048-3072+(D544-2)*EchelleFPAparam!$B$3/EchelleFPAparam!$C$3</f>
        <v>1421.8883900000001</v>
      </c>
      <c r="I545" s="121"/>
    </row>
    <row r="546" spans="1:35" x14ac:dyDescent="0.2">
      <c r="A546" s="123"/>
      <c r="B546" s="10">
        <f>B545*EchelleFPAparam!$C$3*COS(EchelleFPAparam!$AC$3)*$B$6</f>
        <v>25.842541608373718</v>
      </c>
      <c r="I546" s="121"/>
    </row>
    <row r="547" spans="1:35" x14ac:dyDescent="0.2">
      <c r="A547" s="123"/>
      <c r="B547" s="10">
        <f>ATAN(B546/EchelleFPAparam!$E$3)</f>
        <v>1.7089964049356757E-2</v>
      </c>
      <c r="C547" s="29">
        <f>EchelleFPAparam!$M$3+$B547</f>
        <v>-3.8882745888976569E-2</v>
      </c>
      <c r="F547" s="10">
        <f>ASIN($E544*$A544/(COS(F544)*2*EchelleFPAparam!$S$3*COS(-$C547/2)))-$C547/2</f>
        <v>1.1552593447899284</v>
      </c>
      <c r="G547" s="29">
        <f>$F547*180/EchelleFPAparam!$O$3</f>
        <v>66.191483721676306</v>
      </c>
      <c r="H547" s="10">
        <v>440</v>
      </c>
      <c r="I547" s="121" t="str">
        <f>I543</f>
        <v>J</v>
      </c>
      <c r="J547" s="10">
        <f>A544</f>
        <v>1298.8845100000001</v>
      </c>
      <c r="K547" s="10">
        <f>B544+(D544-1)*2198</f>
        <v>4648.8883900000001</v>
      </c>
      <c r="L547" s="30">
        <f>C544</f>
        <v>504</v>
      </c>
      <c r="M547" s="10">
        <f>E544</f>
        <v>44</v>
      </c>
      <c r="N547" s="29">
        <f>G547</f>
        <v>66.191483721676306</v>
      </c>
      <c r="O547" s="10">
        <f>H547</f>
        <v>440</v>
      </c>
    </row>
    <row r="548" spans="1:35" x14ac:dyDescent="0.2">
      <c r="A548" s="124">
        <v>985.90187000000003</v>
      </c>
      <c r="B548" s="10">
        <v>438.16460999999998</v>
      </c>
      <c r="C548" s="10">
        <v>1599</v>
      </c>
      <c r="D548" s="28">
        <v>1</v>
      </c>
      <c r="E548" s="10">
        <v>57</v>
      </c>
      <c r="F548" s="10">
        <f>(C548-$AE$3)*EchelleFPAparam!$C$3/EchelleFPAparam!$E$3</f>
        <v>7.4999999999999991E-4</v>
      </c>
      <c r="I548" s="121"/>
    </row>
    <row r="549" spans="1:35" x14ac:dyDescent="0.2">
      <c r="A549" s="124"/>
      <c r="B549" s="10">
        <f>B548+(D548-1)*2048-3072+(D548-2)*EchelleFPAparam!$B$3/EchelleFPAparam!$C$3</f>
        <v>-2778.8353900000002</v>
      </c>
      <c r="I549" s="121"/>
    </row>
    <row r="550" spans="1:35" x14ac:dyDescent="0.2">
      <c r="A550" s="124"/>
      <c r="B550" s="10">
        <f>B549*EchelleFPAparam!$C$3*COS(EchelleFPAparam!$AC$3)*$B$6</f>
        <v>-50.504786236348977</v>
      </c>
      <c r="I550" s="121"/>
    </row>
    <row r="551" spans="1:35" x14ac:dyDescent="0.2">
      <c r="A551" s="124"/>
      <c r="B551" s="10">
        <f>ATAN(B550/EchelleFPAparam!$E$3)</f>
        <v>-3.3390221866820669E-2</v>
      </c>
      <c r="C551" s="29">
        <f>EchelleFPAparam!$M$3+$B551</f>
        <v>-8.9362931805154006E-2</v>
      </c>
      <c r="F551" s="10">
        <f>ASIN($E548*$A548/(COS(F548)*2*EchelleFPAparam!$S$3*COS(-$C551/2)))-$C551/2</f>
        <v>1.1472908385790781</v>
      </c>
      <c r="G551" s="29">
        <f>$F551*180/EchelleFPAparam!$O$3</f>
        <v>65.73492195351551</v>
      </c>
      <c r="H551" s="10">
        <v>490</v>
      </c>
      <c r="I551" s="121" t="s">
        <v>350</v>
      </c>
      <c r="J551" s="10">
        <f>A548</f>
        <v>985.90187000000003</v>
      </c>
      <c r="K551" s="10">
        <f>B548+(D548-1)*2198</f>
        <v>438.16460999999998</v>
      </c>
      <c r="L551" s="30">
        <f>C548</f>
        <v>1599</v>
      </c>
      <c r="M551" s="10">
        <f>E548</f>
        <v>57</v>
      </c>
      <c r="N551" s="29">
        <f>G551</f>
        <v>65.73492195351551</v>
      </c>
      <c r="O551" s="10">
        <f>H551</f>
        <v>490</v>
      </c>
    </row>
    <row r="552" spans="1:35" x14ac:dyDescent="0.2">
      <c r="A552" s="124">
        <v>1059.5898400000001</v>
      </c>
      <c r="B552" s="10">
        <v>238.11054999999999</v>
      </c>
      <c r="C552" s="10">
        <v>758</v>
      </c>
      <c r="D552" s="28">
        <v>1</v>
      </c>
      <c r="E552" s="10">
        <v>53</v>
      </c>
      <c r="F552" s="10">
        <f>(C552-$AE$3)*EchelleFPAparam!$C$3/EchelleFPAparam!$E$3</f>
        <v>-9.2619047619047611E-3</v>
      </c>
      <c r="AG552" s="29">
        <f>N551</f>
        <v>65.73492195351551</v>
      </c>
      <c r="AH552" s="29">
        <f>O551</f>
        <v>490</v>
      </c>
      <c r="AI552" s="10">
        <f t="shared" ref="AI552:AI574" si="3">AG552+AH552*0.009525</f>
        <v>70.402171953515506</v>
      </c>
    </row>
    <row r="553" spans="1:35" x14ac:dyDescent="0.2">
      <c r="A553" s="124"/>
      <c r="B553" s="10">
        <f>B552+(D552-1)*2048-3072+(D552-2)*EchelleFPAparam!$B$3/EchelleFPAparam!$C$3</f>
        <v>-2978.8894500000001</v>
      </c>
      <c r="AG553" s="29">
        <f>N555</f>
        <v>65.737883401916861</v>
      </c>
      <c r="AH553" s="29">
        <f>O555</f>
        <v>490</v>
      </c>
      <c r="AI553" s="10">
        <f t="shared" si="3"/>
        <v>70.405133401916856</v>
      </c>
    </row>
    <row r="554" spans="1:35" x14ac:dyDescent="0.2">
      <c r="A554" s="124"/>
      <c r="B554" s="10">
        <f>B553*EchelleFPAparam!$C$3*COS(EchelleFPAparam!$AC$3)*$B$6</f>
        <v>-54.14072939885984</v>
      </c>
      <c r="AG554" s="29">
        <f>N559</f>
        <v>65.734203826342792</v>
      </c>
      <c r="AH554" s="29">
        <f>O559</f>
        <v>490</v>
      </c>
      <c r="AI554" s="10">
        <f t="shared" si="3"/>
        <v>70.401453826342788</v>
      </c>
    </row>
    <row r="555" spans="1:35" x14ac:dyDescent="0.2">
      <c r="A555" s="124"/>
      <c r="B555" s="10">
        <f>ATAN(B554/EchelleFPAparam!$E$3)</f>
        <v>-3.5792068802821646E-2</v>
      </c>
      <c r="C555" s="29">
        <f>EchelleFPAparam!$M$3+$B555</f>
        <v>-9.1764778741154976E-2</v>
      </c>
      <c r="F555" s="10">
        <f>ASIN($E552*$A552/(COS(F552)*2*EchelleFPAparam!$S$3*COS(-$C555/2)))-$C555/2</f>
        <v>1.1473425256050731</v>
      </c>
      <c r="G555" s="29">
        <f>$F555*180/EchelleFPAparam!$O$3</f>
        <v>65.737883401916861</v>
      </c>
      <c r="H555" s="10">
        <v>490</v>
      </c>
      <c r="I555" s="10" t="s">
        <v>350</v>
      </c>
      <c r="J555" s="10">
        <f>A552</f>
        <v>1059.5898400000001</v>
      </c>
      <c r="K555" s="10">
        <f>B552+(D552-1)*2198</f>
        <v>238.11054999999999</v>
      </c>
      <c r="L555" s="30">
        <f>C552</f>
        <v>758</v>
      </c>
      <c r="M555" s="10">
        <f>E552</f>
        <v>53</v>
      </c>
      <c r="N555" s="29">
        <f>G555</f>
        <v>65.737883401916861</v>
      </c>
      <c r="O555" s="10">
        <f>H555</f>
        <v>490</v>
      </c>
      <c r="AG555" s="29">
        <f>N563</f>
        <v>65.733493566326999</v>
      </c>
      <c r="AH555" s="29">
        <f>O563</f>
        <v>490</v>
      </c>
      <c r="AI555" s="10">
        <f t="shared" si="3"/>
        <v>70.400743566326994</v>
      </c>
    </row>
    <row r="556" spans="1:35" x14ac:dyDescent="0.2">
      <c r="A556" s="124">
        <v>970.69057999999995</v>
      </c>
      <c r="B556" s="10">
        <v>1002.7735</v>
      </c>
      <c r="C556" s="10">
        <v>1785</v>
      </c>
      <c r="D556" s="28">
        <v>1</v>
      </c>
      <c r="E556" s="10">
        <v>58</v>
      </c>
      <c r="F556" s="10">
        <f>(C556-$AE$3)*EchelleFPAparam!$C$3/EchelleFPAparam!$E$3</f>
        <v>2.964285714285714E-3</v>
      </c>
      <c r="AG556" s="29">
        <f>N567</f>
        <v>65.737458511615287</v>
      </c>
      <c r="AH556" s="29">
        <f>O567</f>
        <v>490</v>
      </c>
      <c r="AI556" s="10">
        <f t="shared" si="3"/>
        <v>70.404708511615283</v>
      </c>
    </row>
    <row r="557" spans="1:35" x14ac:dyDescent="0.2">
      <c r="A557" s="124"/>
      <c r="B557" s="10">
        <f>B556+(D556-1)*2048-3072+(D556-2)*EchelleFPAparam!$B$3/EchelleFPAparam!$C$3</f>
        <v>-2214.2264999999998</v>
      </c>
      <c r="AG557" s="29">
        <f>N571</f>
        <v>65.737147566901484</v>
      </c>
      <c r="AH557" s="29">
        <f>O571</f>
        <v>490</v>
      </c>
      <c r="AI557" s="10">
        <f t="shared" si="3"/>
        <v>70.40439756690148</v>
      </c>
    </row>
    <row r="558" spans="1:35" x14ac:dyDescent="0.2">
      <c r="A558" s="124"/>
      <c r="B558" s="10">
        <f>B557*EchelleFPAparam!$C$3*COS(EchelleFPAparam!$AC$3)*$B$6</f>
        <v>-40.243130796372625</v>
      </c>
      <c r="AG558" s="29">
        <f>N575</f>
        <v>65.738623276285807</v>
      </c>
      <c r="AH558" s="29">
        <f>O575</f>
        <v>490</v>
      </c>
      <c r="AI558" s="10">
        <f t="shared" si="3"/>
        <v>70.405873276285803</v>
      </c>
    </row>
    <row r="559" spans="1:35" x14ac:dyDescent="0.2">
      <c r="A559" s="124"/>
      <c r="B559" s="10">
        <f>ATAN(B558/EchelleFPAparam!$E$3)</f>
        <v>-2.6609545012213662E-2</v>
      </c>
      <c r="C559" s="29">
        <f>EchelleFPAparam!$M$3+$B559</f>
        <v>-8.2582254950546996E-2</v>
      </c>
      <c r="F559" s="10">
        <f>ASIN($E556*$A556/(COS(F556)*2*EchelleFPAparam!$S$3*COS(-$C559/2)))-$C559/2</f>
        <v>1.147278304895281</v>
      </c>
      <c r="G559" s="29">
        <f>$F559*180/EchelleFPAparam!$O$3</f>
        <v>65.734203826342792</v>
      </c>
      <c r="H559" s="10">
        <v>490</v>
      </c>
      <c r="I559" s="10" t="s">
        <v>350</v>
      </c>
      <c r="J559" s="10">
        <f>A556</f>
        <v>970.69057999999995</v>
      </c>
      <c r="K559" s="10">
        <f>B556+(D556-1)*2198</f>
        <v>1002.7735</v>
      </c>
      <c r="L559" s="30">
        <f>C556</f>
        <v>1785</v>
      </c>
      <c r="M559" s="10">
        <f>E556</f>
        <v>58</v>
      </c>
      <c r="N559" s="29">
        <f>G559</f>
        <v>65.734203826342792</v>
      </c>
      <c r="O559" s="10">
        <f>H559</f>
        <v>490</v>
      </c>
      <c r="AG559" s="29">
        <f>N579</f>
        <v>65.738083988407212</v>
      </c>
      <c r="AH559" s="29">
        <f>O579</f>
        <v>490</v>
      </c>
      <c r="AI559" s="10">
        <f t="shared" si="3"/>
        <v>70.405333988407207</v>
      </c>
    </row>
    <row r="560" spans="1:35" x14ac:dyDescent="0.2">
      <c r="A560" s="124">
        <v>954.35374000000002</v>
      </c>
      <c r="B560" s="10">
        <v>1044.5891999999999</v>
      </c>
      <c r="C560" s="10">
        <v>1970</v>
      </c>
      <c r="D560" s="28">
        <v>1</v>
      </c>
      <c r="E560" s="10">
        <v>59</v>
      </c>
      <c r="F560" s="10">
        <f>(C560-$AE$3)*EchelleFPAparam!$C$3/EchelleFPAparam!$E$3</f>
        <v>5.1666666666666666E-3</v>
      </c>
      <c r="AG560" s="29">
        <f>N583</f>
        <v>65.738355635011629</v>
      </c>
      <c r="AH560" s="29">
        <f>O583</f>
        <v>490</v>
      </c>
      <c r="AI560" s="10">
        <f t="shared" si="3"/>
        <v>70.405605635011625</v>
      </c>
    </row>
    <row r="561" spans="1:35" x14ac:dyDescent="0.2">
      <c r="A561" s="124"/>
      <c r="B561" s="10">
        <f>B560+(D560-1)*2048-3072+(D560-2)*EchelleFPAparam!$B$3/EchelleFPAparam!$C$3</f>
        <v>-2172.4108000000001</v>
      </c>
      <c r="AG561" s="29">
        <f>N587</f>
        <v>65.739590175460236</v>
      </c>
      <c r="AH561" s="29">
        <f>O587</f>
        <v>490</v>
      </c>
      <c r="AI561" s="10">
        <f t="shared" si="3"/>
        <v>70.406840175460232</v>
      </c>
    </row>
    <row r="562" spans="1:35" x14ac:dyDescent="0.2">
      <c r="A562" s="124"/>
      <c r="B562" s="10">
        <f>B561*EchelleFPAparam!$C$3*COS(EchelleFPAparam!$AC$3)*$B$6</f>
        <v>-39.483138679738737</v>
      </c>
      <c r="AG562" s="29">
        <f>N591</f>
        <v>65.737499627968077</v>
      </c>
      <c r="AH562" s="29">
        <f>O591</f>
        <v>490</v>
      </c>
      <c r="AI562" s="10">
        <f t="shared" si="3"/>
        <v>70.404749627968073</v>
      </c>
    </row>
    <row r="563" spans="1:35" x14ac:dyDescent="0.2">
      <c r="A563" s="124"/>
      <c r="B563" s="10">
        <f>ATAN(B562/EchelleFPAparam!$E$3)</f>
        <v>-2.6107253870141432E-2</v>
      </c>
      <c r="C563" s="29">
        <f>EchelleFPAparam!$M$3+$B563</f>
        <v>-8.2079963808474765E-2</v>
      </c>
      <c r="F563" s="10">
        <f>ASIN($E560*$A560/(COS(F560)*2*EchelleFPAparam!$S$3*COS(-$C563/2)))-$C563/2</f>
        <v>1.1472659085192771</v>
      </c>
      <c r="G563" s="29">
        <f>$F563*180/EchelleFPAparam!$O$3</f>
        <v>65.733493566326999</v>
      </c>
      <c r="H563" s="10">
        <v>490</v>
      </c>
      <c r="I563" s="10" t="s">
        <v>350</v>
      </c>
      <c r="J563" s="10">
        <f>A560</f>
        <v>954.35374000000002</v>
      </c>
      <c r="K563" s="10">
        <f>B560+(D560-1)*2198</f>
        <v>1044.5891999999999</v>
      </c>
      <c r="L563" s="30">
        <f>C560</f>
        <v>1970</v>
      </c>
      <c r="M563" s="10">
        <f>E560</f>
        <v>59</v>
      </c>
      <c r="N563" s="29">
        <f>G563</f>
        <v>65.733493566326999</v>
      </c>
      <c r="O563" s="10">
        <f>H563</f>
        <v>490</v>
      </c>
      <c r="AG563" s="29">
        <f>N595</f>
        <v>65.738234839421139</v>
      </c>
      <c r="AH563" s="29">
        <f>O595</f>
        <v>490</v>
      </c>
      <c r="AI563" s="10">
        <f t="shared" si="3"/>
        <v>70.405484839421135</v>
      </c>
    </row>
    <row r="564" spans="1:35" x14ac:dyDescent="0.2">
      <c r="A564" s="124">
        <v>1062.95804</v>
      </c>
      <c r="B564" s="10">
        <v>1206.8833</v>
      </c>
      <c r="C564" s="10">
        <v>744</v>
      </c>
      <c r="D564" s="28">
        <v>1</v>
      </c>
      <c r="E564" s="10">
        <v>53</v>
      </c>
      <c r="F564" s="10">
        <f>(C564-$AE$3)*EchelleFPAparam!$C$3/EchelleFPAparam!$E$3</f>
        <v>-9.4285714285714268E-3</v>
      </c>
      <c r="AG564" s="29">
        <f>N599</f>
        <v>65.738548467027115</v>
      </c>
      <c r="AH564" s="29">
        <f>O599</f>
        <v>490</v>
      </c>
      <c r="AI564" s="10">
        <f t="shared" si="3"/>
        <v>70.405798467027111</v>
      </c>
    </row>
    <row r="565" spans="1:35" x14ac:dyDescent="0.2">
      <c r="A565" s="124"/>
      <c r="B565" s="10">
        <f>B564+(D564-1)*2048-3072+(D564-2)*EchelleFPAparam!$B$3/EchelleFPAparam!$C$3</f>
        <v>-2010.1167</v>
      </c>
      <c r="AG565" s="29">
        <f>N603</f>
        <v>66.110327267339116</v>
      </c>
      <c r="AH565" s="29">
        <f>O603</f>
        <v>450</v>
      </c>
      <c r="AI565" s="10">
        <f t="shared" si="3"/>
        <v>70.396577267339111</v>
      </c>
    </row>
    <row r="566" spans="1:35" x14ac:dyDescent="0.2">
      <c r="A566" s="124"/>
      <c r="B566" s="10">
        <f>B565*EchelleFPAparam!$C$3*COS(EchelleFPAparam!$AC$3)*$B$6</f>
        <v>-36.533475357680402</v>
      </c>
      <c r="AG566" s="29">
        <f>N607</f>
        <v>66.113608994425874</v>
      </c>
      <c r="AH566" s="29">
        <f>O607</f>
        <v>450</v>
      </c>
      <c r="AI566" s="10">
        <f t="shared" si="3"/>
        <v>70.39985899442587</v>
      </c>
    </row>
    <row r="567" spans="1:35" x14ac:dyDescent="0.2">
      <c r="A567" s="124"/>
      <c r="B567" s="10">
        <f>ATAN(B566/EchelleFPAparam!$E$3)</f>
        <v>-2.415765092503349E-2</v>
      </c>
      <c r="C567" s="29">
        <f>EchelleFPAparam!$M$3+$B567</f>
        <v>-8.013036086336682E-2</v>
      </c>
      <c r="F567" s="10">
        <f>ASIN($E564*$A564/(COS(F564)*2*EchelleFPAparam!$S$3*COS(-$C567/2)))-$C567/2</f>
        <v>1.1473351098702413</v>
      </c>
      <c r="G567" s="29">
        <f>$F567*180/EchelleFPAparam!$O$3</f>
        <v>65.737458511615287</v>
      </c>
      <c r="H567" s="10">
        <v>490</v>
      </c>
      <c r="I567" s="10" t="s">
        <v>350</v>
      </c>
      <c r="J567" s="10">
        <f>A564</f>
        <v>1062.95804</v>
      </c>
      <c r="K567" s="10">
        <f>B564+(D564-1)*2198</f>
        <v>1206.8833</v>
      </c>
      <c r="L567" s="30">
        <f>C564</f>
        <v>744</v>
      </c>
      <c r="M567" s="10">
        <f>E564</f>
        <v>53</v>
      </c>
      <c r="N567" s="29">
        <f>G567</f>
        <v>65.737458511615287</v>
      </c>
      <c r="O567" s="10">
        <f>H567</f>
        <v>490</v>
      </c>
      <c r="AG567" s="29">
        <f>N611</f>
        <v>66.114517431446998</v>
      </c>
      <c r="AH567" s="29">
        <f>O611</f>
        <v>450</v>
      </c>
      <c r="AI567" s="10">
        <f t="shared" si="3"/>
        <v>70.400767431446994</v>
      </c>
    </row>
    <row r="568" spans="1:35" x14ac:dyDescent="0.2">
      <c r="A568" s="124">
        <v>975.44340999999997</v>
      </c>
      <c r="B568" s="10">
        <v>328.38243</v>
      </c>
      <c r="C568" s="10">
        <v>1768</v>
      </c>
      <c r="D568" s="28">
        <v>2</v>
      </c>
      <c r="E568" s="10">
        <v>58</v>
      </c>
      <c r="F568" s="10">
        <f>(C568-$AE$3)*EchelleFPAparam!$C$3/EchelleFPAparam!$E$3</f>
        <v>2.7619047619047614E-3</v>
      </c>
      <c r="AG568" s="29">
        <f>N615</f>
        <v>65.544256226057072</v>
      </c>
      <c r="AH568" s="29">
        <f>O615</f>
        <v>510</v>
      </c>
      <c r="AI568" s="10">
        <f t="shared" si="3"/>
        <v>70.402006226057068</v>
      </c>
    </row>
    <row r="569" spans="1:35" x14ac:dyDescent="0.2">
      <c r="A569" s="124"/>
      <c r="B569" s="10">
        <f>B568+(D568-1)*2048-3072+(D568-2)*EchelleFPAparam!$B$3/EchelleFPAparam!$C$3</f>
        <v>-695.61756999999989</v>
      </c>
      <c r="AG569" s="29">
        <f>N619</f>
        <v>65.546709107505805</v>
      </c>
      <c r="AH569" s="29">
        <f>O619</f>
        <v>510</v>
      </c>
      <c r="AI569" s="10">
        <f t="shared" si="3"/>
        <v>70.404459107505801</v>
      </c>
    </row>
    <row r="570" spans="1:35" x14ac:dyDescent="0.2">
      <c r="A570" s="124"/>
      <c r="B570" s="10">
        <f>B569*EchelleFPAparam!$C$3*COS(EchelleFPAparam!$AC$3)*$B$6</f>
        <v>-12.642712411654767</v>
      </c>
      <c r="AG570" s="29">
        <f>N623</f>
        <v>65.547775404150627</v>
      </c>
      <c r="AH570" s="29">
        <f>O623</f>
        <v>510</v>
      </c>
      <c r="AI570" s="10">
        <f t="shared" si="3"/>
        <v>70.405525404150623</v>
      </c>
    </row>
    <row r="571" spans="1:35" x14ac:dyDescent="0.2">
      <c r="A571" s="124"/>
      <c r="B571" s="10">
        <f>ATAN(B570/EchelleFPAparam!$E$3)</f>
        <v>-8.3613874213900423E-3</v>
      </c>
      <c r="C571" s="29">
        <f>EchelleFPAparam!$M$3+$B571</f>
        <v>-6.4334097359723369E-2</v>
      </c>
      <c r="F571" s="10">
        <f>ASIN($E568*$A568/(COS(F568)*2*EchelleFPAparam!$S$3*COS(-$C571/2)))-$C571/2</f>
        <v>1.1473296828611135</v>
      </c>
      <c r="G571" s="29">
        <f>$F571*180/EchelleFPAparam!$O$3</f>
        <v>65.737147566901484</v>
      </c>
      <c r="H571" s="10">
        <v>490</v>
      </c>
      <c r="I571" s="10" t="s">
        <v>350</v>
      </c>
      <c r="J571" s="10">
        <f>A568</f>
        <v>975.44340999999997</v>
      </c>
      <c r="K571" s="10">
        <f>B568+(D568-1)*2198</f>
        <v>2526.3824300000001</v>
      </c>
      <c r="L571" s="30">
        <f>C568</f>
        <v>1768</v>
      </c>
      <c r="M571" s="10">
        <f>E568</f>
        <v>58</v>
      </c>
      <c r="N571" s="29">
        <f>G571</f>
        <v>65.737147566901484</v>
      </c>
      <c r="O571" s="10">
        <f>H571</f>
        <v>490</v>
      </c>
      <c r="AG571" s="29">
        <f>N627</f>
        <v>65.353095625536398</v>
      </c>
      <c r="AH571" s="29">
        <f>O627</f>
        <v>530</v>
      </c>
      <c r="AI571" s="10">
        <f t="shared" si="3"/>
        <v>70.401345625536393</v>
      </c>
    </row>
    <row r="572" spans="1:35" x14ac:dyDescent="0.2">
      <c r="A572" s="124">
        <v>1087.7906399999999</v>
      </c>
      <c r="B572" s="10">
        <v>288.13740000000001</v>
      </c>
      <c r="C572" s="10">
        <v>490</v>
      </c>
      <c r="D572" s="28">
        <v>2</v>
      </c>
      <c r="E572" s="10">
        <v>52</v>
      </c>
      <c r="F572" s="10">
        <f>(C572-$AE$3)*EchelleFPAparam!$C$3/EchelleFPAparam!$E$3</f>
        <v>-1.2452380952380953E-2</v>
      </c>
      <c r="AG572" s="29">
        <f>N631</f>
        <v>65.162686505369166</v>
      </c>
      <c r="AH572" s="29">
        <f>O631</f>
        <v>550</v>
      </c>
      <c r="AI572" s="10">
        <f t="shared" si="3"/>
        <v>70.401436505369162</v>
      </c>
    </row>
    <row r="573" spans="1:35" x14ac:dyDescent="0.2">
      <c r="A573" s="124"/>
      <c r="B573" s="10">
        <f>B572+(D572-1)*2048-3072+(D572-2)*EchelleFPAparam!$B$3/EchelleFPAparam!$C$3</f>
        <v>-735.86259999999993</v>
      </c>
      <c r="AG573" s="29">
        <f>N635</f>
        <v>65.165695617006648</v>
      </c>
      <c r="AH573" s="29">
        <f>O635</f>
        <v>550</v>
      </c>
      <c r="AI573" s="10">
        <f t="shared" si="3"/>
        <v>70.404445617006644</v>
      </c>
    </row>
    <row r="574" spans="1:35" x14ac:dyDescent="0.2">
      <c r="A574" s="124"/>
      <c r="B574" s="10">
        <f>B573*EchelleFPAparam!$C$3*COS(EchelleFPAparam!$AC$3)*$B$6</f>
        <v>-13.374157910204234</v>
      </c>
      <c r="AG574" s="29">
        <f>N639</f>
        <v>65.165520054341741</v>
      </c>
      <c r="AH574" s="29">
        <f>O639</f>
        <v>550</v>
      </c>
      <c r="AI574" s="10">
        <f t="shared" si="3"/>
        <v>70.404270054341737</v>
      </c>
    </row>
    <row r="575" spans="1:35" x14ac:dyDescent="0.2">
      <c r="A575" s="124"/>
      <c r="B575" s="10">
        <f>ATAN(B574/EchelleFPAparam!$E$3)</f>
        <v>-8.8451118572501278E-3</v>
      </c>
      <c r="C575" s="29">
        <f>EchelleFPAparam!$M$3+$B575</f>
        <v>-6.4817821795583458E-2</v>
      </c>
      <c r="F575" s="10">
        <f>ASIN($E572*$A572/(COS(F572)*2*EchelleFPAparam!$S$3*COS(-$C575/2)))-$C575/2</f>
        <v>1.1473554388490532</v>
      </c>
      <c r="G575" s="29">
        <f>$F575*180/EchelleFPAparam!$O$3</f>
        <v>65.738623276285807</v>
      </c>
      <c r="H575" s="10">
        <v>490</v>
      </c>
      <c r="I575" s="10" t="s">
        <v>350</v>
      </c>
      <c r="J575" s="10">
        <f>A572</f>
        <v>1087.7906399999999</v>
      </c>
      <c r="K575" s="10">
        <f>B572+(D572-1)*2198</f>
        <v>2486.1374000000001</v>
      </c>
      <c r="L575" s="30">
        <f>C572</f>
        <v>490</v>
      </c>
      <c r="M575" s="10">
        <f>E572</f>
        <v>52</v>
      </c>
      <c r="N575" s="29">
        <f>G575</f>
        <v>65.738623276285807</v>
      </c>
      <c r="O575" s="10">
        <f>H575</f>
        <v>490</v>
      </c>
      <c r="AG575" s="29"/>
      <c r="AH575" s="29"/>
    </row>
    <row r="576" spans="1:35" x14ac:dyDescent="0.2">
      <c r="A576" s="124">
        <v>1070.21893</v>
      </c>
      <c r="B576" s="10">
        <v>1169.5730000000001</v>
      </c>
      <c r="C576" s="10">
        <v>714</v>
      </c>
      <c r="D576" s="28">
        <v>2</v>
      </c>
      <c r="E576" s="10">
        <v>53</v>
      </c>
      <c r="F576" s="10">
        <f>(C576-$AE$3)*EchelleFPAparam!$C$3/EchelleFPAparam!$E$3</f>
        <v>-9.7857142857142847E-3</v>
      </c>
      <c r="AG576" s="10">
        <f>INDEX(LINEST(AG552:AG574,AH552:AH574),2)</f>
        <v>70.390062402975403</v>
      </c>
      <c r="AH576" s="10">
        <f>INDEX(LINEST(AG552:AG574,AH552:AH574),1)</f>
        <v>-9.4980925808446706E-3</v>
      </c>
      <c r="AI576" s="10">
        <f>GEOMEAN(AI552:AI574)</f>
        <v>70.403434177164868</v>
      </c>
    </row>
    <row r="577" spans="1:34" x14ac:dyDescent="0.2">
      <c r="A577" s="124"/>
      <c r="B577" s="10">
        <f>B576+(D576-1)*2048-3072+(D576-2)*EchelleFPAparam!$B$3/EchelleFPAparam!$C$3</f>
        <v>145.57300000000032</v>
      </c>
      <c r="AG577" s="29"/>
      <c r="AH577" s="29"/>
    </row>
    <row r="578" spans="1:34" x14ac:dyDescent="0.2">
      <c r="A578" s="124"/>
      <c r="B578" s="10">
        <f>B577*EchelleFPAparam!$C$3*COS(EchelleFPAparam!$AC$3)*$B$6</f>
        <v>2.6457606208851558</v>
      </c>
      <c r="AG578" s="29"/>
      <c r="AH578" s="29"/>
    </row>
    <row r="579" spans="1:34" x14ac:dyDescent="0.2">
      <c r="A579" s="124"/>
      <c r="B579" s="10">
        <f>ATAN(B578/EchelleFPAparam!$E$3)</f>
        <v>1.7498398945093579E-3</v>
      </c>
      <c r="C579" s="29">
        <f>EchelleFPAparam!$M$3+$B579</f>
        <v>-5.4222870043823972E-2</v>
      </c>
      <c r="F579" s="10">
        <f>ASIN($E576*$A576/(COS(F576)*2*EchelleFPAparam!$S$3*COS(-$C579/2)))-$C579/2</f>
        <v>1.1473460264998165</v>
      </c>
      <c r="G579" s="29">
        <f>$F579*180/EchelleFPAparam!$O$3</f>
        <v>65.738083988407212</v>
      </c>
      <c r="H579" s="10">
        <v>490</v>
      </c>
      <c r="I579" s="10" t="s">
        <v>350</v>
      </c>
      <c r="J579" s="10">
        <f>A576</f>
        <v>1070.21893</v>
      </c>
      <c r="K579" s="10">
        <f>B576+(D576-1)*2198</f>
        <v>3367.5730000000003</v>
      </c>
      <c r="L579" s="30">
        <f>C576</f>
        <v>714</v>
      </c>
      <c r="M579" s="10">
        <f>E576</f>
        <v>53</v>
      </c>
      <c r="N579" s="29">
        <f>G579</f>
        <v>65.738083988407212</v>
      </c>
      <c r="O579" s="10">
        <f>H579</f>
        <v>490</v>
      </c>
      <c r="AG579" s="29"/>
      <c r="AH579" s="29"/>
    </row>
    <row r="580" spans="1:34" x14ac:dyDescent="0.2">
      <c r="A580" s="124">
        <v>1036.3217199999999</v>
      </c>
      <c r="B580" s="10">
        <v>579.28683000000001</v>
      </c>
      <c r="C580" s="10">
        <v>1139</v>
      </c>
      <c r="D580" s="28">
        <v>3</v>
      </c>
      <c r="E580" s="10">
        <v>55</v>
      </c>
      <c r="F580" s="10">
        <f>(C580-$AE$3)*EchelleFPAparam!$C$3/EchelleFPAparam!$E$3</f>
        <v>-4.7261904761904758E-3</v>
      </c>
      <c r="AG580" s="29"/>
      <c r="AH580" s="29"/>
    </row>
    <row r="581" spans="1:34" x14ac:dyDescent="0.2">
      <c r="A581" s="124"/>
      <c r="B581" s="10">
        <f>B580+(D580-1)*2048-3072+(D580-2)*EchelleFPAparam!$B$3/EchelleFPAparam!$C$3</f>
        <v>1748.28683</v>
      </c>
      <c r="AG581" s="29"/>
      <c r="AH581" s="29"/>
    </row>
    <row r="582" spans="1:34" x14ac:dyDescent="0.2">
      <c r="A582" s="124"/>
      <c r="B582" s="10">
        <f>B581*EchelleFPAparam!$C$3*COS(EchelleFPAparam!$AC$3)*$B$6</f>
        <v>31.774769008168622</v>
      </c>
      <c r="AG582" s="29"/>
      <c r="AH582" s="29"/>
    </row>
    <row r="583" spans="1:34" x14ac:dyDescent="0.2">
      <c r="A583" s="124"/>
      <c r="B583" s="10">
        <f>ATAN(B582/EchelleFPAparam!$E$3)</f>
        <v>2.101196604160694E-2</v>
      </c>
      <c r="C583" s="29">
        <f>EchelleFPAparam!$M$3+$B583</f>
        <v>-3.496074389672639E-2</v>
      </c>
      <c r="F583" s="10">
        <f>ASIN($E580*$A580/(COS(F580)*2*EchelleFPAparam!$S$3*COS(-$C583/2)))-$C583/2</f>
        <v>1.1473507676275356</v>
      </c>
      <c r="G583" s="29">
        <f>$F583*180/EchelleFPAparam!$O$3</f>
        <v>65.738355635011629</v>
      </c>
      <c r="H583" s="10">
        <v>490</v>
      </c>
      <c r="I583" s="10" t="s">
        <v>350</v>
      </c>
      <c r="J583" s="10">
        <f>A580</f>
        <v>1036.3217199999999</v>
      </c>
      <c r="K583" s="10">
        <f>B580+(D580-1)*2198</f>
        <v>4975.28683</v>
      </c>
      <c r="L583" s="30">
        <f>C580</f>
        <v>1139</v>
      </c>
      <c r="M583" s="10">
        <f>E580</f>
        <v>55</v>
      </c>
      <c r="N583" s="29">
        <f>G583</f>
        <v>65.738355635011629</v>
      </c>
      <c r="O583" s="10">
        <f>H583</f>
        <v>490</v>
      </c>
      <c r="AG583" s="29"/>
      <c r="AH583" s="29"/>
    </row>
    <row r="584" spans="1:34" x14ac:dyDescent="0.2">
      <c r="A584" s="124">
        <v>985.90187000000003</v>
      </c>
      <c r="B584" s="10">
        <v>1690.1167</v>
      </c>
      <c r="C584" s="10">
        <v>1735</v>
      </c>
      <c r="D584" s="28">
        <v>3</v>
      </c>
      <c r="E584" s="10">
        <v>58</v>
      </c>
      <c r="F584" s="10">
        <f>(C584-$AE$3)*EchelleFPAparam!$C$3/EchelleFPAparam!$E$3</f>
        <v>2.3690476190476191E-3</v>
      </c>
      <c r="AG584" s="29"/>
      <c r="AH584" s="29"/>
    </row>
    <row r="585" spans="1:34" x14ac:dyDescent="0.2">
      <c r="A585" s="124"/>
      <c r="B585" s="10">
        <f>B584+(D584-1)*2048-3072+(D584-2)*EchelleFPAparam!$B$3/EchelleFPAparam!$C$3</f>
        <v>2859.1167000000005</v>
      </c>
      <c r="AG585" s="29"/>
      <c r="AH585" s="29"/>
    </row>
    <row r="586" spans="1:34" x14ac:dyDescent="0.2">
      <c r="A586" s="124"/>
      <c r="B586" s="10">
        <f>B585*EchelleFPAparam!$C$3*COS(EchelleFPAparam!$AC$3)*$B$6</f>
        <v>51.963883243287583</v>
      </c>
      <c r="AG586" s="29"/>
      <c r="AH586" s="29"/>
    </row>
    <row r="587" spans="1:34" x14ac:dyDescent="0.2">
      <c r="A587" s="124"/>
      <c r="B587" s="10">
        <f>ATAN(B586/EchelleFPAparam!$E$3)</f>
        <v>3.4354126282539151E-2</v>
      </c>
      <c r="C587" s="29">
        <f>EchelleFPAparam!$M$3+$B587</f>
        <v>-2.161858365579418E-2</v>
      </c>
      <c r="F587" s="10">
        <f>ASIN($E584*$A584/(COS(F584)*2*EchelleFPAparam!$S$3*COS(-$C587/2)))-$C587/2</f>
        <v>1.1473723144234311</v>
      </c>
      <c r="G587" s="29">
        <f>$F587*180/EchelleFPAparam!$O$3</f>
        <v>65.739590175460236</v>
      </c>
      <c r="H587" s="10">
        <v>490</v>
      </c>
      <c r="I587" s="10" t="s">
        <v>800</v>
      </c>
      <c r="J587" s="10">
        <f>A584</f>
        <v>985.90187000000003</v>
      </c>
      <c r="K587" s="10">
        <f>B584+(D584-1)*2198</f>
        <v>6086.1167000000005</v>
      </c>
      <c r="L587" s="30">
        <f>C584</f>
        <v>1735</v>
      </c>
      <c r="M587" s="10">
        <f>E584</f>
        <v>58</v>
      </c>
      <c r="N587" s="29">
        <f>G587</f>
        <v>65.739590175460236</v>
      </c>
      <c r="O587" s="10">
        <f>H587</f>
        <v>490</v>
      </c>
      <c r="AG587" s="29"/>
      <c r="AH587" s="29"/>
    </row>
    <row r="588" spans="1:34" x14ac:dyDescent="0.2">
      <c r="A588" s="124">
        <v>1119.0169699999999</v>
      </c>
      <c r="B588" s="10">
        <v>1054.4981</v>
      </c>
      <c r="C588" s="10">
        <v>199</v>
      </c>
      <c r="D588" s="28">
        <v>3</v>
      </c>
      <c r="E588" s="10">
        <v>51</v>
      </c>
      <c r="F588" s="10">
        <f>(C588-$AE$3)*EchelleFPAparam!$C$3/EchelleFPAparam!$E$3</f>
        <v>-1.5916666666666666E-2</v>
      </c>
      <c r="AG588" s="29"/>
      <c r="AH588" s="29"/>
    </row>
    <row r="589" spans="1:34" x14ac:dyDescent="0.2">
      <c r="A589" s="124"/>
      <c r="B589" s="10">
        <f>B588+(D588-1)*2048-3072+(D588-2)*EchelleFPAparam!$B$3/EchelleFPAparam!$C$3</f>
        <v>2223.4980999999998</v>
      </c>
      <c r="AG589" s="29"/>
      <c r="AH589" s="29"/>
    </row>
    <row r="590" spans="1:34" x14ac:dyDescent="0.2">
      <c r="A590" s="124"/>
      <c r="B590" s="10">
        <f>B589*EchelleFPAparam!$C$3*COS(EchelleFPAparam!$AC$3)*$B$6</f>
        <v>40.411640301381105</v>
      </c>
      <c r="AG590" s="29"/>
      <c r="AH590" s="29"/>
    </row>
    <row r="591" spans="1:34" x14ac:dyDescent="0.2">
      <c r="A591" s="124"/>
      <c r="B591" s="10">
        <f>ATAN(B590/EchelleFPAparam!$E$3)</f>
        <v>2.6720913872771895E-2</v>
      </c>
      <c r="C591" s="29">
        <f>EchelleFPAparam!$M$3+$B591</f>
        <v>-2.9251796065561435E-2</v>
      </c>
      <c r="F591" s="10">
        <f>ASIN($E588*$A588/(COS(F588)*2*EchelleFPAparam!$S$3*COS(-$C591/2)))-$C591/2</f>
        <v>1.1473358274859846</v>
      </c>
      <c r="G591" s="29">
        <f>$F591*180/EchelleFPAparam!$O$3</f>
        <v>65.737499627968077</v>
      </c>
      <c r="H591" s="10">
        <v>490</v>
      </c>
      <c r="I591" s="10" t="s">
        <v>350</v>
      </c>
      <c r="J591" s="10">
        <f>A588</f>
        <v>1119.0169699999999</v>
      </c>
      <c r="K591" s="10">
        <f>B588+(D588-1)*2198</f>
        <v>5450.4980999999998</v>
      </c>
      <c r="L591" s="30">
        <f>C588</f>
        <v>199</v>
      </c>
      <c r="M591" s="10">
        <f>E588</f>
        <v>51</v>
      </c>
      <c r="N591" s="29">
        <f>G591</f>
        <v>65.737499627968077</v>
      </c>
      <c r="O591" s="10">
        <f>H591</f>
        <v>490</v>
      </c>
      <c r="AG591" s="29"/>
      <c r="AH591" s="29"/>
    </row>
    <row r="592" spans="1:34" x14ac:dyDescent="0.2">
      <c r="A592" s="124">
        <v>1059.5898400000001</v>
      </c>
      <c r="B592" s="10">
        <v>1921.7933</v>
      </c>
      <c r="C592" s="10">
        <v>904</v>
      </c>
      <c r="D592" s="28">
        <v>3</v>
      </c>
      <c r="E592" s="10">
        <v>54</v>
      </c>
      <c r="F592" s="10">
        <f>(C592-$AE$3)*EchelleFPAparam!$C$3/EchelleFPAparam!$E$3</f>
        <v>-7.5238095238095238E-3</v>
      </c>
    </row>
    <row r="593" spans="1:15" x14ac:dyDescent="0.2">
      <c r="A593" s="124"/>
      <c r="B593" s="10">
        <f>B592+(D592-1)*2048-3072+(D592-2)*EchelleFPAparam!$B$3/EchelleFPAparam!$C$3</f>
        <v>3090.7933000000003</v>
      </c>
    </row>
    <row r="594" spans="1:15" x14ac:dyDescent="0.2">
      <c r="A594" s="124"/>
      <c r="B594" s="10">
        <f>B593*EchelleFPAparam!$C$3*COS(EchelleFPAparam!$AC$3)*$B$6</f>
        <v>56.174559845820752</v>
      </c>
    </row>
    <row r="595" spans="1:15" x14ac:dyDescent="0.2">
      <c r="A595" s="124"/>
      <c r="B595" s="10">
        <f>ATAN(B594/EchelleFPAparam!$E$3)</f>
        <v>3.7135406864416833E-2</v>
      </c>
      <c r="C595" s="29">
        <f>EchelleFPAparam!$M$3+$B595</f>
        <v>-1.8837303073916498E-2</v>
      </c>
      <c r="F595" s="10">
        <f>ASIN($E592*$A592/(COS(F592)*2*EchelleFPAparam!$S$3*COS(-$C595/2)))-$C595/2</f>
        <v>1.1473486593467286</v>
      </c>
      <c r="G595" s="29">
        <f>$F595*180/EchelleFPAparam!$O$3</f>
        <v>65.738234839421139</v>
      </c>
      <c r="H595" s="10">
        <v>490</v>
      </c>
      <c r="I595" s="10" t="s">
        <v>800</v>
      </c>
      <c r="J595" s="10">
        <f>A592</f>
        <v>1059.5898400000001</v>
      </c>
      <c r="K595" s="10">
        <f>B592+(D592-1)*2198</f>
        <v>6317.7933000000003</v>
      </c>
      <c r="L595" s="30">
        <f>C592</f>
        <v>904</v>
      </c>
      <c r="M595" s="10">
        <f>E592</f>
        <v>54</v>
      </c>
      <c r="N595" s="29">
        <f>G595</f>
        <v>65.738234839421139</v>
      </c>
      <c r="O595" s="10">
        <f>H595</f>
        <v>490</v>
      </c>
    </row>
    <row r="596" spans="1:15" x14ac:dyDescent="0.2">
      <c r="A596" s="124">
        <v>1037.72768</v>
      </c>
      <c r="B596" s="10">
        <v>1042.9927</v>
      </c>
      <c r="C596" s="10">
        <v>1133</v>
      </c>
      <c r="D596" s="28">
        <v>3</v>
      </c>
      <c r="E596" s="10">
        <v>55</v>
      </c>
      <c r="F596" s="10">
        <f>(C596-$AE$3)*EchelleFPAparam!$C$3/EchelleFPAparam!$E$3</f>
        <v>-4.7976190476190471E-3</v>
      </c>
    </row>
    <row r="597" spans="1:15" x14ac:dyDescent="0.2">
      <c r="A597" s="124"/>
      <c r="B597" s="10">
        <f>B596+(D596-1)*2048-3072+(D596-2)*EchelleFPAparam!$B$3/EchelleFPAparam!$C$3</f>
        <v>2211.9926999999998</v>
      </c>
    </row>
    <row r="598" spans="1:15" x14ac:dyDescent="0.2">
      <c r="A598" s="124"/>
      <c r="B598" s="10">
        <f>B597*EchelleFPAparam!$C$3*COS(EchelleFPAparam!$AC$3)*$B$6</f>
        <v>40.202531921066537</v>
      </c>
    </row>
    <row r="599" spans="1:15" x14ac:dyDescent="0.2">
      <c r="A599" s="124"/>
      <c r="B599" s="10">
        <f>ATAN(B598/EchelleFPAparam!$E$3)</f>
        <v>2.6582712892971386E-2</v>
      </c>
      <c r="C599" s="29">
        <f>EchelleFPAparam!$M$3+$B599</f>
        <v>-2.9389997045361944E-2</v>
      </c>
      <c r="F599" s="10">
        <f>ASIN($E596*$A596/(COS(F596)*2*EchelleFPAparam!$S$3*COS(-$C599/2)))-$C599/2</f>
        <v>1.1473541331811588</v>
      </c>
      <c r="G599" s="29">
        <f>$F599*180/EchelleFPAparam!$O$3</f>
        <v>65.738548467027115</v>
      </c>
      <c r="H599" s="10">
        <v>490</v>
      </c>
      <c r="I599" s="10" t="s">
        <v>350</v>
      </c>
      <c r="J599" s="10">
        <f>A596</f>
        <v>1037.72768</v>
      </c>
      <c r="K599" s="10">
        <f>B596+(D596-1)*2198</f>
        <v>5438.9926999999998</v>
      </c>
      <c r="L599" s="30">
        <f>C596</f>
        <v>1133</v>
      </c>
      <c r="M599" s="10">
        <f>E596</f>
        <v>55</v>
      </c>
      <c r="N599" s="29">
        <f>G599</f>
        <v>65.738548467027115</v>
      </c>
      <c r="O599" s="10">
        <f>H599</f>
        <v>490</v>
      </c>
    </row>
    <row r="600" spans="1:15" x14ac:dyDescent="0.2">
      <c r="A600" s="124">
        <v>975.44340999999997</v>
      </c>
      <c r="B600" s="10">
        <v>1509.9221</v>
      </c>
      <c r="C600" s="10">
        <v>1743</v>
      </c>
      <c r="D600" s="28">
        <v>1</v>
      </c>
      <c r="E600" s="10">
        <v>58</v>
      </c>
      <c r="F600" s="10">
        <f>(C600-$AE$3)*EchelleFPAparam!$C$3/EchelleFPAparam!$E$3</f>
        <v>2.464285714285714E-3</v>
      </c>
    </row>
    <row r="601" spans="1:15" x14ac:dyDescent="0.2">
      <c r="A601" s="124"/>
      <c r="B601" s="10">
        <f>B600+(D600-1)*2048-3072+(D600-2)*EchelleFPAparam!$B$3/EchelleFPAparam!$C$3</f>
        <v>-1707.0779</v>
      </c>
    </row>
    <row r="602" spans="1:15" x14ac:dyDescent="0.2">
      <c r="A602" s="124"/>
      <c r="B602" s="10">
        <f>B601*EchelleFPAparam!$C$3*COS(EchelleFPAparam!$AC$3)*$B$6</f>
        <v>-31.025804816850091</v>
      </c>
    </row>
    <row r="603" spans="1:15" x14ac:dyDescent="0.2">
      <c r="A603" s="124"/>
      <c r="B603" s="10">
        <f>ATAN(B602/EchelleFPAparam!$E$3)</f>
        <v>-2.0516832907481571E-2</v>
      </c>
      <c r="C603" s="29">
        <f>EchelleFPAparam!$M$3+$B603</f>
        <v>-7.6489542845814898E-2</v>
      </c>
      <c r="F603" s="10">
        <f>ASIN($E600*$A600/(COS(F600)*2*EchelleFPAparam!$S$3*COS(-$C603/2)))-$C603/2</f>
        <v>1.1538428974315751</v>
      </c>
      <c r="G603" s="29">
        <f>$F603*180/EchelleFPAparam!$O$3</f>
        <v>66.110327267339116</v>
      </c>
      <c r="H603" s="10">
        <v>450</v>
      </c>
      <c r="I603" s="10" t="s">
        <v>350</v>
      </c>
      <c r="J603" s="10">
        <f>A600</f>
        <v>975.44340999999997</v>
      </c>
      <c r="K603" s="10">
        <f>B600+(D600-1)*2198</f>
        <v>1509.9221</v>
      </c>
      <c r="L603" s="30">
        <f>C600</f>
        <v>1743</v>
      </c>
      <c r="M603" s="10">
        <f>E600</f>
        <v>58</v>
      </c>
      <c r="N603" s="29">
        <f>G603</f>
        <v>66.110327267339116</v>
      </c>
      <c r="O603" s="10">
        <f>H603</f>
        <v>450</v>
      </c>
    </row>
    <row r="604" spans="1:15" x14ac:dyDescent="0.2">
      <c r="A604" s="124">
        <v>1036.3217199999999</v>
      </c>
      <c r="B604" s="10">
        <v>1728.4748999999999</v>
      </c>
      <c r="C604" s="10">
        <v>1113</v>
      </c>
      <c r="D604" s="28">
        <v>2</v>
      </c>
      <c r="E604" s="10">
        <v>55</v>
      </c>
      <c r="F604" s="10">
        <f>(C604-$AE$3)*EchelleFPAparam!$C$3/EchelleFPAparam!$E$3</f>
        <v>-5.0357142857142849E-3</v>
      </c>
    </row>
    <row r="605" spans="1:15" x14ac:dyDescent="0.2">
      <c r="A605" s="124"/>
      <c r="B605" s="10">
        <f>B604+(D604-1)*2048-3072+(D604-2)*EchelleFPAparam!$B$3/EchelleFPAparam!$C$3</f>
        <v>704.47490000000016</v>
      </c>
    </row>
    <row r="606" spans="1:15" x14ac:dyDescent="0.2">
      <c r="A606" s="124"/>
      <c r="B606" s="10">
        <f>B605*EchelleFPAparam!$C$3*COS(EchelleFPAparam!$AC$3)*$B$6</f>
        <v>12.803692640956802</v>
      </c>
    </row>
    <row r="607" spans="1:15" x14ac:dyDescent="0.2">
      <c r="A607" s="124"/>
      <c r="B607" s="10">
        <f>ATAN(B606/EchelleFPAparam!$E$3)</f>
        <v>8.4678482885104742E-3</v>
      </c>
      <c r="C607" s="29">
        <f>EchelleFPAparam!$M$3+$B607</f>
        <v>-4.7504861649822858E-2</v>
      </c>
      <c r="F607" s="10">
        <f>ASIN($E604*$A604/(COS(F604)*2*EchelleFPAparam!$S$3*COS(-$C607/2)))-$C607/2</f>
        <v>1.1539001743752371</v>
      </c>
      <c r="G607" s="29">
        <f>$F607*180/EchelleFPAparam!$O$3</f>
        <v>66.113608994425874</v>
      </c>
      <c r="H607" s="10">
        <v>450</v>
      </c>
      <c r="I607" s="10" t="s">
        <v>350</v>
      </c>
      <c r="J607" s="10">
        <f>A604</f>
        <v>1036.3217199999999</v>
      </c>
      <c r="K607" s="10">
        <f>B604+(D604-1)*2198</f>
        <v>3926.4749000000002</v>
      </c>
      <c r="L607" s="30">
        <f>C604</f>
        <v>1113</v>
      </c>
      <c r="M607" s="10">
        <f>E604</f>
        <v>55</v>
      </c>
      <c r="N607" s="29">
        <f>G607</f>
        <v>66.113608994425874</v>
      </c>
      <c r="O607" s="10">
        <f>H607</f>
        <v>450</v>
      </c>
    </row>
    <row r="608" spans="1:15" x14ac:dyDescent="0.2">
      <c r="A608" s="124">
        <v>985.90187000000003</v>
      </c>
      <c r="B608" s="10">
        <v>632.14766999999995</v>
      </c>
      <c r="C608" s="10">
        <v>1709</v>
      </c>
      <c r="D608" s="28">
        <v>3</v>
      </c>
      <c r="E608" s="10">
        <v>58</v>
      </c>
      <c r="F608" s="10">
        <f>(C608-$AE$3)*EchelleFPAparam!$C$3/EchelleFPAparam!$E$3</f>
        <v>2.0595238095238093E-3</v>
      </c>
    </row>
    <row r="609" spans="1:15" x14ac:dyDescent="0.2">
      <c r="A609" s="124"/>
      <c r="B609" s="10">
        <f>B608+(D608-1)*2048-3072+(D608-2)*EchelleFPAparam!$B$3/EchelleFPAparam!$C$3</f>
        <v>1801.1476700000003</v>
      </c>
    </row>
    <row r="610" spans="1:15" x14ac:dyDescent="0.2">
      <c r="A610" s="124"/>
      <c r="B610" s="10">
        <f>B609*EchelleFPAparam!$C$3*COS(EchelleFPAparam!$AC$3)*$B$6</f>
        <v>32.735504370213171</v>
      </c>
    </row>
    <row r="611" spans="1:15" x14ac:dyDescent="0.2">
      <c r="A611" s="124"/>
      <c r="B611" s="10">
        <f>ATAN(B610/EchelleFPAparam!$E$3)</f>
        <v>2.1647083972001602E-2</v>
      </c>
      <c r="C611" s="29">
        <f>EchelleFPAparam!$M$3+$B611</f>
        <v>-3.4325625966331728E-2</v>
      </c>
      <c r="F611" s="10">
        <f>ASIN($E608*$A608/(COS(F608)*2*EchelleFPAparam!$S$3*COS(-$C611/2)))-$C611/2</f>
        <v>1.1539160295925368</v>
      </c>
      <c r="G611" s="29">
        <f>$F611*180/EchelleFPAparam!$O$3</f>
        <v>66.114517431446998</v>
      </c>
      <c r="H611" s="10">
        <v>450</v>
      </c>
      <c r="I611" s="10" t="s">
        <v>350</v>
      </c>
      <c r="J611" s="10">
        <f>A608</f>
        <v>985.90187000000003</v>
      </c>
      <c r="K611" s="10">
        <f>B608+(D608-1)*2198</f>
        <v>5028.1476700000003</v>
      </c>
      <c r="L611" s="30">
        <f>C608</f>
        <v>1709</v>
      </c>
      <c r="M611" s="10">
        <f>E608</f>
        <v>58</v>
      </c>
      <c r="N611" s="29">
        <f>G611</f>
        <v>66.114517431446998</v>
      </c>
      <c r="O611" s="10">
        <f>H611</f>
        <v>450</v>
      </c>
    </row>
    <row r="612" spans="1:15" x14ac:dyDescent="0.2">
      <c r="A612" s="124">
        <v>985.90187000000003</v>
      </c>
      <c r="B612" s="10">
        <v>948.82043999999996</v>
      </c>
      <c r="C612" s="10">
        <v>1613</v>
      </c>
      <c r="D612" s="28">
        <v>1</v>
      </c>
      <c r="E612" s="10">
        <v>57</v>
      </c>
      <c r="F612" s="10">
        <f>(C612-$AE$3)*EchelleFPAparam!$C$3/EchelleFPAparam!$E$3</f>
        <v>9.1666666666666665E-4</v>
      </c>
    </row>
    <row r="613" spans="1:15" x14ac:dyDescent="0.2">
      <c r="A613" s="124"/>
      <c r="B613" s="10">
        <f>B612+(D612-1)*2048-3072+(D612-2)*EchelleFPAparam!$B$3/EchelleFPAparam!$C$3</f>
        <v>-2268.17956</v>
      </c>
    </row>
    <row r="614" spans="1:15" x14ac:dyDescent="0.2">
      <c r="A614" s="124"/>
      <c r="B614" s="10">
        <f>B613*EchelleFPAparam!$C$3*COS(EchelleFPAparam!$AC$3)*$B$6</f>
        <v>-41.223717041928154</v>
      </c>
    </row>
    <row r="615" spans="1:15" x14ac:dyDescent="0.2">
      <c r="A615" s="124"/>
      <c r="B615" s="10">
        <f>ATAN(B614/EchelleFPAparam!$E$3)</f>
        <v>-2.7257610520575071E-2</v>
      </c>
      <c r="C615" s="29">
        <f>EchelleFPAparam!$M$3+$B615</f>
        <v>-8.3230320458908408E-2</v>
      </c>
      <c r="F615" s="10">
        <f>ASIN($E612*$A612/(COS(F612)*2*EchelleFPAparam!$S$3*COS(-$C615/2)))-$C615/2</f>
        <v>1.143963093815058</v>
      </c>
      <c r="G615" s="29">
        <f>$F615*180/EchelleFPAparam!$O$3</f>
        <v>65.544256226057072</v>
      </c>
      <c r="H615" s="10">
        <v>510</v>
      </c>
      <c r="I615" s="10" t="s">
        <v>350</v>
      </c>
      <c r="J615" s="10">
        <f>A612</f>
        <v>985.90187000000003</v>
      </c>
      <c r="K615" s="10">
        <f>B612+(D612-1)*2198</f>
        <v>948.82043999999996</v>
      </c>
      <c r="L615" s="30">
        <f>C612</f>
        <v>1613</v>
      </c>
      <c r="M615" s="10">
        <f>E612</f>
        <v>57</v>
      </c>
      <c r="N615" s="29">
        <f>G615</f>
        <v>65.544256226057072</v>
      </c>
      <c r="O615" s="10">
        <f>H615</f>
        <v>510</v>
      </c>
    </row>
    <row r="616" spans="1:15" x14ac:dyDescent="0.2">
      <c r="A616" s="124">
        <v>975.44340999999997</v>
      </c>
      <c r="B616" s="10">
        <v>849.05402000000004</v>
      </c>
      <c r="C616" s="10">
        <v>1781</v>
      </c>
      <c r="D616" s="28">
        <v>2</v>
      </c>
      <c r="E616" s="10">
        <v>58</v>
      </c>
      <c r="F616" s="10">
        <f>(C616-$AE$3)*EchelleFPAparam!$C$3/EchelleFPAparam!$E$3</f>
        <v>2.9166666666666664E-3</v>
      </c>
    </row>
    <row r="617" spans="1:15" x14ac:dyDescent="0.2">
      <c r="A617" s="124"/>
      <c r="B617" s="10">
        <f>B616+(D616-1)*2048-3072+(D616-2)*EchelleFPAparam!$B$3/EchelleFPAparam!$C$3</f>
        <v>-174.94597999999996</v>
      </c>
    </row>
    <row r="618" spans="1:15" x14ac:dyDescent="0.2">
      <c r="A618" s="124"/>
      <c r="B618" s="10">
        <f>B617*EchelleFPAparam!$C$3*COS(EchelleFPAparam!$AC$3)*$B$6</f>
        <v>-3.1796087507035029</v>
      </c>
    </row>
    <row r="619" spans="1:15" x14ac:dyDescent="0.2">
      <c r="A619" s="124"/>
      <c r="B619" s="10">
        <f>ATAN(B618/EchelleFPAparam!$E$3)</f>
        <v>-2.102912740543876E-3</v>
      </c>
      <c r="C619" s="29">
        <f>EchelleFPAparam!$M$3+$B619</f>
        <v>-5.8075622678877205E-2</v>
      </c>
      <c r="F619" s="10">
        <f>ASIN($E616*$A616/(COS(F616)*2*EchelleFPAparam!$S$3*COS(-$C619/2)))-$C619/2</f>
        <v>1.1440059046731319</v>
      </c>
      <c r="G619" s="29">
        <f>$F619*180/EchelleFPAparam!$O$3</f>
        <v>65.546709107505805</v>
      </c>
      <c r="H619" s="10">
        <v>510</v>
      </c>
      <c r="I619" s="10" t="s">
        <v>350</v>
      </c>
      <c r="J619" s="10">
        <f>A616</f>
        <v>975.44340999999997</v>
      </c>
      <c r="K619" s="10">
        <f>B616+(D616-1)*2198</f>
        <v>3047.05402</v>
      </c>
      <c r="L619" s="30">
        <f>C616</f>
        <v>1781</v>
      </c>
      <c r="M619" s="10">
        <f>E616</f>
        <v>58</v>
      </c>
      <c r="N619" s="29">
        <f>G619</f>
        <v>65.546709107505805</v>
      </c>
      <c r="O619" s="10">
        <f>H619</f>
        <v>510</v>
      </c>
    </row>
    <row r="620" spans="1:15" x14ac:dyDescent="0.2">
      <c r="A620" s="124">
        <v>1036.3217199999999</v>
      </c>
      <c r="B620" s="10">
        <v>1114.7861</v>
      </c>
      <c r="C620" s="10">
        <v>1152</v>
      </c>
      <c r="D620" s="28">
        <v>3</v>
      </c>
      <c r="E620" s="10">
        <v>55</v>
      </c>
      <c r="F620" s="10">
        <f>(C620-$AE$3)*EchelleFPAparam!$C$3/EchelleFPAparam!$E$3</f>
        <v>-4.5714285714285709E-3</v>
      </c>
    </row>
    <row r="621" spans="1:15" x14ac:dyDescent="0.2">
      <c r="A621" s="124"/>
      <c r="B621" s="10">
        <f>B620+(D620-1)*2048-3072+(D620-2)*EchelleFPAparam!$B$3/EchelleFPAparam!$C$3</f>
        <v>2283.7861000000003</v>
      </c>
    </row>
    <row r="622" spans="1:15" x14ac:dyDescent="0.2">
      <c r="A622" s="124"/>
      <c r="B622" s="10">
        <f>B621*EchelleFPAparam!$C$3*COS(EchelleFPAparam!$AC$3)*$B$6</f>
        <v>41.507362834487687</v>
      </c>
    </row>
    <row r="623" spans="1:15" x14ac:dyDescent="0.2">
      <c r="A623" s="124"/>
      <c r="B623" s="10">
        <f>ATAN(B622/EchelleFPAparam!$E$3)</f>
        <v>2.7445066638585824E-2</v>
      </c>
      <c r="C623" s="29">
        <f>EchelleFPAparam!$M$3+$B623</f>
        <v>-2.8527643299747506E-2</v>
      </c>
      <c r="F623" s="10">
        <f>ASIN($E620*$A620/(COS(F620)*2*EchelleFPAparam!$S$3*COS(-$C623/2)))-$C623/2</f>
        <v>1.1440245150606618</v>
      </c>
      <c r="G623" s="29">
        <f>$F623*180/EchelleFPAparam!$O$3</f>
        <v>65.547775404150627</v>
      </c>
      <c r="H623" s="10">
        <v>510</v>
      </c>
      <c r="I623" s="10" t="s">
        <v>350</v>
      </c>
      <c r="J623" s="10">
        <f>A620</f>
        <v>1036.3217199999999</v>
      </c>
      <c r="K623" s="10">
        <f>B620+(D620-1)*2198</f>
        <v>5510.7861000000003</v>
      </c>
      <c r="L623" s="30">
        <f>C620</f>
        <v>1152</v>
      </c>
      <c r="M623" s="10">
        <f>E620</f>
        <v>55</v>
      </c>
      <c r="N623" s="29">
        <f>G623</f>
        <v>65.547775404150627</v>
      </c>
      <c r="O623" s="10">
        <f>H623</f>
        <v>510</v>
      </c>
    </row>
    <row r="624" spans="1:15" x14ac:dyDescent="0.2">
      <c r="A624" s="124">
        <v>985.90187000000003</v>
      </c>
      <c r="B624" s="10">
        <v>1463.5496000000001</v>
      </c>
      <c r="C624" s="10">
        <v>1626</v>
      </c>
      <c r="D624" s="28">
        <v>1</v>
      </c>
      <c r="E624" s="10">
        <v>57</v>
      </c>
      <c r="F624" s="10">
        <f>(C624-$AE$3)*EchelleFPAparam!$C$3/EchelleFPAparam!$E$3</f>
        <v>1.0714285714285713E-3</v>
      </c>
    </row>
    <row r="625" spans="1:15" x14ac:dyDescent="0.2">
      <c r="A625" s="124"/>
      <c r="B625" s="10">
        <f>B624+(D624-1)*2048-3072+(D624-2)*EchelleFPAparam!$B$3/EchelleFPAparam!$C$3</f>
        <v>-1753.4503999999999</v>
      </c>
    </row>
    <row r="626" spans="1:15" x14ac:dyDescent="0.2">
      <c r="A626" s="124"/>
      <c r="B626" s="10">
        <f>B625*EchelleFPAparam!$C$3*COS(EchelleFPAparam!$AC$3)*$B$6</f>
        <v>-31.868615876538335</v>
      </c>
    </row>
    <row r="627" spans="1:15" x14ac:dyDescent="0.2">
      <c r="A627" s="124"/>
      <c r="B627" s="10">
        <f>ATAN(B626/EchelleFPAparam!$E$3)</f>
        <v>-2.1074006596102389E-2</v>
      </c>
      <c r="C627" s="29">
        <f>EchelleFPAparam!$M$3+$B627</f>
        <v>-7.7046716534435719E-2</v>
      </c>
      <c r="F627" s="10">
        <f>ASIN($E624*$A624/(COS(F624)*2*EchelleFPAparam!$S$3*COS(-$C627/2)))-$C627/2</f>
        <v>1.1406267118865949</v>
      </c>
      <c r="G627" s="29">
        <f>$F627*180/EchelleFPAparam!$O$3</f>
        <v>65.353095625536398</v>
      </c>
      <c r="H627" s="10">
        <v>530</v>
      </c>
      <c r="I627" s="10" t="s">
        <v>350</v>
      </c>
      <c r="J627" s="10">
        <f>A624</f>
        <v>985.90187000000003</v>
      </c>
      <c r="K627" s="10">
        <f>B624+(D624-1)*2198</f>
        <v>1463.5496000000001</v>
      </c>
      <c r="L627" s="30">
        <f>C624</f>
        <v>1626</v>
      </c>
      <c r="M627" s="10">
        <f>E624</f>
        <v>57</v>
      </c>
      <c r="N627" s="29">
        <f>G627</f>
        <v>65.353095625536398</v>
      </c>
      <c r="O627" s="10">
        <f>H627</f>
        <v>530</v>
      </c>
    </row>
    <row r="628" spans="1:15" x14ac:dyDescent="0.2">
      <c r="A628" s="124">
        <v>985.90187000000003</v>
      </c>
      <c r="B628" s="10">
        <v>1979.0742</v>
      </c>
      <c r="C628" s="10">
        <v>1639</v>
      </c>
      <c r="D628" s="28">
        <v>1</v>
      </c>
      <c r="E628" s="10">
        <v>57</v>
      </c>
      <c r="F628" s="10">
        <f>(C628-$AE$3)*EchelleFPAparam!$C$3/EchelleFPAparam!$E$3</f>
        <v>1.2261904761904762E-3</v>
      </c>
    </row>
    <row r="629" spans="1:15" x14ac:dyDescent="0.2">
      <c r="A629" s="124"/>
      <c r="B629" s="10">
        <f>B628+(D628-1)*2048-3072+(D628-2)*EchelleFPAparam!$B$3/EchelleFPAparam!$C$3</f>
        <v>-1237.9258</v>
      </c>
    </row>
    <row r="630" spans="1:15" x14ac:dyDescent="0.2">
      <c r="A630" s="124"/>
      <c r="B630" s="10">
        <f>B629*EchelleFPAparam!$C$3*COS(EchelleFPAparam!$AC$3)*$B$6</f>
        <v>-22.499057745720336</v>
      </c>
    </row>
    <row r="631" spans="1:15" x14ac:dyDescent="0.2">
      <c r="A631" s="124"/>
      <c r="B631" s="10">
        <f>ATAN(B630/EchelleFPAparam!$E$3)</f>
        <v>-1.4879231054479929E-2</v>
      </c>
      <c r="C631" s="29">
        <f>EchelleFPAparam!$M$3+$B631</f>
        <v>-7.0851940992813264E-2</v>
      </c>
      <c r="F631" s="10">
        <f>ASIN($E628*$A628/(COS(F628)*2*EchelleFPAparam!$S$3*COS(-$C631/2)))-$C631/2</f>
        <v>1.1373034457647571</v>
      </c>
      <c r="G631" s="29">
        <f>$F631*180/EchelleFPAparam!$O$3</f>
        <v>65.162686505369166</v>
      </c>
      <c r="H631" s="10">
        <v>550</v>
      </c>
      <c r="I631" s="10" t="s">
        <v>350</v>
      </c>
      <c r="J631" s="10">
        <f>A628</f>
        <v>985.90187000000003</v>
      </c>
      <c r="K631" s="10">
        <f>B628+(D628-1)*2198</f>
        <v>1979.0742</v>
      </c>
      <c r="L631" s="30">
        <f>C628</f>
        <v>1639</v>
      </c>
      <c r="M631" s="10">
        <f>E628</f>
        <v>57</v>
      </c>
      <c r="N631" s="29">
        <f>G631</f>
        <v>65.162686505369166</v>
      </c>
      <c r="O631" s="10">
        <f>H631</f>
        <v>550</v>
      </c>
    </row>
    <row r="632" spans="1:15" x14ac:dyDescent="0.2">
      <c r="A632" s="124">
        <v>975.44340999999997</v>
      </c>
      <c r="B632" s="10">
        <v>1900.3976</v>
      </c>
      <c r="C632" s="10">
        <v>1809</v>
      </c>
      <c r="D632" s="28">
        <v>2</v>
      </c>
      <c r="E632" s="10">
        <v>58</v>
      </c>
      <c r="F632" s="10">
        <f>(C632-$AE$3)*EchelleFPAparam!$C$3/EchelleFPAparam!$E$3</f>
        <v>3.2499999999999999E-3</v>
      </c>
    </row>
    <row r="633" spans="1:15" x14ac:dyDescent="0.2">
      <c r="A633" s="124"/>
      <c r="B633" s="10">
        <f>B632+(D632-1)*2048-3072+(D632-2)*EchelleFPAparam!$B$3/EchelleFPAparam!$C$3</f>
        <v>876.39760000000024</v>
      </c>
    </row>
    <row r="634" spans="1:15" x14ac:dyDescent="0.2">
      <c r="A634" s="124"/>
      <c r="B634" s="10">
        <f>B633*EchelleFPAparam!$C$3*COS(EchelleFPAparam!$AC$3)*$B$6</f>
        <v>15.928353872752888</v>
      </c>
    </row>
    <row r="635" spans="1:15" x14ac:dyDescent="0.2">
      <c r="A635" s="124"/>
      <c r="B635" s="10">
        <f>ATAN(B634/EchelleFPAparam!$E$3)</f>
        <v>1.0534235898092258E-2</v>
      </c>
      <c r="C635" s="29">
        <f>EchelleFPAparam!$M$3+$B635</f>
        <v>-4.5438474040241074E-2</v>
      </c>
      <c r="F635" s="10">
        <f>ASIN($E632*$A632/(COS(F632)*2*EchelleFPAparam!$S$3*COS(-$C635/2)))-$C635/2</f>
        <v>1.1373559646711671</v>
      </c>
      <c r="G635" s="29">
        <f>$F635*180/EchelleFPAparam!$O$3</f>
        <v>65.165695617006648</v>
      </c>
      <c r="H635" s="10">
        <v>550</v>
      </c>
      <c r="I635" s="10" t="s">
        <v>350</v>
      </c>
      <c r="J635" s="10">
        <f>A632</f>
        <v>975.44340999999997</v>
      </c>
      <c r="K635" s="10">
        <f>B632+(D632-1)*2198</f>
        <v>4098.3976000000002</v>
      </c>
      <c r="L635" s="30">
        <f>C632</f>
        <v>1809</v>
      </c>
      <c r="M635" s="10">
        <f>E632</f>
        <v>58</v>
      </c>
      <c r="N635" s="29">
        <f>G635</f>
        <v>65.165695617006648</v>
      </c>
      <c r="O635" s="10">
        <f>H635</f>
        <v>550</v>
      </c>
    </row>
    <row r="636" spans="1:15" x14ac:dyDescent="0.2">
      <c r="A636" s="124">
        <v>1070.21893</v>
      </c>
      <c r="B636" s="10">
        <v>564.69768999999997</v>
      </c>
      <c r="C636" s="10">
        <v>753</v>
      </c>
      <c r="D636" s="28">
        <v>3</v>
      </c>
      <c r="E636" s="10">
        <v>53</v>
      </c>
      <c r="F636" s="10">
        <f>(C636-$AE$3)*EchelleFPAparam!$C$3/EchelleFPAparam!$E$3</f>
        <v>-9.3214285714285708E-3</v>
      </c>
    </row>
    <row r="637" spans="1:15" x14ac:dyDescent="0.2">
      <c r="A637" s="124"/>
      <c r="B637" s="10">
        <f>B636+(D636-1)*2048-3072+(D636-2)*EchelleFPAparam!$B$3/EchelleFPAparam!$C$3</f>
        <v>1733.69769</v>
      </c>
    </row>
    <row r="638" spans="1:15" x14ac:dyDescent="0.2">
      <c r="A638" s="124"/>
      <c r="B638" s="10">
        <f>B637*EchelleFPAparam!$C$3*COS(EchelleFPAparam!$AC$3)*$B$6</f>
        <v>31.509614260347391</v>
      </c>
    </row>
    <row r="639" spans="1:15" x14ac:dyDescent="0.2">
      <c r="A639" s="124"/>
      <c r="B639" s="10">
        <f>ATAN(B638/EchelleFPAparam!$E$3)</f>
        <v>2.0836675914543173E-2</v>
      </c>
      <c r="C639" s="29">
        <f>EchelleFPAparam!$M$3+$B639</f>
        <v>-3.5136034023790161E-2</v>
      </c>
      <c r="F639" s="10">
        <f>ASIN($E636*$A636/(COS(F636)*2*EchelleFPAparam!$S$3*COS(-$C639/2)))-$C639/2</f>
        <v>1.1373529005245757</v>
      </c>
      <c r="G639" s="29">
        <f>$F639*180/EchelleFPAparam!$O$3</f>
        <v>65.165520054341741</v>
      </c>
      <c r="H639" s="10">
        <v>550</v>
      </c>
      <c r="I639" s="10" t="s">
        <v>350</v>
      </c>
      <c r="J639" s="10">
        <f>A636</f>
        <v>1070.21893</v>
      </c>
      <c r="K639" s="10">
        <f>B636+(D636-1)*2198</f>
        <v>4960.69769</v>
      </c>
      <c r="L639" s="30">
        <f>C636</f>
        <v>753</v>
      </c>
      <c r="M639" s="10">
        <f>E636</f>
        <v>53</v>
      </c>
      <c r="N639" s="29">
        <f>G639</f>
        <v>65.165520054341741</v>
      </c>
      <c r="O639" s="10">
        <f>H639</f>
        <v>550</v>
      </c>
    </row>
    <row r="640" spans="1:15" x14ac:dyDescent="0.2">
      <c r="A640" s="125">
        <v>3341.8790899999999</v>
      </c>
      <c r="B640" s="10">
        <v>1977.4041999999999</v>
      </c>
      <c r="C640" s="10">
        <v>1299</v>
      </c>
      <c r="D640" s="28">
        <v>2</v>
      </c>
      <c r="E640" s="10">
        <v>17</v>
      </c>
      <c r="F640" s="10">
        <f>(C640-$AE$3)*EchelleFPAparam!$C$3/EchelleFPAparam!$E$3</f>
        <v>-2.8214285714285715E-3</v>
      </c>
    </row>
    <row r="641" spans="1:35" x14ac:dyDescent="0.2">
      <c r="A641" s="125"/>
      <c r="B641" s="10">
        <f>B640+(D640-1)*2048-3072+(D640-2)*EchelleFPAparam!$B$3/EchelleFPAparam!$C$3</f>
        <v>953.40419999999995</v>
      </c>
    </row>
    <row r="642" spans="1:35" x14ac:dyDescent="0.2">
      <c r="A642" s="125"/>
      <c r="B642" s="10">
        <f>B641*EchelleFPAparam!$C$3*COS(EchelleFPAparam!$AC$3)*$B$6</f>
        <v>17.327933670024731</v>
      </c>
    </row>
    <row r="643" spans="1:35" x14ac:dyDescent="0.2">
      <c r="A643" s="125"/>
      <c r="B643" s="10">
        <f>ATAN(B642/EchelleFPAparam!$E$3)</f>
        <v>1.145977190817556E-2</v>
      </c>
      <c r="C643" s="29">
        <f>EchelleFPAparam!$M$3+$B643</f>
        <v>-4.4512938030157767E-2</v>
      </c>
      <c r="F643" s="10">
        <f>ASIN($E640*$A640/(COS(F640)*2*EchelleFPAparam!$S$3*COS(-$C643/2)))-$C643/2</f>
        <v>1.1454535342448378</v>
      </c>
      <c r="G643" s="29">
        <f>$F643*180/EchelleFPAparam!$O$3</f>
        <v>65.629652171037577</v>
      </c>
      <c r="H643" s="10">
        <v>500</v>
      </c>
      <c r="I643" s="10" t="s">
        <v>366</v>
      </c>
      <c r="J643" s="10">
        <f>A640</f>
        <v>3341.8790899999999</v>
      </c>
      <c r="K643" s="10">
        <f>B640+(D640-1)*2198</f>
        <v>4175.4041999999999</v>
      </c>
      <c r="L643" s="30">
        <f>C640</f>
        <v>1299</v>
      </c>
      <c r="M643" s="10">
        <f>E640</f>
        <v>17</v>
      </c>
      <c r="N643" s="29">
        <f>G643</f>
        <v>65.629652171037577</v>
      </c>
      <c r="O643" s="10">
        <f>H643</f>
        <v>500</v>
      </c>
    </row>
    <row r="644" spans="1:35" x14ac:dyDescent="0.2">
      <c r="A644" s="125">
        <v>2883.0372900000002</v>
      </c>
      <c r="B644" s="10">
        <v>949.42814999999996</v>
      </c>
      <c r="C644" s="10">
        <v>1929</v>
      </c>
      <c r="D644" s="28">
        <v>3</v>
      </c>
      <c r="E644" s="10">
        <v>20</v>
      </c>
      <c r="F644" s="10">
        <f>(C644-$AE$16)*EchelleFPAparam!$C$3/EchelleFPAparam!$E$3</f>
        <v>4.6785714285714286E-3</v>
      </c>
      <c r="AG644" s="29">
        <f>N643</f>
        <v>65.629652171037577</v>
      </c>
      <c r="AH644" s="29">
        <f>O643</f>
        <v>500</v>
      </c>
      <c r="AI644" s="10">
        <f t="shared" ref="AI644:AI662" si="4">AG644+AH644*0.009525</f>
        <v>70.39215217103758</v>
      </c>
    </row>
    <row r="645" spans="1:35" x14ac:dyDescent="0.2">
      <c r="A645" s="125"/>
      <c r="B645" s="10">
        <f>B644+(D644-1)*2048-3072+(D644-2)*EchelleFPAparam!$B$3/EchelleFPAparam!$C$3</f>
        <v>2118.4281499999997</v>
      </c>
      <c r="AG645" s="29">
        <f>N647</f>
        <v>67.057700942646989</v>
      </c>
      <c r="AH645" s="29">
        <f>O647</f>
        <v>350</v>
      </c>
      <c r="AI645" s="10">
        <f t="shared" si="4"/>
        <v>70.391450942646983</v>
      </c>
    </row>
    <row r="646" spans="1:35" x14ac:dyDescent="0.2">
      <c r="A646" s="125"/>
      <c r="B646" s="10">
        <f>B645*EchelleFPAparam!$C$3*COS(EchelleFPAparam!$AC$3)*$B$6</f>
        <v>38.502014641757604</v>
      </c>
      <c r="AG646" s="29">
        <f>N651</f>
        <v>66.104897421137011</v>
      </c>
      <c r="AH646" s="29">
        <f>O651</f>
        <v>450</v>
      </c>
      <c r="AI646" s="10">
        <f t="shared" si="4"/>
        <v>70.391147421137006</v>
      </c>
    </row>
    <row r="647" spans="1:35" x14ac:dyDescent="0.2">
      <c r="A647" s="125"/>
      <c r="B647" s="10">
        <f>ATAN(B646/EchelleFPAparam!$E$3)</f>
        <v>2.5458793597774528E-2</v>
      </c>
      <c r="C647" s="29">
        <f>EchelleFPAparam!$M$3+$B647</f>
        <v>-3.0513916340558802E-2</v>
      </c>
      <c r="F647" s="10">
        <f>ASIN($E644*$A644/(COS(F644)*2*EchelleFPAparam!$S$3*COS(-$C647/2)))-$C647/2</f>
        <v>1.1703776875566827</v>
      </c>
      <c r="G647" s="29">
        <f>$F647*180/EchelleFPAparam!$O$3</f>
        <v>67.057700942646989</v>
      </c>
      <c r="H647" s="10">
        <v>350</v>
      </c>
      <c r="I647" s="10" t="s">
        <v>366</v>
      </c>
      <c r="J647" s="10">
        <f>A644</f>
        <v>2883.0372900000002</v>
      </c>
      <c r="K647" s="10">
        <f>B644+(D644-1)*2198</f>
        <v>5345.4281499999997</v>
      </c>
      <c r="L647" s="30">
        <f>C644</f>
        <v>1929</v>
      </c>
      <c r="M647" s="10">
        <f>E644</f>
        <v>20</v>
      </c>
      <c r="N647" s="29">
        <f>G647</f>
        <v>67.057700942646989</v>
      </c>
      <c r="O647" s="10">
        <f>H647</f>
        <v>350</v>
      </c>
      <c r="AG647" s="29">
        <f>N655</f>
        <v>67.05693732455822</v>
      </c>
      <c r="AH647" s="29">
        <f>O655</f>
        <v>350</v>
      </c>
      <c r="AI647" s="10">
        <f t="shared" si="4"/>
        <v>70.390687324558215</v>
      </c>
    </row>
    <row r="648" spans="1:35" x14ac:dyDescent="0.2">
      <c r="A648" s="125">
        <v>2866.3536300000001</v>
      </c>
      <c r="B648" s="10">
        <v>1550.0994000000001</v>
      </c>
      <c r="C648" s="10">
        <v>1970</v>
      </c>
      <c r="D648" s="28">
        <v>3</v>
      </c>
      <c r="E648" s="10">
        <v>20</v>
      </c>
      <c r="F648" s="10">
        <f>(C648-$AE$16)*EchelleFPAparam!$C$3/EchelleFPAparam!$E$3</f>
        <v>5.1666666666666666E-3</v>
      </c>
      <c r="AG648" s="29">
        <f>N659</f>
        <v>66.104403029173923</v>
      </c>
      <c r="AH648" s="29">
        <f>O659</f>
        <v>450</v>
      </c>
      <c r="AI648" s="10">
        <f t="shared" si="4"/>
        <v>70.390653029173919</v>
      </c>
    </row>
    <row r="649" spans="1:35" x14ac:dyDescent="0.2">
      <c r="A649" s="125"/>
      <c r="B649" s="10">
        <f>B648+(D648-1)*2048-3072+(D648-2)*EchelleFPAparam!$B$3/EchelleFPAparam!$C$3</f>
        <v>2719.0994000000001</v>
      </c>
      <c r="AG649" s="29">
        <f>N663</f>
        <v>66.103662685215681</v>
      </c>
      <c r="AH649" s="29">
        <f>O663</f>
        <v>450</v>
      </c>
      <c r="AI649" s="10">
        <f t="shared" si="4"/>
        <v>70.389912685215677</v>
      </c>
    </row>
    <row r="650" spans="1:35" x14ac:dyDescent="0.2">
      <c r="A650" s="125"/>
      <c r="B650" s="10">
        <f>B649*EchelleFPAparam!$C$3*COS(EchelleFPAparam!$AC$3)*$B$6</f>
        <v>49.419096376336547</v>
      </c>
      <c r="AG650" s="29">
        <f>N667</f>
        <v>65.15181976082917</v>
      </c>
      <c r="AH650" s="29">
        <f>O667</f>
        <v>550</v>
      </c>
      <c r="AI650" s="10">
        <f t="shared" si="4"/>
        <v>70.390569760829166</v>
      </c>
    </row>
    <row r="651" spans="1:35" x14ac:dyDescent="0.2">
      <c r="A651" s="125"/>
      <c r="B651" s="10">
        <f>ATAN(B650/EchelleFPAparam!$E$3)</f>
        <v>3.2672956216517765E-2</v>
      </c>
      <c r="C651" s="29">
        <f>EchelleFPAparam!$M$3+$B651</f>
        <v>-2.3299753721815565E-2</v>
      </c>
      <c r="F651" s="10">
        <f>ASIN($E648*$A648/(COS(F648)*2*EchelleFPAparam!$S$3*COS(-$C651/2)))-$C651/2</f>
        <v>1.1537481287360716</v>
      </c>
      <c r="G651" s="29">
        <f>$F651*180/EchelleFPAparam!$O$3</f>
        <v>66.104897421137011</v>
      </c>
      <c r="H651" s="10">
        <v>450</v>
      </c>
      <c r="I651" s="10" t="s">
        <v>366</v>
      </c>
      <c r="J651" s="10">
        <f>A648</f>
        <v>2866.3536300000001</v>
      </c>
      <c r="K651" s="10">
        <f>B648+(D648-1)*2198</f>
        <v>5946.0994000000001</v>
      </c>
      <c r="L651" s="30">
        <f>C648</f>
        <v>1970</v>
      </c>
      <c r="M651" s="10">
        <f>E648</f>
        <v>20</v>
      </c>
      <c r="N651" s="29">
        <f>G651</f>
        <v>66.104897421137011</v>
      </c>
      <c r="O651" s="10">
        <f>H651</f>
        <v>450</v>
      </c>
      <c r="AG651" s="29">
        <f>N671</f>
        <v>66.579479130453876</v>
      </c>
      <c r="AH651" s="29">
        <f>O671</f>
        <v>400</v>
      </c>
      <c r="AI651" s="10">
        <f t="shared" si="4"/>
        <v>70.389479130453878</v>
      </c>
    </row>
    <row r="652" spans="1:35" x14ac:dyDescent="0.2">
      <c r="A652" s="125">
        <v>2877.7571400000002</v>
      </c>
      <c r="B652" s="10">
        <v>289.52271000000002</v>
      </c>
      <c r="C652" s="10">
        <v>1922</v>
      </c>
      <c r="D652" s="28">
        <v>3</v>
      </c>
      <c r="E652" s="10">
        <v>20</v>
      </c>
      <c r="F652" s="10">
        <f>(C652-$AE$16)*EchelleFPAparam!$C$3/EchelleFPAparam!$E$3</f>
        <v>4.5952380952380949E-3</v>
      </c>
      <c r="AG652" s="29">
        <f>N675</f>
        <v>67.055495423365926</v>
      </c>
      <c r="AH652" s="29">
        <f>O675</f>
        <v>350</v>
      </c>
      <c r="AI652" s="10">
        <f t="shared" si="4"/>
        <v>70.389245423365921</v>
      </c>
    </row>
    <row r="653" spans="1:35" x14ac:dyDescent="0.2">
      <c r="A653" s="125"/>
      <c r="B653" s="10">
        <f>B652+(D652-1)*2048-3072+(D652-2)*EchelleFPAparam!$B$3/EchelleFPAparam!$C$3</f>
        <v>1458.5227100000002</v>
      </c>
      <c r="AG653" s="29">
        <f>N679</f>
        <v>68.005855968021081</v>
      </c>
      <c r="AH653" s="29">
        <f>O679</f>
        <v>250</v>
      </c>
      <c r="AI653" s="10">
        <f t="shared" si="4"/>
        <v>70.387105968021075</v>
      </c>
    </row>
    <row r="654" spans="1:35" x14ac:dyDescent="0.2">
      <c r="A654" s="125"/>
      <c r="B654" s="10">
        <f>B653*EchelleFPAparam!$C$3*COS(EchelleFPAparam!$AC$3)*$B$6</f>
        <v>26.508363163393572</v>
      </c>
      <c r="AG654" s="29">
        <f>N683</f>
        <v>64.674527023925549</v>
      </c>
      <c r="AH654" s="29">
        <f>O683</f>
        <v>600</v>
      </c>
      <c r="AI654" s="10">
        <f t="shared" si="4"/>
        <v>70.389527023925552</v>
      </c>
    </row>
    <row r="655" spans="1:35" x14ac:dyDescent="0.2">
      <c r="A655" s="125"/>
      <c r="B655" s="10">
        <f>ATAN(B654/EchelleFPAparam!$E$3)</f>
        <v>1.7530190278347159E-2</v>
      </c>
      <c r="C655" s="29">
        <f>EchelleFPAparam!$M$3+$B655</f>
        <v>-3.8442519659986171E-2</v>
      </c>
      <c r="F655" s="10">
        <f>ASIN($E652*$A652/(COS(F652)*2*EchelleFPAparam!$S$3*COS(-$C655/2)))-$C655/2</f>
        <v>1.1703643599066091</v>
      </c>
      <c r="G655" s="29">
        <f>$F655*180/EchelleFPAparam!$O$3</f>
        <v>67.05693732455822</v>
      </c>
      <c r="H655" s="10">
        <v>350</v>
      </c>
      <c r="I655" s="10" t="s">
        <v>366</v>
      </c>
      <c r="J655" s="10">
        <f>A652</f>
        <v>2877.7571400000002</v>
      </c>
      <c r="K655" s="10">
        <f>B652+(D652-1)*2198</f>
        <v>4685.5227100000002</v>
      </c>
      <c r="L655" s="30">
        <f>C652</f>
        <v>1922</v>
      </c>
      <c r="M655" s="10">
        <f>E652</f>
        <v>20</v>
      </c>
      <c r="N655" s="29">
        <f>G655</f>
        <v>67.05693732455822</v>
      </c>
      <c r="O655" s="10">
        <f>H655</f>
        <v>350</v>
      </c>
      <c r="AG655" s="29">
        <f>N687</f>
        <v>64.195731934088215</v>
      </c>
      <c r="AH655" s="29">
        <f>O687</f>
        <v>650</v>
      </c>
      <c r="AI655" s="10">
        <f t="shared" si="4"/>
        <v>70.386981934088212</v>
      </c>
    </row>
    <row r="656" spans="1:35" x14ac:dyDescent="0.2">
      <c r="A656" s="125">
        <v>2861.837</v>
      </c>
      <c r="B656" s="10">
        <v>995.43583999999998</v>
      </c>
      <c r="C656" s="10">
        <v>1964</v>
      </c>
      <c r="D656" s="28">
        <v>3</v>
      </c>
      <c r="E656" s="10">
        <v>20</v>
      </c>
      <c r="F656" s="10">
        <f>(C656-$AE$16)*EchelleFPAparam!$C$3/EchelleFPAparam!$E$3</f>
        <v>5.0952380952380954E-3</v>
      </c>
      <c r="AG656" s="29">
        <f>N691</f>
        <v>64.197564599273321</v>
      </c>
      <c r="AH656" s="29">
        <f>O691</f>
        <v>650</v>
      </c>
      <c r="AI656" s="10">
        <f t="shared" si="4"/>
        <v>70.388814599273317</v>
      </c>
    </row>
    <row r="657" spans="1:35" x14ac:dyDescent="0.2">
      <c r="A657" s="125"/>
      <c r="B657" s="10">
        <f>B656+(D656-1)*2048-3072+(D656-2)*EchelleFPAparam!$B$3/EchelleFPAparam!$C$3</f>
        <v>2164.4358400000001</v>
      </c>
      <c r="AG657" s="29">
        <f>N695</f>
        <v>63.722037839572657</v>
      </c>
      <c r="AH657" s="29">
        <f>O695</f>
        <v>700</v>
      </c>
      <c r="AI657" s="10">
        <f t="shared" si="4"/>
        <v>70.389537839572654</v>
      </c>
    </row>
    <row r="658" spans="1:35" x14ac:dyDescent="0.2">
      <c r="A658" s="125"/>
      <c r="B658" s="10">
        <f>B657*EchelleFPAparam!$C$3*COS(EchelleFPAparam!$AC$3)*$B$6</f>
        <v>39.338195351503863</v>
      </c>
      <c r="AG658" s="29">
        <f>N699</f>
        <v>63.724198745918763</v>
      </c>
      <c r="AH658" s="29">
        <f>O699</f>
        <v>700</v>
      </c>
      <c r="AI658" s="10">
        <f t="shared" si="4"/>
        <v>70.39169874591876</v>
      </c>
    </row>
    <row r="659" spans="1:35" x14ac:dyDescent="0.2">
      <c r="A659" s="125"/>
      <c r="B659" s="10">
        <f>ATAN(B658/EchelleFPAparam!$E$3)</f>
        <v>2.6011456964825794E-2</v>
      </c>
      <c r="C659" s="29">
        <f>EchelleFPAparam!$M$3+$B659</f>
        <v>-2.9961252973507536E-2</v>
      </c>
      <c r="F659" s="10">
        <f>ASIN($E656*$A656/(COS(F656)*2*EchelleFPAparam!$S$3*COS(-$C659/2)))-$C659/2</f>
        <v>1.1537394999683928</v>
      </c>
      <c r="G659" s="29">
        <f>$F659*180/EchelleFPAparam!$O$3</f>
        <v>66.104403029173923</v>
      </c>
      <c r="H659" s="10">
        <v>450</v>
      </c>
      <c r="I659" s="10" t="s">
        <v>366</v>
      </c>
      <c r="J659" s="10">
        <f>A656</f>
        <v>2861.837</v>
      </c>
      <c r="K659" s="10">
        <f>B656+(D656-1)*2198</f>
        <v>5391.4358400000001</v>
      </c>
      <c r="L659" s="30">
        <f>C656</f>
        <v>1964</v>
      </c>
      <c r="M659" s="10">
        <f>E656</f>
        <v>20</v>
      </c>
      <c r="N659" s="29">
        <f>G659</f>
        <v>66.104403029173923</v>
      </c>
      <c r="O659" s="10">
        <f>H659</f>
        <v>450</v>
      </c>
      <c r="AG659" s="29">
        <f>N703</f>
        <v>63.723984442350265</v>
      </c>
      <c r="AH659" s="29">
        <f>O703</f>
        <v>700</v>
      </c>
      <c r="AI659" s="10">
        <f t="shared" si="4"/>
        <v>70.391484442350261</v>
      </c>
    </row>
    <row r="660" spans="1:35" x14ac:dyDescent="0.2">
      <c r="A660" s="125">
        <v>3341.8790899999999</v>
      </c>
      <c r="B660" s="10">
        <v>672.47374000000002</v>
      </c>
      <c r="C660" s="10">
        <v>1266</v>
      </c>
      <c r="D660" s="28">
        <v>2</v>
      </c>
      <c r="E660" s="10">
        <v>17</v>
      </c>
      <c r="F660" s="10">
        <f>(C660-$AE$16)*EchelleFPAparam!$C$3/EchelleFPAparam!$E$3</f>
        <v>-3.2142857142857138E-3</v>
      </c>
      <c r="AG660" s="29">
        <f>N707</f>
        <v>63.243630379869707</v>
      </c>
      <c r="AH660" s="29">
        <f>O707</f>
        <v>750</v>
      </c>
      <c r="AI660" s="10">
        <f t="shared" si="4"/>
        <v>70.387380379869711</v>
      </c>
    </row>
    <row r="661" spans="1:35" x14ac:dyDescent="0.2">
      <c r="A661" s="125"/>
      <c r="B661" s="10">
        <f>B660+(D660-1)*2048-3072+(D660-2)*EchelleFPAparam!$B$3/EchelleFPAparam!$C$3</f>
        <v>-351.52626000000009</v>
      </c>
      <c r="AG661" s="29">
        <f>N711</f>
        <v>63.246258878415041</v>
      </c>
      <c r="AH661" s="29">
        <f>O711</f>
        <v>750</v>
      </c>
      <c r="AI661" s="10">
        <f t="shared" si="4"/>
        <v>70.390008878415046</v>
      </c>
    </row>
    <row r="662" spans="1:35" x14ac:dyDescent="0.2">
      <c r="A662" s="125"/>
      <c r="B662" s="10">
        <f>B661*EchelleFPAparam!$C$3*COS(EchelleFPAparam!$AC$3)*$B$6</f>
        <v>-6.3889205822167234</v>
      </c>
      <c r="AG662" s="29">
        <f>N715</f>
        <v>63.246275504331038</v>
      </c>
      <c r="AH662" s="29">
        <f>O715</f>
        <v>750</v>
      </c>
      <c r="AI662" s="10">
        <f t="shared" si="4"/>
        <v>70.390025504331035</v>
      </c>
    </row>
    <row r="663" spans="1:35" x14ac:dyDescent="0.2">
      <c r="A663" s="125"/>
      <c r="B663" s="10">
        <f>ATAN(B662/EchelleFPAparam!$E$3)</f>
        <v>-4.2254514276712256E-3</v>
      </c>
      <c r="C663" s="29">
        <f>EchelleFPAparam!$M$3+$B663</f>
        <v>-6.0198161366004553E-2</v>
      </c>
      <c r="F663" s="10">
        <f>ASIN($E660*$A660/(COS(F660)*2*EchelleFPAparam!$S$3*COS(-$C663/2)))-$C663/2</f>
        <v>1.1537265785285331</v>
      </c>
      <c r="G663" s="29">
        <f>$F663*180/EchelleFPAparam!$O$3</f>
        <v>66.103662685215681</v>
      </c>
      <c r="H663" s="10">
        <v>450</v>
      </c>
      <c r="I663" s="10" t="s">
        <v>366</v>
      </c>
      <c r="J663" s="10">
        <f>A660</f>
        <v>3341.8790899999999</v>
      </c>
      <c r="K663" s="10">
        <f>B660+(D660-1)*2198</f>
        <v>2870.4737399999999</v>
      </c>
      <c r="L663" s="30">
        <f>C660</f>
        <v>1266</v>
      </c>
      <c r="M663" s="10">
        <f>E660</f>
        <v>17</v>
      </c>
      <c r="N663" s="29">
        <f>G663</f>
        <v>66.103662685215681</v>
      </c>
      <c r="O663" s="10">
        <f>H663</f>
        <v>450</v>
      </c>
      <c r="AG663" s="29"/>
      <c r="AH663" s="29"/>
    </row>
    <row r="664" spans="1:35" x14ac:dyDescent="0.2">
      <c r="A664" s="125">
        <v>3341.8790899999999</v>
      </c>
      <c r="B664" s="10">
        <v>1121.4332999999999</v>
      </c>
      <c r="C664" s="10">
        <v>1331</v>
      </c>
      <c r="D664" s="28">
        <v>3</v>
      </c>
      <c r="E664" s="10">
        <v>17</v>
      </c>
      <c r="F664" s="10">
        <f>(C664-$AE$16)*EchelleFPAparam!$C$3/EchelleFPAparam!$E$3</f>
        <v>-2.44047619047619E-3</v>
      </c>
      <c r="AG664" s="10">
        <f>INDEX(LINEST(AG644:AG662,AH644:AH662),2)</f>
        <v>70.390086678702943</v>
      </c>
      <c r="AH664" s="10">
        <f>INDEX(LINEST(AG644:AG662,AH644:AH662),1)</f>
        <v>-9.5253655740262771E-3</v>
      </c>
      <c r="AI664" s="10">
        <f>GEOMEAN(AI640:AI662)</f>
        <v>70.389887521672648</v>
      </c>
    </row>
    <row r="665" spans="1:35" x14ac:dyDescent="0.2">
      <c r="A665" s="125"/>
      <c r="B665" s="10">
        <f>B664+(D664-1)*2048-3072+(D664-2)*EchelleFPAparam!$B$3/EchelleFPAparam!$C$3</f>
        <v>2290.4332999999997</v>
      </c>
      <c r="AG665" s="29"/>
      <c r="AH665" s="29"/>
    </row>
    <row r="666" spans="1:35" x14ac:dyDescent="0.2">
      <c r="A666" s="125"/>
      <c r="B666" s="10">
        <f>B665*EchelleFPAparam!$C$3*COS(EchelleFPAparam!$AC$3)*$B$6</f>
        <v>41.628174386074498</v>
      </c>
      <c r="AG666" s="29"/>
      <c r="AH666" s="29"/>
    </row>
    <row r="667" spans="1:35" x14ac:dyDescent="0.2">
      <c r="A667" s="125"/>
      <c r="B667" s="10">
        <f>ATAN(B666/EchelleFPAparam!$E$3)</f>
        <v>2.7524908113778643E-2</v>
      </c>
      <c r="C667" s="29">
        <f>EchelleFPAparam!$M$3+$B667</f>
        <v>-2.8447801824554687E-2</v>
      </c>
      <c r="F667" s="10">
        <f>ASIN($E664*$A664/(COS(F664)*2*EchelleFPAparam!$S$3*COS(-$C667/2)))-$C667/2</f>
        <v>1.1371137852907593</v>
      </c>
      <c r="G667" s="29">
        <f>$F667*180/EchelleFPAparam!$O$3</f>
        <v>65.15181976082917</v>
      </c>
      <c r="H667" s="10">
        <v>550</v>
      </c>
      <c r="I667" s="10" t="s">
        <v>366</v>
      </c>
      <c r="J667" s="10">
        <f>A664</f>
        <v>3341.8790899999999</v>
      </c>
      <c r="K667" s="10">
        <f>B664+(D664-1)*2198</f>
        <v>5517.4332999999997</v>
      </c>
      <c r="L667" s="30">
        <f>C664</f>
        <v>1331</v>
      </c>
      <c r="M667" s="10">
        <f>E664</f>
        <v>17</v>
      </c>
      <c r="N667" s="29">
        <f>G667</f>
        <v>65.15181976082917</v>
      </c>
      <c r="O667" s="10">
        <f>H667</f>
        <v>550</v>
      </c>
    </row>
    <row r="668" spans="1:35" x14ac:dyDescent="0.2">
      <c r="A668" s="125">
        <v>3341.8790899999999</v>
      </c>
      <c r="B668" s="10">
        <v>1575.4640999999999</v>
      </c>
      <c r="C668" s="10">
        <v>1232.4755</v>
      </c>
      <c r="D668" s="28">
        <v>1</v>
      </c>
      <c r="E668" s="10">
        <v>17</v>
      </c>
      <c r="F668" s="10">
        <f>(C668-$AE$16)*EchelleFPAparam!$C$3/EchelleFPAparam!$E$3</f>
        <v>-3.6133869047619044E-3</v>
      </c>
    </row>
    <row r="669" spans="1:35" x14ac:dyDescent="0.2">
      <c r="A669" s="125"/>
      <c r="B669" s="10">
        <f>B668+(D668-1)*2048-3072+(D668-2)*EchelleFPAparam!$B$3/EchelleFPAparam!$C$3</f>
        <v>-1641.5359000000001</v>
      </c>
    </row>
    <row r="670" spans="1:35" x14ac:dyDescent="0.2">
      <c r="A670" s="125"/>
      <c r="B670" s="10">
        <f>B669*EchelleFPAparam!$C$3*COS(EchelleFPAparam!$AC$3)*$B$6</f>
        <v>-29.834591867923749</v>
      </c>
    </row>
    <row r="671" spans="1:35" x14ac:dyDescent="0.2">
      <c r="A671" s="125"/>
      <c r="B671" s="10">
        <f>ATAN(B670/EchelleFPAparam!$E$3)</f>
        <v>-1.9729312679334105E-2</v>
      </c>
      <c r="C671" s="29">
        <f>EchelleFPAparam!$M$3+$B671</f>
        <v>-7.5702022617667439E-2</v>
      </c>
      <c r="F671" s="10">
        <f>ASIN($E668*$A668/(COS(F668)*2*EchelleFPAparam!$S$3*COS(-$C671/2)))-$C671/2</f>
        <v>1.162031142255757</v>
      </c>
      <c r="G671" s="29">
        <f>$F671*180/EchelleFPAparam!$O$3</f>
        <v>66.579479130453876</v>
      </c>
      <c r="H671" s="10">
        <v>400</v>
      </c>
      <c r="I671" s="10" t="s">
        <v>366</v>
      </c>
      <c r="J671" s="10">
        <f>A668</f>
        <v>3341.8790899999999</v>
      </c>
      <c r="K671" s="10">
        <f>B668+(D668-1)*2198</f>
        <v>1575.4640999999999</v>
      </c>
      <c r="L671" s="30">
        <f>C668</f>
        <v>1232.4755</v>
      </c>
      <c r="M671" s="10">
        <f>E668</f>
        <v>17</v>
      </c>
      <c r="N671" s="29">
        <f>G671</f>
        <v>66.579479130453876</v>
      </c>
      <c r="O671" s="10">
        <f>H671</f>
        <v>400</v>
      </c>
    </row>
    <row r="672" spans="1:35" x14ac:dyDescent="0.2">
      <c r="A672" s="125">
        <v>3341.8790899999999</v>
      </c>
      <c r="B672" s="10">
        <v>303.46143999999998</v>
      </c>
      <c r="C672" s="10">
        <v>1198</v>
      </c>
      <c r="D672" s="28">
        <v>1</v>
      </c>
      <c r="E672" s="10">
        <v>17</v>
      </c>
      <c r="F672" s="10">
        <f>(C672-$AE$16)*EchelleFPAparam!$C$3/EchelleFPAparam!$E$3</f>
        <v>-4.0238095238095233E-3</v>
      </c>
    </row>
    <row r="673" spans="1:15" x14ac:dyDescent="0.2">
      <c r="A673" s="125"/>
      <c r="B673" s="10">
        <f>B672+(D672-1)*2048-3072+(D672-2)*EchelleFPAparam!$B$3/EchelleFPAparam!$C$3</f>
        <v>-2913.53856</v>
      </c>
    </row>
    <row r="674" spans="1:15" x14ac:dyDescent="0.2">
      <c r="A674" s="125"/>
      <c r="B674" s="10">
        <f>B673*EchelleFPAparam!$C$3*COS(EchelleFPAparam!$AC$3)*$B$6</f>
        <v>-52.952989836566026</v>
      </c>
    </row>
    <row r="675" spans="1:15" x14ac:dyDescent="0.2">
      <c r="A675" s="125"/>
      <c r="B675" s="10">
        <f>ATAN(B674/EchelleFPAparam!$E$3)</f>
        <v>-3.5007510791703424E-2</v>
      </c>
      <c r="C675" s="29">
        <f>EchelleFPAparam!$M$3+$B675</f>
        <v>-9.0980220730036754E-2</v>
      </c>
      <c r="F675" s="10">
        <f>ASIN($E672*$A672/(COS(F672)*2*EchelleFPAparam!$S$3*COS(-$C675/2)))-$C675/2</f>
        <v>1.1703391939829433</v>
      </c>
      <c r="G675" s="29">
        <f>$F675*180/EchelleFPAparam!$O$3</f>
        <v>67.055495423365926</v>
      </c>
      <c r="H675" s="10">
        <v>350</v>
      </c>
      <c r="I675" s="10" t="s">
        <v>366</v>
      </c>
      <c r="J675" s="10">
        <f>A672</f>
        <v>3341.8790899999999</v>
      </c>
      <c r="K675" s="10">
        <f>B672+(D672-1)*2198</f>
        <v>303.46143999999998</v>
      </c>
      <c r="L675" s="30">
        <f>C672</f>
        <v>1198</v>
      </c>
      <c r="M675" s="10">
        <f>E672</f>
        <v>17</v>
      </c>
      <c r="N675" s="29">
        <f>G675</f>
        <v>67.055495423365926</v>
      </c>
      <c r="O675" s="10">
        <f>H675</f>
        <v>350</v>
      </c>
    </row>
    <row r="676" spans="1:15" x14ac:dyDescent="0.2">
      <c r="A676" s="125">
        <v>3630.4190699999999</v>
      </c>
      <c r="B676" s="10">
        <v>1038.4742000000001</v>
      </c>
      <c r="C676" s="10">
        <v>933</v>
      </c>
      <c r="D676" s="28">
        <v>3</v>
      </c>
      <c r="E676" s="10">
        <v>16</v>
      </c>
      <c r="F676" s="10">
        <f>(C676-$AE$16)*EchelleFPAparam!$C$3/EchelleFPAparam!$E$3</f>
        <v>-7.1785714285714283E-3</v>
      </c>
    </row>
    <row r="677" spans="1:15" x14ac:dyDescent="0.2">
      <c r="A677" s="125"/>
      <c r="B677" s="10">
        <f>B676+(D676-1)*2048-3072+(D676-2)*EchelleFPAparam!$B$3/EchelleFPAparam!$C$3</f>
        <v>2207.4742000000006</v>
      </c>
    </row>
    <row r="678" spans="1:15" x14ac:dyDescent="0.2">
      <c r="A678" s="125"/>
      <c r="B678" s="10">
        <f>B677*EchelleFPAparam!$C$3*COS(EchelleFPAparam!$AC$3)*$B$6</f>
        <v>40.120409072973366</v>
      </c>
    </row>
    <row r="679" spans="1:15" x14ac:dyDescent="0.2">
      <c r="A679" s="125"/>
      <c r="B679" s="10">
        <f>ATAN(B678/EchelleFPAparam!$E$3)</f>
        <v>2.6528437133202534E-2</v>
      </c>
      <c r="C679" s="29">
        <f>EchelleFPAparam!$M$3+$B679</f>
        <v>-2.9444272805130796E-2</v>
      </c>
      <c r="F679" s="10">
        <f>ASIN($E676*$A676/(COS(F676)*2*EchelleFPAparam!$S$3*COS(-$C679/2)))-$C679/2</f>
        <v>1.1869261148132579</v>
      </c>
      <c r="G679" s="29">
        <f>$F679*180/EchelleFPAparam!$O$3</f>
        <v>68.005855968021081</v>
      </c>
      <c r="H679" s="10">
        <v>250</v>
      </c>
      <c r="I679" s="10" t="s">
        <v>366</v>
      </c>
      <c r="J679" s="10">
        <f>A676</f>
        <v>3630.4190699999999</v>
      </c>
      <c r="K679" s="10">
        <f>B676+(D676-1)*2198</f>
        <v>5434.4742000000006</v>
      </c>
      <c r="L679" s="30">
        <f>C676</f>
        <v>933</v>
      </c>
      <c r="M679" s="10">
        <f>E676</f>
        <v>16</v>
      </c>
      <c r="N679" s="29">
        <f>G679</f>
        <v>68.005855968021081</v>
      </c>
      <c r="O679" s="10">
        <f>H679</f>
        <v>250</v>
      </c>
    </row>
    <row r="680" spans="1:15" x14ac:dyDescent="0.2">
      <c r="A680" s="125">
        <v>3098.7631299999998</v>
      </c>
      <c r="B680" s="10">
        <v>1051.2126000000001</v>
      </c>
      <c r="C680" s="10">
        <v>1550</v>
      </c>
      <c r="D680" s="28">
        <v>1</v>
      </c>
      <c r="E680" s="10">
        <v>18</v>
      </c>
      <c r="F680" s="10">
        <f>(C680-$AE$16)*EchelleFPAparam!$C$3/EchelleFPAparam!$E$3</f>
        <v>1.6666666666666666E-4</v>
      </c>
    </row>
    <row r="681" spans="1:15" x14ac:dyDescent="0.2">
      <c r="A681" s="125"/>
      <c r="B681" s="10">
        <f>B680+(D680-1)*2048-3072+(D680-2)*EchelleFPAparam!$B$3/EchelleFPAparam!$C$3</f>
        <v>-2165.7874000000002</v>
      </c>
    </row>
    <row r="682" spans="1:15" x14ac:dyDescent="0.2">
      <c r="A682" s="125"/>
      <c r="B682" s="10">
        <f>B681*EchelleFPAparam!$C$3*COS(EchelleFPAparam!$AC$3)*$B$6</f>
        <v>-39.3627596884672</v>
      </c>
    </row>
    <row r="683" spans="1:15" x14ac:dyDescent="0.2">
      <c r="A683" s="125"/>
      <c r="B683" s="10">
        <f>ATAN(B682/EchelleFPAparam!$E$3)</f>
        <v>-2.6027692222901716E-2</v>
      </c>
      <c r="C683" s="29">
        <f>EchelleFPAparam!$M$3+$B683</f>
        <v>-8.2000402161235053E-2</v>
      </c>
      <c r="F683" s="10">
        <f>ASIN($E680*$A680/(COS(F680)*2*EchelleFPAparam!$S$3*COS(-$C683/2)))-$C683/2</f>
        <v>1.1287834554128735</v>
      </c>
      <c r="G683" s="29">
        <f>$F683*180/EchelleFPAparam!$O$3</f>
        <v>64.674527023925549</v>
      </c>
      <c r="H683" s="10">
        <v>600</v>
      </c>
      <c r="I683" s="10" t="s">
        <v>366</v>
      </c>
      <c r="J683" s="10">
        <f>A680</f>
        <v>3098.7631299999998</v>
      </c>
      <c r="K683" s="10">
        <f>B680+(D680-1)*2198</f>
        <v>1051.2126000000001</v>
      </c>
      <c r="L683" s="30">
        <f>C680</f>
        <v>1550</v>
      </c>
      <c r="M683" s="10">
        <f>E680</f>
        <v>18</v>
      </c>
      <c r="N683" s="29">
        <f>G683</f>
        <v>64.674527023925549</v>
      </c>
      <c r="O683" s="10">
        <f>H683</f>
        <v>600</v>
      </c>
    </row>
    <row r="684" spans="1:15" x14ac:dyDescent="0.2">
      <c r="A684" s="125">
        <v>2924.4687199999998</v>
      </c>
      <c r="B684" s="10">
        <v>1227.4734000000001</v>
      </c>
      <c r="C684" s="10">
        <v>1788</v>
      </c>
      <c r="D684" s="28">
        <v>1</v>
      </c>
      <c r="E684" s="10">
        <v>19</v>
      </c>
      <c r="F684" s="10">
        <f>(C684-$AE$16)*EchelleFPAparam!$C$3/EchelleFPAparam!$E$3</f>
        <v>2.9999999999999996E-3</v>
      </c>
    </row>
    <row r="685" spans="1:15" x14ac:dyDescent="0.2">
      <c r="A685" s="125"/>
      <c r="B685" s="10">
        <f>B684+(D684-1)*2048-3072+(D684-2)*EchelleFPAparam!$B$3/EchelleFPAparam!$C$3</f>
        <v>-1989.5265999999999</v>
      </c>
    </row>
    <row r="686" spans="1:15" x14ac:dyDescent="0.2">
      <c r="A686" s="125"/>
      <c r="B686" s="10">
        <f>B685*EchelleFPAparam!$C$3*COS(EchelleFPAparam!$AC$3)*$B$6</f>
        <v>-36.159254343068575</v>
      </c>
    </row>
    <row r="687" spans="1:15" x14ac:dyDescent="0.2">
      <c r="A687" s="125"/>
      <c r="B687" s="10">
        <f>ATAN(B686/EchelleFPAparam!$E$3)</f>
        <v>-2.3910293191993864E-2</v>
      </c>
      <c r="C687" s="29">
        <f>EchelleFPAparam!$M$3+$B687</f>
        <v>-7.9883003130327201E-2</v>
      </c>
      <c r="F687" s="10">
        <f>ASIN($E684*$A684/(COS(F684)*2*EchelleFPAparam!$S$3*COS(-$C687/2)))-$C687/2</f>
        <v>1.12042690452938</v>
      </c>
      <c r="G687" s="29">
        <f>$F687*180/EchelleFPAparam!$O$3</f>
        <v>64.195731934088215</v>
      </c>
      <c r="H687" s="10">
        <v>650</v>
      </c>
      <c r="I687" s="10" t="s">
        <v>366</v>
      </c>
      <c r="J687" s="10">
        <f>A684</f>
        <v>2924.4687199999998</v>
      </c>
      <c r="K687" s="10">
        <f>B684+(D684-1)*2198</f>
        <v>1227.4734000000001</v>
      </c>
      <c r="L687" s="30">
        <f>C684</f>
        <v>1788</v>
      </c>
      <c r="M687" s="10">
        <f>E684</f>
        <v>19</v>
      </c>
      <c r="N687" s="29">
        <f>G687</f>
        <v>64.195731934088215</v>
      </c>
      <c r="O687" s="10">
        <f>H687</f>
        <v>650</v>
      </c>
    </row>
    <row r="688" spans="1:15" x14ac:dyDescent="0.2">
      <c r="A688" s="125">
        <v>3098.7631299999998</v>
      </c>
      <c r="B688" s="10">
        <v>152.26542000000001</v>
      </c>
      <c r="C688" s="10">
        <v>1582</v>
      </c>
      <c r="D688" s="28">
        <v>2</v>
      </c>
      <c r="E688" s="10">
        <v>18</v>
      </c>
      <c r="F688" s="10">
        <f>(C688-$AE$16)*EchelleFPAparam!$C$3/EchelleFPAparam!$E$3</f>
        <v>5.4761904761904754E-4</v>
      </c>
    </row>
    <row r="689" spans="1:15" x14ac:dyDescent="0.2">
      <c r="A689" s="125"/>
      <c r="B689" s="10">
        <f>B688+(D688-1)*2048-3072+(D688-2)*EchelleFPAparam!$B$3/EchelleFPAparam!$C$3</f>
        <v>-871.73457999999982</v>
      </c>
    </row>
    <row r="690" spans="1:15" x14ac:dyDescent="0.2">
      <c r="A690" s="125"/>
      <c r="B690" s="10">
        <f>B689*EchelleFPAparam!$C$3*COS(EchelleFPAparam!$AC$3)*$B$6</f>
        <v>-15.843604402106539</v>
      </c>
    </row>
    <row r="691" spans="1:15" x14ac:dyDescent="0.2">
      <c r="A691" s="125"/>
      <c r="B691" s="10">
        <f>ATAN(B690/EchelleFPAparam!$E$3)</f>
        <v>-1.0478190847644007E-2</v>
      </c>
      <c r="C691" s="29">
        <f>EchelleFPAparam!$M$3+$B691</f>
        <v>-6.6450900785977332E-2</v>
      </c>
      <c r="F691" s="10">
        <f>ASIN($E688*$A688/(COS(F688)*2*EchelleFPAparam!$S$3*COS(-$C691/2)))-$C691/2</f>
        <v>1.1204588905714192</v>
      </c>
      <c r="G691" s="29">
        <f>$F691*180/EchelleFPAparam!$O$3</f>
        <v>64.197564599273321</v>
      </c>
      <c r="H691" s="10">
        <v>650</v>
      </c>
      <c r="I691" s="10" t="s">
        <v>366</v>
      </c>
      <c r="J691" s="10">
        <f>A688</f>
        <v>3098.7631299999998</v>
      </c>
      <c r="K691" s="10">
        <f>B688+(D688-1)*2198</f>
        <v>2350.2654200000002</v>
      </c>
      <c r="L691" s="30">
        <f>C688</f>
        <v>1582</v>
      </c>
      <c r="M691" s="10">
        <f>E688</f>
        <v>18</v>
      </c>
      <c r="N691" s="29">
        <f>G691</f>
        <v>64.197564599273321</v>
      </c>
      <c r="O691" s="10">
        <f>H691</f>
        <v>650</v>
      </c>
    </row>
    <row r="692" spans="1:15" x14ac:dyDescent="0.2">
      <c r="A692" s="125">
        <v>3067.1918599999999</v>
      </c>
      <c r="B692" s="10">
        <v>671.33399999999995</v>
      </c>
      <c r="C692" s="10">
        <v>1585</v>
      </c>
      <c r="D692" s="28">
        <v>1</v>
      </c>
      <c r="E692" s="10">
        <v>18</v>
      </c>
      <c r="F692" s="10">
        <f>(C692-$AE$16)*EchelleFPAparam!$C$3/EchelleFPAparam!$E$3</f>
        <v>5.8333333333333327E-4</v>
      </c>
    </row>
    <row r="693" spans="1:15" x14ac:dyDescent="0.2">
      <c r="A693" s="125"/>
      <c r="B693" s="10">
        <f>B692+(D692-1)*2048-3072+(D692-2)*EchelleFPAparam!$B$3/EchelleFPAparam!$C$3</f>
        <v>-2545.6660000000002</v>
      </c>
    </row>
    <row r="694" spans="1:15" x14ac:dyDescent="0.2">
      <c r="A694" s="125"/>
      <c r="B694" s="10">
        <f>B693*EchelleFPAparam!$C$3*COS(EchelleFPAparam!$AC$3)*$B$6</f>
        <v>-46.266978469401721</v>
      </c>
    </row>
    <row r="695" spans="1:15" x14ac:dyDescent="0.2">
      <c r="A695" s="125"/>
      <c r="B695" s="10">
        <f>ATAN(B694/EchelleFPAparam!$E$3)</f>
        <v>-3.0590308112362283E-2</v>
      </c>
      <c r="C695" s="29">
        <f>EchelleFPAparam!$M$3+$B695</f>
        <v>-8.6563018050695606E-2</v>
      </c>
      <c r="F695" s="10">
        <f>ASIN($E692*$A692/(COS(F692)*2*EchelleFPAparam!$S$3*COS(-$C695/2)))-$C695/2</f>
        <v>1.1121593828106957</v>
      </c>
      <c r="G695" s="29">
        <f>$F695*180/EchelleFPAparam!$O$3</f>
        <v>63.722037839572657</v>
      </c>
      <c r="H695" s="10">
        <v>700</v>
      </c>
      <c r="I695" s="10" t="s">
        <v>366</v>
      </c>
      <c r="J695" s="10">
        <f>A692</f>
        <v>3067.1918599999999</v>
      </c>
      <c r="K695" s="10">
        <f>B692+(D692-1)*2198</f>
        <v>671.33399999999995</v>
      </c>
      <c r="L695" s="30">
        <f>C692</f>
        <v>1585</v>
      </c>
      <c r="M695" s="10">
        <f>E692</f>
        <v>18</v>
      </c>
      <c r="N695" s="29">
        <f>G695</f>
        <v>63.722037839572657</v>
      </c>
      <c r="O695" s="10">
        <f>H695</f>
        <v>700</v>
      </c>
    </row>
    <row r="696" spans="1:15" x14ac:dyDescent="0.2">
      <c r="A696" s="125">
        <v>3098.7631299999998</v>
      </c>
      <c r="B696" s="10">
        <v>1454.3678</v>
      </c>
      <c r="C696" s="10">
        <v>1616</v>
      </c>
      <c r="D696" s="28">
        <v>2</v>
      </c>
      <c r="E696" s="10">
        <v>18</v>
      </c>
      <c r="F696" s="10">
        <f>(C696-$AE$16)*EchelleFPAparam!$C$3/EchelleFPAparam!$E$3</f>
        <v>9.5238095238095238E-4</v>
      </c>
    </row>
    <row r="697" spans="1:15" x14ac:dyDescent="0.2">
      <c r="A697" s="125"/>
      <c r="B697" s="10">
        <f>B696+(D696-1)*2048-3072+(D696-2)*EchelleFPAparam!$B$3/EchelleFPAparam!$C$3</f>
        <v>430.36779999999999</v>
      </c>
    </row>
    <row r="698" spans="1:15" x14ac:dyDescent="0.2">
      <c r="A698" s="125"/>
      <c r="B698" s="10">
        <f>B697*EchelleFPAparam!$C$3*COS(EchelleFPAparam!$AC$3)*$B$6</f>
        <v>7.8218500528049582</v>
      </c>
    </row>
    <row r="699" spans="1:15" x14ac:dyDescent="0.2">
      <c r="A699" s="125"/>
      <c r="B699" s="10">
        <f>ATAN(B698/EchelleFPAparam!$E$3)</f>
        <v>5.1731351047080883E-3</v>
      </c>
      <c r="C699" s="29">
        <f>EchelleFPAparam!$M$3+$B699</f>
        <v>-5.0799574833625238E-2</v>
      </c>
      <c r="F699" s="10">
        <f>ASIN($E696*$A696/(COS(F696)*2*EchelleFPAparam!$S$3*COS(-$C699/2)))-$C699/2</f>
        <v>1.1121970977418196</v>
      </c>
      <c r="G699" s="29">
        <f>$F699*180/EchelleFPAparam!$O$3</f>
        <v>63.724198745918763</v>
      </c>
      <c r="H699" s="10">
        <v>700</v>
      </c>
      <c r="I699" s="10" t="s">
        <v>366</v>
      </c>
      <c r="J699" s="10">
        <f>A696</f>
        <v>3098.7631299999998</v>
      </c>
      <c r="K699" s="10">
        <f>B696+(D696-1)*2198</f>
        <v>3652.3678</v>
      </c>
      <c r="L699" s="30">
        <f>C696</f>
        <v>1616</v>
      </c>
      <c r="M699" s="10">
        <f>E696</f>
        <v>18</v>
      </c>
      <c r="N699" s="29">
        <f>G699</f>
        <v>63.724198745918763</v>
      </c>
      <c r="O699" s="10">
        <f>H699</f>
        <v>700</v>
      </c>
    </row>
    <row r="700" spans="1:15" x14ac:dyDescent="0.2">
      <c r="A700" s="125">
        <v>2924.4687199999998</v>
      </c>
      <c r="B700" s="10">
        <v>318.39335999999997</v>
      </c>
      <c r="C700" s="10">
        <v>1820</v>
      </c>
      <c r="D700" s="28">
        <v>2</v>
      </c>
      <c r="E700" s="10">
        <v>19</v>
      </c>
      <c r="F700" s="10">
        <f>(C700-$AE$16)*EchelleFPAparam!$C$3/EchelleFPAparam!$E$3</f>
        <v>3.3809523809523803E-3</v>
      </c>
    </row>
    <row r="701" spans="1:15" x14ac:dyDescent="0.2">
      <c r="A701" s="125"/>
      <c r="B701" s="10">
        <f>B700+(D700-1)*2048-3072+(D700-2)*EchelleFPAparam!$B$3/EchelleFPAparam!$C$3</f>
        <v>-705.60663999999997</v>
      </c>
    </row>
    <row r="702" spans="1:15" x14ac:dyDescent="0.2">
      <c r="A702" s="125"/>
      <c r="B702" s="10">
        <f>B701*EchelleFPAparam!$C$3*COS(EchelleFPAparam!$AC$3)*$B$6</f>
        <v>-12.824261792688787</v>
      </c>
    </row>
    <row r="703" spans="1:15" x14ac:dyDescent="0.2">
      <c r="A703" s="125"/>
      <c r="B703" s="10">
        <f>ATAN(B702/EchelleFPAparam!$E$3)</f>
        <v>-8.4814512478338603E-3</v>
      </c>
      <c r="C703" s="29">
        <f>EchelleFPAparam!$M$3+$B703</f>
        <v>-6.4454161186167189E-2</v>
      </c>
      <c r="F703" s="10">
        <f>ASIN($E700*$A700/(COS(F700)*2*EchelleFPAparam!$S$3*COS(-$C703/2)))-$C703/2</f>
        <v>1.1121933574388954</v>
      </c>
      <c r="G703" s="29">
        <f>$F703*180/EchelleFPAparam!$O$3</f>
        <v>63.723984442350265</v>
      </c>
      <c r="H703" s="10">
        <v>700</v>
      </c>
      <c r="I703" s="10" t="s">
        <v>366</v>
      </c>
      <c r="J703" s="10">
        <f>A700</f>
        <v>2924.4687199999998</v>
      </c>
      <c r="K703" s="10">
        <f>B700+(D700-1)*2198</f>
        <v>2516.39336</v>
      </c>
      <c r="L703" s="30">
        <f>C700</f>
        <v>1820</v>
      </c>
      <c r="M703" s="10">
        <f>E700</f>
        <v>19</v>
      </c>
      <c r="N703" s="29">
        <f>G703</f>
        <v>63.723984442350265</v>
      </c>
      <c r="O703" s="10">
        <f>H703</f>
        <v>700</v>
      </c>
    </row>
    <row r="704" spans="1:15" x14ac:dyDescent="0.2">
      <c r="A704" s="125">
        <v>3067.1918599999999</v>
      </c>
      <c r="B704" s="10">
        <v>1968.3802000000001</v>
      </c>
      <c r="C704" s="10">
        <v>1619</v>
      </c>
      <c r="D704" s="28">
        <v>1</v>
      </c>
      <c r="E704" s="10">
        <v>18</v>
      </c>
      <c r="F704" s="10">
        <f>(C704-$AE$16)*EchelleFPAparam!$C$3/EchelleFPAparam!$E$3</f>
        <v>9.88095238095238E-4</v>
      </c>
    </row>
    <row r="705" spans="1:35" x14ac:dyDescent="0.2">
      <c r="A705" s="125"/>
      <c r="B705" s="10">
        <f>B704+(D704-1)*2048-3072+(D704-2)*EchelleFPAparam!$B$3/EchelleFPAparam!$C$3</f>
        <v>-1248.6197999999999</v>
      </c>
    </row>
    <row r="706" spans="1:35" x14ac:dyDescent="0.2">
      <c r="A706" s="125"/>
      <c r="B706" s="10">
        <f>B705*EchelleFPAparam!$C$3*COS(EchelleFPAparam!$AC$3)*$B$6</f>
        <v>-22.693419090748225</v>
      </c>
    </row>
    <row r="707" spans="1:35" x14ac:dyDescent="0.2">
      <c r="A707" s="125"/>
      <c r="B707" s="10">
        <f>ATAN(B706/EchelleFPAparam!$E$3)</f>
        <v>-1.5007748214248755E-2</v>
      </c>
      <c r="C707" s="29">
        <f>EchelleFPAparam!$M$3+$B707</f>
        <v>-7.0980458152582082E-2</v>
      </c>
      <c r="F707" s="10">
        <f>ASIN($E704*$A704/(COS(F704)*2*EchelleFPAparam!$S$3*COS(-$C707/2)))-$C707/2</f>
        <v>1.1038095973494271</v>
      </c>
      <c r="G707" s="29">
        <f>$F707*180/EchelleFPAparam!$O$3</f>
        <v>63.243630379869707</v>
      </c>
      <c r="H707" s="10">
        <v>750</v>
      </c>
      <c r="I707" s="10" t="s">
        <v>366</v>
      </c>
      <c r="J707" s="10">
        <f>A704</f>
        <v>3067.1918599999999</v>
      </c>
      <c r="K707" s="10">
        <f>B704+(D704-1)*2198</f>
        <v>1968.3802000000001</v>
      </c>
      <c r="L707" s="30">
        <f>C704</f>
        <v>1619</v>
      </c>
      <c r="M707" s="10">
        <f>E704</f>
        <v>18</v>
      </c>
      <c r="N707" s="29">
        <f>G707</f>
        <v>63.243630379869707</v>
      </c>
      <c r="O707" s="10">
        <f>H707</f>
        <v>750</v>
      </c>
    </row>
    <row r="708" spans="1:35" x14ac:dyDescent="0.2">
      <c r="A708" s="125">
        <v>2924.4687199999998</v>
      </c>
      <c r="B708" s="10">
        <v>1636.4852000000001</v>
      </c>
      <c r="C708" s="10">
        <v>1855</v>
      </c>
      <c r="D708" s="28">
        <v>2</v>
      </c>
      <c r="E708" s="10">
        <v>19</v>
      </c>
      <c r="F708" s="10">
        <f>(C708-$AE$16)*EchelleFPAparam!$C$3/EchelleFPAparam!$E$3</f>
        <v>3.7976190476190475E-3</v>
      </c>
    </row>
    <row r="709" spans="1:35" x14ac:dyDescent="0.2">
      <c r="A709" s="125"/>
      <c r="B709" s="10">
        <f>B708+(D708-1)*2048-3072+(D708-2)*EchelleFPAparam!$B$3/EchelleFPAparam!$C$3</f>
        <v>612.48520000000008</v>
      </c>
    </row>
    <row r="710" spans="1:35" x14ac:dyDescent="0.2">
      <c r="A710" s="125"/>
      <c r="B710" s="10">
        <f>B709*EchelleFPAparam!$C$3*COS(EchelleFPAparam!$AC$3)*$B$6</f>
        <v>11.131797950409524</v>
      </c>
    </row>
    <row r="711" spans="1:35" x14ac:dyDescent="0.2">
      <c r="A711" s="125"/>
      <c r="B711" s="10">
        <f>ATAN(B710/EchelleFPAparam!$E$3)</f>
        <v>7.3621672153513602E-3</v>
      </c>
      <c r="C711" s="29">
        <f>EchelleFPAparam!$M$3+$B711</f>
        <v>-4.8610542722981973E-2</v>
      </c>
      <c r="F711" s="10">
        <f>ASIN($E708*$A708/(COS(F708)*2*EchelleFPAparam!$S$3*COS(-$C711/2)))-$C711/2</f>
        <v>1.1038554733041048</v>
      </c>
      <c r="G711" s="29">
        <f>$F711*180/EchelleFPAparam!$O$3</f>
        <v>63.246258878415041</v>
      </c>
      <c r="H711" s="10">
        <v>750</v>
      </c>
      <c r="I711" s="10" t="s">
        <v>366</v>
      </c>
      <c r="J711" s="10">
        <f>A708</f>
        <v>2924.4687199999998</v>
      </c>
      <c r="K711" s="10">
        <f>B708+(D708-1)*2198</f>
        <v>3834.4852000000001</v>
      </c>
      <c r="L711" s="30">
        <f>C708</f>
        <v>1855</v>
      </c>
      <c r="M711" s="10">
        <f>E708</f>
        <v>19</v>
      </c>
      <c r="N711" s="29">
        <f>G711</f>
        <v>63.246258878415041</v>
      </c>
      <c r="O711" s="10">
        <f>H711</f>
        <v>750</v>
      </c>
    </row>
    <row r="712" spans="1:35" x14ac:dyDescent="0.2">
      <c r="A712" s="125">
        <v>3098.7631299999998</v>
      </c>
      <c r="B712" s="10">
        <v>595.38279999999997</v>
      </c>
      <c r="C712" s="10">
        <v>1650</v>
      </c>
      <c r="D712" s="28">
        <v>3</v>
      </c>
      <c r="E712" s="10">
        <v>18</v>
      </c>
      <c r="F712" s="10">
        <f>(C712-$AE$16)*EchelleFPAparam!$C$3/EchelleFPAparam!$E$3</f>
        <v>1.3571428571428571E-3</v>
      </c>
    </row>
    <row r="713" spans="1:35" x14ac:dyDescent="0.2">
      <c r="A713" s="125"/>
      <c r="B713" s="10">
        <f>B712+(D712-1)*2048-3072+(D712-2)*EchelleFPAparam!$B$3/EchelleFPAparam!$C$3</f>
        <v>1764.3828000000003</v>
      </c>
    </row>
    <row r="714" spans="1:35" x14ac:dyDescent="0.2">
      <c r="A714" s="125"/>
      <c r="B714" s="10">
        <f>B713*EchelleFPAparam!$C$3*COS(EchelleFPAparam!$AC$3)*$B$6</f>
        <v>32.067310094640355</v>
      </c>
    </row>
    <row r="715" spans="1:35" x14ac:dyDescent="0.2">
      <c r="A715" s="125"/>
      <c r="B715" s="10">
        <f>ATAN(B714/EchelleFPAparam!$E$3)</f>
        <v>2.1205359398575041E-2</v>
      </c>
      <c r="C715" s="29">
        <f>EchelleFPAparam!$M$3+$B715</f>
        <v>-3.4767350539758289E-2</v>
      </c>
      <c r="F715" s="10">
        <f>ASIN($E712*$A712/(COS(F712)*2*EchelleFPAparam!$S$3*COS(-$C715/2)))-$C715/2</f>
        <v>1.1038557634810844</v>
      </c>
      <c r="G715" s="29">
        <f>$F715*180/EchelleFPAparam!$O$3</f>
        <v>63.246275504331038</v>
      </c>
      <c r="H715" s="10">
        <v>750</v>
      </c>
      <c r="I715" s="10" t="s">
        <v>366</v>
      </c>
      <c r="J715" s="10">
        <f>A712</f>
        <v>3098.7631299999998</v>
      </c>
      <c r="K715" s="10">
        <f>B712+(D712-1)*2198</f>
        <v>4991.3828000000003</v>
      </c>
      <c r="L715" s="30">
        <f>C712</f>
        <v>1650</v>
      </c>
      <c r="M715" s="10">
        <f>E712</f>
        <v>18</v>
      </c>
      <c r="N715" s="29">
        <f>G715</f>
        <v>63.246275504331038</v>
      </c>
      <c r="O715" s="10">
        <f>H715</f>
        <v>750</v>
      </c>
    </row>
    <row r="716" spans="1:35" x14ac:dyDescent="0.2">
      <c r="A716" s="129">
        <v>3774.21279</v>
      </c>
      <c r="B716" s="127">
        <v>571</v>
      </c>
      <c r="C716" s="128">
        <v>1744</v>
      </c>
      <c r="D716" s="28">
        <v>2</v>
      </c>
      <c r="E716" s="10">
        <v>15</v>
      </c>
      <c r="F716" s="10">
        <f>(C716-$AE$23)*EchelleFPAparam!$C$3/EchelleFPAparam!$E$3</f>
        <v>8.5714285714285701E-3</v>
      </c>
    </row>
    <row r="717" spans="1:35" x14ac:dyDescent="0.2">
      <c r="A717" s="126"/>
      <c r="B717" s="10">
        <f>B716+(D716-1)*2048-3072+(D716-2)*EchelleFPAparam!$B$3/EchelleFPAparam!$C$3</f>
        <v>-453</v>
      </c>
    </row>
    <row r="718" spans="1:35" x14ac:dyDescent="0.2">
      <c r="A718" s="126"/>
      <c r="B718" s="10">
        <f>B717*EchelleFPAparam!$C$3*COS(EchelleFPAparam!$AC$3)*$B$6</f>
        <v>-8.233185832956476</v>
      </c>
    </row>
    <row r="719" spans="1:35" x14ac:dyDescent="0.2">
      <c r="A719" s="126"/>
      <c r="B719" s="10">
        <f>ATAN(B718/EchelleFPAparam!$E$3)</f>
        <v>-5.4451749085108131E-3</v>
      </c>
      <c r="C719" s="29">
        <f>EchelleFPAparam!$M$3+$B719</f>
        <v>-6.1417884846844142E-2</v>
      </c>
      <c r="F719" s="10">
        <f>ASIN($E716*$A716/(COS(F716)*2*EchelleFPAparam!$S$3*COS(-$C719/2)))-$C719/2</f>
        <v>1.1471986762995452</v>
      </c>
      <c r="G719" s="29">
        <f>$F719*180/EchelleFPAparam!$O$3</f>
        <v>65.72964144394598</v>
      </c>
      <c r="H719" s="10">
        <v>489.1</v>
      </c>
      <c r="I719" s="10" t="s">
        <v>375</v>
      </c>
      <c r="J719" s="10">
        <f>A716</f>
        <v>3774.21279</v>
      </c>
      <c r="K719" s="10">
        <f>B716+(D716-1)*2198</f>
        <v>2769</v>
      </c>
      <c r="L719" s="30">
        <f>C716</f>
        <v>1744</v>
      </c>
      <c r="M719" s="10">
        <f>E716</f>
        <v>15</v>
      </c>
      <c r="N719" s="29">
        <f>G719</f>
        <v>65.72964144394598</v>
      </c>
      <c r="O719" s="10">
        <f>H719</f>
        <v>489.1</v>
      </c>
    </row>
    <row r="720" spans="1:35" x14ac:dyDescent="0.2">
      <c r="A720" s="129">
        <v>4039.3</v>
      </c>
      <c r="B720" s="127">
        <v>211</v>
      </c>
      <c r="C720" s="127">
        <v>1492</v>
      </c>
      <c r="D720" s="28">
        <v>2</v>
      </c>
      <c r="E720" s="10">
        <v>14</v>
      </c>
      <c r="F720" s="10">
        <f>(C720-$AE$23)*EchelleFPAparam!$C$3/EchelleFPAparam!$E$3</f>
        <v>5.5714285714285709E-3</v>
      </c>
      <c r="AG720" s="29">
        <f>N719</f>
        <v>65.72964144394598</v>
      </c>
      <c r="AH720" s="29">
        <f>O719</f>
        <v>489.1</v>
      </c>
      <c r="AI720" s="10">
        <f>AG720+AH720*0.009525</f>
        <v>70.388318943945976</v>
      </c>
    </row>
    <row r="721" spans="1:1024" x14ac:dyDescent="0.2">
      <c r="A721" s="126"/>
      <c r="B721" s="10">
        <f>B720+(D720-1)*2048-3072+(D720-2)*EchelleFPAparam!$B$3/EchelleFPAparam!$C$3</f>
        <v>-813</v>
      </c>
      <c r="AG721" s="29">
        <f>N723</f>
        <v>65.728920760087391</v>
      </c>
      <c r="AH721" s="29">
        <f>O723</f>
        <v>489.1</v>
      </c>
      <c r="AI721" s="10">
        <f t="shared" ref="AI721:AI722" si="5">AG721+AH721*0.009525</f>
        <v>70.387598260087387</v>
      </c>
    </row>
    <row r="722" spans="1:1024" x14ac:dyDescent="0.2">
      <c r="A722" s="126"/>
      <c r="B722" s="10">
        <f>B721*EchelleFPAparam!$C$3*COS(EchelleFPAparam!$AC$3)*$B$6</f>
        <v>-14.776114971729834</v>
      </c>
      <c r="AG722" s="29">
        <f>N727</f>
        <v>65.730421203280358</v>
      </c>
      <c r="AH722" s="29">
        <f>O727</f>
        <v>489.1</v>
      </c>
      <c r="AI722" s="10">
        <f t="shared" si="5"/>
        <v>70.389098703280354</v>
      </c>
    </row>
    <row r="723" spans="1:1024" x14ac:dyDescent="0.2">
      <c r="A723" s="126"/>
      <c r="B723" s="10">
        <f>ATAN(B722/EchelleFPAparam!$E$3)</f>
        <v>-9.7722517268464936E-3</v>
      </c>
      <c r="C723" s="29">
        <f>EchelleFPAparam!$M$3+$B723</f>
        <v>-6.5744961665179819E-2</v>
      </c>
      <c r="F723" s="10">
        <f>ASIN($E720*$A720/(COS(F720)*2*EchelleFPAparam!$S$3*COS(-$C723/2)))-$C723/2</f>
        <v>1.147186097993161</v>
      </c>
      <c r="G723" s="29">
        <f>$F723*180/EchelleFPAparam!$O$3</f>
        <v>65.728920760087391</v>
      </c>
      <c r="H723" s="10">
        <v>489.1</v>
      </c>
      <c r="I723" s="10" t="s">
        <v>375</v>
      </c>
      <c r="J723" s="10">
        <f>A720</f>
        <v>4039.3</v>
      </c>
      <c r="K723" s="10">
        <f>B720+(D720-1)*2198</f>
        <v>2409</v>
      </c>
      <c r="L723" s="30">
        <f>C720</f>
        <v>1492</v>
      </c>
      <c r="M723" s="10">
        <f>E720</f>
        <v>14</v>
      </c>
      <c r="N723" s="29">
        <f>G723</f>
        <v>65.728920760087391</v>
      </c>
      <c r="O723" s="10">
        <f>H723</f>
        <v>489.1</v>
      </c>
    </row>
    <row r="724" spans="1:1024" x14ac:dyDescent="0.2">
      <c r="A724" s="129">
        <v>4069.6248599999999</v>
      </c>
      <c r="B724" s="127">
        <v>467</v>
      </c>
      <c r="C724" s="127">
        <v>1524</v>
      </c>
      <c r="D724" s="28">
        <v>3</v>
      </c>
      <c r="E724" s="10">
        <v>14</v>
      </c>
      <c r="F724" s="10">
        <f>(C724-$AE$23)*EchelleFPAparam!$C$3/EchelleFPAparam!$E$3</f>
        <v>5.9523809523809521E-3</v>
      </c>
      <c r="AI724" s="10">
        <f>GEOMEAN(AI720:AI722)</f>
        <v>70.388338633104496</v>
      </c>
    </row>
    <row r="725" spans="1:1024" x14ac:dyDescent="0.2">
      <c r="A725" s="126"/>
      <c r="B725" s="10">
        <f>B724+(D724-1)*2048-3072+(D724-2)*EchelleFPAparam!$B$3/EchelleFPAparam!$C$3</f>
        <v>1636</v>
      </c>
    </row>
    <row r="726" spans="1:1024" x14ac:dyDescent="0.2">
      <c r="A726" s="126"/>
      <c r="B726" s="10">
        <f>B725*EchelleFPAparam!$C$3*COS(EchelleFPAparam!$AC$3)*$B$6</f>
        <v>29.733977975092262</v>
      </c>
    </row>
    <row r="727" spans="1:1024" x14ac:dyDescent="0.2">
      <c r="A727" s="126"/>
      <c r="B727" s="10">
        <f>ATAN(B726/EchelleFPAparam!$E$3)</f>
        <v>1.9662794910658449E-2</v>
      </c>
      <c r="C727" s="29">
        <f>EchelleFPAparam!$M$3+$B727</f>
        <v>-3.6309915027674881E-2</v>
      </c>
      <c r="F727" s="10">
        <f>ASIN($E724*$A724/(COS(F724)*2*EchelleFPAparam!$S$3*COS(-$C727/2)))-$C727/2</f>
        <v>1.1472122856675042</v>
      </c>
      <c r="G727" s="29">
        <f>$F727*180/EchelleFPAparam!$O$3</f>
        <v>65.730421203280358</v>
      </c>
      <c r="H727" s="10">
        <v>489.1</v>
      </c>
      <c r="I727" s="10" t="s">
        <v>375</v>
      </c>
      <c r="J727" s="10">
        <f>A724</f>
        <v>4069.6248599999999</v>
      </c>
      <c r="K727" s="10">
        <f>B724+(D724-1)*2198</f>
        <v>4863</v>
      </c>
      <c r="L727" s="30">
        <f>C724</f>
        <v>1524</v>
      </c>
      <c r="M727" s="10">
        <f>E724</f>
        <v>14</v>
      </c>
      <c r="N727" s="29">
        <f>G727</f>
        <v>65.730421203280358</v>
      </c>
      <c r="O727" s="10">
        <f>H727</f>
        <v>489.1</v>
      </c>
    </row>
    <row r="728" spans="1:1024" x14ac:dyDescent="0.2">
      <c r="A728" s="127"/>
      <c r="B728" s="127"/>
      <c r="C728" s="127"/>
    </row>
    <row r="729" spans="1:1024" s="120" customFormat="1" x14ac:dyDescent="0.2">
      <c r="A729" s="115"/>
      <c r="B729" s="115"/>
      <c r="C729" s="115"/>
      <c r="D729" s="116"/>
      <c r="E729" s="115"/>
      <c r="F729" s="115"/>
      <c r="G729" s="117"/>
      <c r="H729" s="115"/>
      <c r="I729" s="115"/>
      <c r="J729" s="115"/>
      <c r="K729" s="118"/>
      <c r="L729" s="115"/>
      <c r="M729" s="115"/>
      <c r="N729" s="115"/>
      <c r="O729" s="115"/>
      <c r="P729" s="115"/>
      <c r="Q729" s="119"/>
      <c r="R729" s="115"/>
      <c r="S729" s="115"/>
      <c r="T729" s="115"/>
      <c r="U729" s="115"/>
      <c r="V729" s="115"/>
      <c r="W729" s="115"/>
      <c r="X729" s="115"/>
      <c r="Y729" s="115"/>
      <c r="Z729" s="115"/>
      <c r="AA729" s="115"/>
      <c r="AB729" s="115"/>
      <c r="AC729" s="115"/>
      <c r="AD729" s="115"/>
      <c r="AE729" s="115"/>
      <c r="AF729" s="115"/>
      <c r="AG729" s="115"/>
      <c r="AH729" s="115"/>
      <c r="AI729" s="115"/>
      <c r="AJ729" s="115"/>
      <c r="AK729" s="115"/>
      <c r="AL729" s="115"/>
      <c r="AM729" s="115"/>
      <c r="AN729" s="115"/>
      <c r="AO729" s="115"/>
      <c r="AP729" s="115"/>
      <c r="AQ729" s="115"/>
      <c r="AR729" s="115"/>
      <c r="AS729" s="115"/>
      <c r="AT729" s="115"/>
      <c r="AU729" s="115"/>
      <c r="AV729" s="115"/>
      <c r="AW729" s="115"/>
      <c r="AX729" s="115"/>
      <c r="AY729" s="115"/>
      <c r="AZ729" s="115"/>
      <c r="BA729" s="115"/>
      <c r="BB729" s="115"/>
      <c r="BC729" s="115"/>
      <c r="BD729" s="115"/>
      <c r="BE729" s="115"/>
      <c r="BF729" s="115"/>
      <c r="BG729" s="115"/>
      <c r="BH729" s="115"/>
      <c r="BI729" s="115"/>
      <c r="BJ729" s="115"/>
      <c r="BK729" s="115"/>
      <c r="BL729" s="115"/>
      <c r="BM729" s="115"/>
      <c r="BN729" s="115"/>
      <c r="BO729" s="115"/>
      <c r="BP729" s="115"/>
      <c r="BQ729" s="115"/>
      <c r="BR729" s="115"/>
      <c r="BS729" s="115"/>
      <c r="BT729" s="115"/>
      <c r="BU729" s="115"/>
      <c r="BV729" s="115"/>
      <c r="BW729" s="115"/>
      <c r="BX729" s="115"/>
      <c r="BY729" s="115"/>
      <c r="BZ729" s="115"/>
      <c r="CA729" s="115"/>
      <c r="CB729" s="115"/>
      <c r="CC729" s="115"/>
      <c r="CD729" s="115"/>
      <c r="CE729" s="115"/>
      <c r="CF729" s="115"/>
      <c r="CG729" s="115"/>
      <c r="CH729" s="115"/>
      <c r="CI729" s="115"/>
      <c r="CJ729" s="115"/>
      <c r="CK729" s="115"/>
      <c r="CL729" s="115"/>
      <c r="CM729" s="115"/>
      <c r="CN729" s="115"/>
      <c r="CO729" s="115"/>
      <c r="CP729" s="115"/>
      <c r="CQ729" s="115"/>
      <c r="CR729" s="115"/>
      <c r="CS729" s="115"/>
      <c r="CT729" s="115"/>
      <c r="CU729" s="115"/>
      <c r="CV729" s="115"/>
      <c r="CW729" s="115"/>
      <c r="CX729" s="115"/>
      <c r="CY729" s="115"/>
      <c r="CZ729" s="115"/>
      <c r="DA729" s="115"/>
      <c r="DB729" s="115"/>
      <c r="DC729" s="115"/>
      <c r="DD729" s="115"/>
      <c r="DE729" s="115"/>
      <c r="DF729" s="115"/>
      <c r="DG729" s="115"/>
      <c r="DH729" s="115"/>
      <c r="DI729" s="115"/>
      <c r="DJ729" s="115"/>
      <c r="DK729" s="115"/>
      <c r="DL729" s="115"/>
      <c r="DM729" s="115"/>
      <c r="DN729" s="115"/>
      <c r="DO729" s="115"/>
      <c r="DP729" s="115"/>
      <c r="DQ729" s="115"/>
      <c r="DR729" s="115"/>
      <c r="DS729" s="115"/>
      <c r="DT729" s="115"/>
      <c r="DU729" s="115"/>
      <c r="DV729" s="115"/>
      <c r="DW729" s="115"/>
      <c r="DX729" s="115"/>
      <c r="DY729" s="115"/>
      <c r="DZ729" s="115"/>
      <c r="EA729" s="115"/>
      <c r="EB729" s="115"/>
      <c r="EC729" s="115"/>
      <c r="ED729" s="115"/>
      <c r="EE729" s="115"/>
      <c r="EF729" s="115"/>
      <c r="EG729" s="115"/>
      <c r="EH729" s="115"/>
      <c r="EI729" s="115"/>
      <c r="EJ729" s="115"/>
      <c r="EK729" s="115"/>
      <c r="EL729" s="115"/>
      <c r="EM729" s="115"/>
      <c r="EN729" s="115"/>
      <c r="EO729" s="115"/>
      <c r="EP729" s="115"/>
      <c r="EQ729" s="115"/>
      <c r="ER729" s="115"/>
      <c r="ES729" s="115"/>
      <c r="ET729" s="115"/>
      <c r="EU729" s="115"/>
      <c r="EV729" s="115"/>
      <c r="EW729" s="115"/>
      <c r="EX729" s="115"/>
      <c r="EY729" s="115"/>
      <c r="EZ729" s="115"/>
      <c r="FA729" s="115"/>
      <c r="FB729" s="115"/>
      <c r="FC729" s="115"/>
      <c r="FD729" s="115"/>
      <c r="FE729" s="115"/>
      <c r="FF729" s="115"/>
      <c r="FG729" s="115"/>
      <c r="FH729" s="115"/>
      <c r="FI729" s="115"/>
      <c r="FJ729" s="115"/>
      <c r="FK729" s="115"/>
      <c r="FL729" s="115"/>
      <c r="FM729" s="115"/>
      <c r="FN729" s="115"/>
      <c r="FO729" s="115"/>
      <c r="FP729" s="115"/>
      <c r="FQ729" s="115"/>
      <c r="FR729" s="115"/>
      <c r="FS729" s="115"/>
      <c r="FT729" s="115"/>
      <c r="FU729" s="115"/>
      <c r="FV729" s="115"/>
      <c r="FW729" s="115"/>
      <c r="FX729" s="115"/>
      <c r="FY729" s="115"/>
      <c r="FZ729" s="115"/>
      <c r="GA729" s="115"/>
      <c r="GB729" s="115"/>
      <c r="GC729" s="115"/>
      <c r="GD729" s="115"/>
      <c r="GE729" s="115"/>
      <c r="GF729" s="115"/>
      <c r="GG729" s="115"/>
      <c r="GH729" s="115"/>
      <c r="GI729" s="115"/>
      <c r="GJ729" s="115"/>
      <c r="GK729" s="115"/>
      <c r="GL729" s="115"/>
      <c r="GM729" s="115"/>
      <c r="GN729" s="115"/>
      <c r="GO729" s="115"/>
      <c r="GP729" s="115"/>
      <c r="GQ729" s="115"/>
      <c r="GR729" s="115"/>
      <c r="GS729" s="115"/>
      <c r="GT729" s="115"/>
      <c r="GU729" s="115"/>
      <c r="GV729" s="115"/>
      <c r="GW729" s="115"/>
      <c r="GX729" s="115"/>
      <c r="GY729" s="115"/>
      <c r="GZ729" s="115"/>
      <c r="HA729" s="115"/>
      <c r="HB729" s="115"/>
      <c r="HC729" s="115"/>
      <c r="HD729" s="115"/>
      <c r="HE729" s="115"/>
      <c r="HF729" s="115"/>
      <c r="HG729" s="115"/>
      <c r="HH729" s="115"/>
      <c r="HI729" s="115"/>
      <c r="HJ729" s="115"/>
      <c r="HK729" s="115"/>
      <c r="HL729" s="115"/>
      <c r="HM729" s="115"/>
      <c r="HN729" s="115"/>
      <c r="HO729" s="115"/>
      <c r="HP729" s="115"/>
      <c r="HQ729" s="115"/>
      <c r="HR729" s="115"/>
      <c r="HS729" s="115"/>
      <c r="HT729" s="115"/>
      <c r="HU729" s="115"/>
      <c r="HV729" s="115"/>
      <c r="HW729" s="115"/>
      <c r="HX729" s="115"/>
      <c r="HY729" s="115"/>
      <c r="HZ729" s="115"/>
      <c r="IA729" s="115"/>
      <c r="IB729" s="115"/>
      <c r="IC729" s="115"/>
      <c r="ID729" s="115"/>
      <c r="IE729" s="115"/>
      <c r="IF729" s="115"/>
      <c r="IG729" s="115"/>
      <c r="IH729" s="115"/>
      <c r="II729" s="115"/>
      <c r="IJ729" s="115"/>
      <c r="IK729" s="115"/>
      <c r="IL729" s="115"/>
      <c r="IM729" s="115"/>
      <c r="IN729" s="115"/>
      <c r="IO729" s="115"/>
      <c r="IP729" s="115"/>
      <c r="IQ729" s="115"/>
      <c r="IR729" s="115"/>
      <c r="IS729" s="115"/>
      <c r="IT729" s="115"/>
      <c r="IU729" s="115"/>
      <c r="IV729" s="115"/>
      <c r="IW729" s="115"/>
      <c r="IX729" s="115"/>
      <c r="IY729" s="115"/>
      <c r="IZ729" s="115"/>
      <c r="JA729" s="115"/>
      <c r="JB729" s="115"/>
      <c r="JC729" s="115"/>
      <c r="JD729" s="115"/>
      <c r="JE729" s="115"/>
      <c r="JF729" s="115"/>
      <c r="JG729" s="115"/>
      <c r="JH729" s="115"/>
      <c r="JI729" s="115"/>
      <c r="JJ729" s="115"/>
      <c r="JK729" s="115"/>
      <c r="JL729" s="115"/>
      <c r="JM729" s="115"/>
      <c r="JN729" s="115"/>
      <c r="JO729" s="115"/>
      <c r="JP729" s="115"/>
      <c r="JQ729" s="115"/>
      <c r="JR729" s="115"/>
      <c r="JS729" s="115"/>
      <c r="JT729" s="115"/>
      <c r="JU729" s="115"/>
      <c r="JV729" s="115"/>
      <c r="JW729" s="115"/>
      <c r="JX729" s="115"/>
      <c r="JY729" s="115"/>
      <c r="JZ729" s="115"/>
      <c r="KA729" s="115"/>
      <c r="KB729" s="115"/>
      <c r="KC729" s="115"/>
      <c r="KD729" s="115"/>
      <c r="KE729" s="115"/>
      <c r="KF729" s="115"/>
      <c r="KG729" s="115"/>
      <c r="KH729" s="115"/>
      <c r="KI729" s="115"/>
      <c r="KJ729" s="115"/>
      <c r="KK729" s="115"/>
      <c r="KL729" s="115"/>
      <c r="KM729" s="115"/>
      <c r="KN729" s="115"/>
      <c r="KO729" s="115"/>
      <c r="KP729" s="115"/>
      <c r="KQ729" s="115"/>
      <c r="KR729" s="115"/>
      <c r="KS729" s="115"/>
      <c r="KT729" s="115"/>
      <c r="KU729" s="115"/>
      <c r="KV729" s="115"/>
      <c r="KW729" s="115"/>
      <c r="KX729" s="115"/>
      <c r="KY729" s="115"/>
      <c r="KZ729" s="115"/>
      <c r="LA729" s="115"/>
      <c r="LB729" s="115"/>
      <c r="LC729" s="115"/>
      <c r="LD729" s="115"/>
      <c r="LE729" s="115"/>
      <c r="LF729" s="115"/>
      <c r="LG729" s="115"/>
      <c r="LH729" s="115"/>
      <c r="LI729" s="115"/>
      <c r="LJ729" s="115"/>
      <c r="LK729" s="115"/>
      <c r="LL729" s="115"/>
      <c r="LM729" s="115"/>
      <c r="LN729" s="115"/>
      <c r="LO729" s="115"/>
      <c r="LP729" s="115"/>
      <c r="LQ729" s="115"/>
      <c r="LR729" s="115"/>
      <c r="LS729" s="115"/>
      <c r="LT729" s="115"/>
      <c r="LU729" s="115"/>
      <c r="LV729" s="115"/>
      <c r="LW729" s="115"/>
      <c r="LX729" s="115"/>
      <c r="LY729" s="115"/>
      <c r="LZ729" s="115"/>
      <c r="MA729" s="115"/>
      <c r="MB729" s="115"/>
      <c r="MC729" s="115"/>
      <c r="MD729" s="115"/>
      <c r="ME729" s="115"/>
      <c r="MF729" s="115"/>
      <c r="MG729" s="115"/>
      <c r="MH729" s="115"/>
      <c r="MI729" s="115"/>
      <c r="MJ729" s="115"/>
      <c r="MK729" s="115"/>
      <c r="ML729" s="115"/>
      <c r="MM729" s="115"/>
      <c r="MN729" s="115"/>
      <c r="MO729" s="115"/>
      <c r="MP729" s="115"/>
      <c r="MQ729" s="115"/>
      <c r="MR729" s="115"/>
      <c r="MS729" s="115"/>
      <c r="MT729" s="115"/>
      <c r="MU729" s="115"/>
      <c r="MV729" s="115"/>
      <c r="MW729" s="115"/>
      <c r="MX729" s="115"/>
      <c r="MY729" s="115"/>
      <c r="MZ729" s="115"/>
      <c r="NA729" s="115"/>
      <c r="NB729" s="115"/>
      <c r="NC729" s="115"/>
      <c r="ND729" s="115"/>
      <c r="NE729" s="115"/>
      <c r="NF729" s="115"/>
      <c r="NG729" s="115"/>
      <c r="NH729" s="115"/>
      <c r="NI729" s="115"/>
      <c r="NJ729" s="115"/>
      <c r="NK729" s="115"/>
      <c r="NL729" s="115"/>
      <c r="NM729" s="115"/>
      <c r="NN729" s="115"/>
      <c r="NO729" s="115"/>
      <c r="NP729" s="115"/>
      <c r="NQ729" s="115"/>
      <c r="NR729" s="115"/>
      <c r="NS729" s="115"/>
      <c r="NT729" s="115"/>
      <c r="NU729" s="115"/>
      <c r="NV729" s="115"/>
      <c r="NW729" s="115"/>
      <c r="NX729" s="115"/>
      <c r="NY729" s="115"/>
      <c r="NZ729" s="115"/>
      <c r="OA729" s="115"/>
      <c r="OB729" s="115"/>
      <c r="OC729" s="115"/>
      <c r="OD729" s="115"/>
      <c r="OE729" s="115"/>
      <c r="OF729" s="115"/>
      <c r="OG729" s="115"/>
      <c r="OH729" s="115"/>
      <c r="OI729" s="115"/>
      <c r="OJ729" s="115"/>
      <c r="OK729" s="115"/>
      <c r="OL729" s="115"/>
      <c r="OM729" s="115"/>
      <c r="ON729" s="115"/>
      <c r="OO729" s="115"/>
      <c r="OP729" s="115"/>
      <c r="OQ729" s="115"/>
      <c r="OR729" s="115"/>
      <c r="OS729" s="115"/>
      <c r="OT729" s="115"/>
      <c r="OU729" s="115"/>
      <c r="OV729" s="115"/>
      <c r="OW729" s="115"/>
      <c r="OX729" s="115"/>
      <c r="OY729" s="115"/>
      <c r="OZ729" s="115"/>
      <c r="PA729" s="115"/>
      <c r="PB729" s="115"/>
      <c r="PC729" s="115"/>
      <c r="PD729" s="115"/>
      <c r="PE729" s="115"/>
      <c r="PF729" s="115"/>
      <c r="PG729" s="115"/>
      <c r="PH729" s="115"/>
      <c r="PI729" s="115"/>
      <c r="PJ729" s="115"/>
      <c r="PK729" s="115"/>
      <c r="PL729" s="115"/>
      <c r="PM729" s="115"/>
      <c r="PN729" s="115"/>
      <c r="PO729" s="115"/>
      <c r="PP729" s="115"/>
      <c r="PQ729" s="115"/>
      <c r="PR729" s="115"/>
      <c r="PS729" s="115"/>
      <c r="PT729" s="115"/>
      <c r="PU729" s="115"/>
      <c r="PV729" s="115"/>
      <c r="PW729" s="115"/>
      <c r="PX729" s="115"/>
      <c r="PY729" s="115"/>
      <c r="PZ729" s="115"/>
      <c r="QA729" s="115"/>
      <c r="QB729" s="115"/>
      <c r="QC729" s="115"/>
      <c r="QD729" s="115"/>
      <c r="QE729" s="115"/>
      <c r="QF729" s="115"/>
      <c r="QG729" s="115"/>
      <c r="QH729" s="115"/>
      <c r="QI729" s="115"/>
      <c r="QJ729" s="115"/>
      <c r="QK729" s="115"/>
      <c r="QL729" s="115"/>
      <c r="QM729" s="115"/>
      <c r="QN729" s="115"/>
      <c r="QO729" s="115"/>
      <c r="QP729" s="115"/>
      <c r="QQ729" s="115"/>
      <c r="QR729" s="115"/>
      <c r="QS729" s="115"/>
      <c r="QT729" s="115"/>
      <c r="QU729" s="115"/>
      <c r="QV729" s="115"/>
      <c r="QW729" s="115"/>
      <c r="QX729" s="115"/>
      <c r="QY729" s="115"/>
      <c r="QZ729" s="115"/>
      <c r="RA729" s="115"/>
      <c r="RB729" s="115"/>
      <c r="RC729" s="115"/>
      <c r="RD729" s="115"/>
      <c r="RE729" s="115"/>
      <c r="RF729" s="115"/>
      <c r="RG729" s="115"/>
      <c r="RH729" s="115"/>
      <c r="RI729" s="115"/>
      <c r="RJ729" s="115"/>
      <c r="RK729" s="115"/>
      <c r="RL729" s="115"/>
      <c r="RM729" s="115"/>
      <c r="RN729" s="115"/>
      <c r="RO729" s="115"/>
      <c r="RP729" s="115"/>
      <c r="RQ729" s="115"/>
      <c r="RR729" s="115"/>
      <c r="RS729" s="115"/>
      <c r="RT729" s="115"/>
      <c r="RU729" s="115"/>
      <c r="RV729" s="115"/>
      <c r="RW729" s="115"/>
      <c r="RX729" s="115"/>
      <c r="RY729" s="115"/>
      <c r="RZ729" s="115"/>
      <c r="SA729" s="115"/>
      <c r="SB729" s="115"/>
      <c r="SC729" s="115"/>
      <c r="SD729" s="115"/>
      <c r="SE729" s="115"/>
      <c r="SF729" s="115"/>
      <c r="SG729" s="115"/>
      <c r="SH729" s="115"/>
      <c r="SI729" s="115"/>
      <c r="SJ729" s="115"/>
      <c r="SK729" s="115"/>
      <c r="SL729" s="115"/>
      <c r="SM729" s="115"/>
      <c r="SN729" s="115"/>
      <c r="SO729" s="115"/>
      <c r="SP729" s="115"/>
      <c r="SQ729" s="115"/>
      <c r="SR729" s="115"/>
      <c r="SS729" s="115"/>
      <c r="ST729" s="115"/>
      <c r="SU729" s="115"/>
      <c r="SV729" s="115"/>
      <c r="SW729" s="115"/>
      <c r="SX729" s="115"/>
      <c r="SY729" s="115"/>
      <c r="SZ729" s="115"/>
      <c r="TA729" s="115"/>
      <c r="TB729" s="115"/>
      <c r="TC729" s="115"/>
      <c r="TD729" s="115"/>
      <c r="TE729" s="115"/>
      <c r="TF729" s="115"/>
      <c r="TG729" s="115"/>
      <c r="TH729" s="115"/>
      <c r="TI729" s="115"/>
      <c r="TJ729" s="115"/>
      <c r="TK729" s="115"/>
      <c r="TL729" s="115"/>
      <c r="TM729" s="115"/>
      <c r="TN729" s="115"/>
      <c r="TO729" s="115"/>
      <c r="TP729" s="115"/>
      <c r="TQ729" s="115"/>
      <c r="TR729" s="115"/>
      <c r="TS729" s="115"/>
      <c r="TT729" s="115"/>
      <c r="TU729" s="115"/>
      <c r="TV729" s="115"/>
      <c r="TW729" s="115"/>
      <c r="TX729" s="115"/>
      <c r="TY729" s="115"/>
      <c r="TZ729" s="115"/>
      <c r="UA729" s="115"/>
      <c r="UB729" s="115"/>
      <c r="UC729" s="115"/>
      <c r="UD729" s="115"/>
      <c r="UE729" s="115"/>
      <c r="UF729" s="115"/>
      <c r="UG729" s="115"/>
      <c r="UH729" s="115"/>
      <c r="UI729" s="115"/>
      <c r="UJ729" s="115"/>
      <c r="UK729" s="115"/>
      <c r="UL729" s="115"/>
      <c r="UM729" s="115"/>
      <c r="UN729" s="115"/>
      <c r="UO729" s="115"/>
      <c r="UP729" s="115"/>
      <c r="UQ729" s="115"/>
      <c r="UR729" s="115"/>
      <c r="US729" s="115"/>
      <c r="UT729" s="115"/>
      <c r="UU729" s="115"/>
      <c r="UV729" s="115"/>
      <c r="UW729" s="115"/>
      <c r="UX729" s="115"/>
      <c r="UY729" s="115"/>
      <c r="UZ729" s="115"/>
      <c r="VA729" s="115"/>
      <c r="VB729" s="115"/>
      <c r="VC729" s="115"/>
      <c r="VD729" s="115"/>
      <c r="VE729" s="115"/>
      <c r="VF729" s="115"/>
      <c r="VG729" s="115"/>
      <c r="VH729" s="115"/>
      <c r="VI729" s="115"/>
      <c r="VJ729" s="115"/>
      <c r="VK729" s="115"/>
      <c r="VL729" s="115"/>
      <c r="VM729" s="115"/>
      <c r="VN729" s="115"/>
      <c r="VO729" s="115"/>
      <c r="VP729" s="115"/>
      <c r="VQ729" s="115"/>
      <c r="VR729" s="115"/>
      <c r="VS729" s="115"/>
      <c r="VT729" s="115"/>
      <c r="VU729" s="115"/>
      <c r="VV729" s="115"/>
      <c r="VW729" s="115"/>
      <c r="VX729" s="115"/>
      <c r="VY729" s="115"/>
      <c r="VZ729" s="115"/>
      <c r="WA729" s="115"/>
      <c r="WB729" s="115"/>
      <c r="WC729" s="115"/>
      <c r="WD729" s="115"/>
      <c r="WE729" s="115"/>
      <c r="WF729" s="115"/>
      <c r="WG729" s="115"/>
      <c r="WH729" s="115"/>
      <c r="WI729" s="115"/>
      <c r="WJ729" s="115"/>
      <c r="WK729" s="115"/>
      <c r="WL729" s="115"/>
      <c r="WM729" s="115"/>
      <c r="WN729" s="115"/>
      <c r="WO729" s="115"/>
      <c r="WP729" s="115"/>
      <c r="WQ729" s="115"/>
      <c r="WR729" s="115"/>
      <c r="WS729" s="115"/>
      <c r="WT729" s="115"/>
      <c r="WU729" s="115"/>
      <c r="WV729" s="115"/>
      <c r="WW729" s="115"/>
      <c r="WX729" s="115"/>
      <c r="WY729" s="115"/>
      <c r="WZ729" s="115"/>
      <c r="XA729" s="115"/>
      <c r="XB729" s="115"/>
      <c r="XC729" s="115"/>
      <c r="XD729" s="115"/>
      <c r="XE729" s="115"/>
      <c r="XF729" s="115"/>
      <c r="XG729" s="115"/>
      <c r="XH729" s="115"/>
      <c r="XI729" s="115"/>
      <c r="XJ729" s="115"/>
      <c r="XK729" s="115"/>
      <c r="XL729" s="115"/>
      <c r="XM729" s="115"/>
      <c r="XN729" s="115"/>
      <c r="XO729" s="115"/>
      <c r="XP729" s="115"/>
      <c r="XQ729" s="115"/>
      <c r="XR729" s="115"/>
      <c r="XS729" s="115"/>
      <c r="XT729" s="115"/>
      <c r="XU729" s="115"/>
      <c r="XV729" s="115"/>
      <c r="XW729" s="115"/>
      <c r="XX729" s="115"/>
      <c r="XY729" s="115"/>
      <c r="XZ729" s="115"/>
      <c r="YA729" s="115"/>
      <c r="YB729" s="115"/>
      <c r="YC729" s="115"/>
      <c r="YD729" s="115"/>
      <c r="YE729" s="115"/>
      <c r="YF729" s="115"/>
      <c r="YG729" s="115"/>
      <c r="YH729" s="115"/>
      <c r="YI729" s="115"/>
      <c r="YJ729" s="115"/>
      <c r="YK729" s="115"/>
      <c r="YL729" s="115"/>
      <c r="YM729" s="115"/>
      <c r="YN729" s="115"/>
      <c r="YO729" s="115"/>
      <c r="YP729" s="115"/>
      <c r="YQ729" s="115"/>
      <c r="YR729" s="115"/>
      <c r="YS729" s="115"/>
      <c r="YT729" s="115"/>
      <c r="YU729" s="115"/>
      <c r="YV729" s="115"/>
      <c r="YW729" s="115"/>
      <c r="YX729" s="115"/>
      <c r="YY729" s="115"/>
      <c r="YZ729" s="115"/>
      <c r="ZA729" s="115"/>
      <c r="ZB729" s="115"/>
      <c r="ZC729" s="115"/>
      <c r="ZD729" s="115"/>
      <c r="ZE729" s="115"/>
      <c r="ZF729" s="115"/>
      <c r="ZG729" s="115"/>
      <c r="ZH729" s="115"/>
      <c r="ZI729" s="115"/>
      <c r="ZJ729" s="115"/>
      <c r="ZK729" s="115"/>
      <c r="ZL729" s="115"/>
      <c r="ZM729" s="115"/>
      <c r="ZN729" s="115"/>
      <c r="ZO729" s="115"/>
      <c r="ZP729" s="115"/>
      <c r="ZQ729" s="115"/>
      <c r="ZR729" s="115"/>
      <c r="ZS729" s="115"/>
      <c r="ZT729" s="115"/>
      <c r="ZU729" s="115"/>
      <c r="ZV729" s="115"/>
      <c r="ZW729" s="115"/>
      <c r="ZX729" s="115"/>
      <c r="ZY729" s="115"/>
      <c r="ZZ729" s="115"/>
      <c r="AAA729" s="115"/>
      <c r="AAB729" s="115"/>
      <c r="AAC729" s="115"/>
      <c r="AAD729" s="115"/>
      <c r="AAE729" s="115"/>
      <c r="AAF729" s="115"/>
      <c r="AAG729" s="115"/>
      <c r="AAH729" s="115"/>
      <c r="AAI729" s="115"/>
      <c r="AAJ729" s="115"/>
      <c r="AAK729" s="115"/>
      <c r="AAL729" s="115"/>
      <c r="AAM729" s="115"/>
      <c r="AAN729" s="115"/>
      <c r="AAO729" s="115"/>
      <c r="AAP729" s="115"/>
      <c r="AAQ729" s="115"/>
      <c r="AAR729" s="115"/>
      <c r="AAS729" s="115"/>
      <c r="AAT729" s="115"/>
      <c r="AAU729" s="115"/>
      <c r="AAV729" s="115"/>
      <c r="AAW729" s="115"/>
      <c r="AAX729" s="115"/>
      <c r="AAY729" s="115"/>
      <c r="AAZ729" s="115"/>
      <c r="ABA729" s="115"/>
      <c r="ABB729" s="115"/>
      <c r="ABC729" s="115"/>
      <c r="ABD729" s="115"/>
      <c r="ABE729" s="115"/>
      <c r="ABF729" s="115"/>
      <c r="ABG729" s="115"/>
      <c r="ABH729" s="115"/>
      <c r="ABI729" s="115"/>
      <c r="ABJ729" s="115"/>
      <c r="ABK729" s="115"/>
      <c r="ABL729" s="115"/>
      <c r="ABM729" s="115"/>
      <c r="ABN729" s="115"/>
      <c r="ABO729" s="115"/>
      <c r="ABP729" s="115"/>
      <c r="ABQ729" s="115"/>
      <c r="ABR729" s="115"/>
      <c r="ABS729" s="115"/>
      <c r="ABT729" s="115"/>
      <c r="ABU729" s="115"/>
      <c r="ABV729" s="115"/>
      <c r="ABW729" s="115"/>
      <c r="ABX729" s="115"/>
      <c r="ABY729" s="115"/>
      <c r="ABZ729" s="115"/>
      <c r="ACA729" s="115"/>
      <c r="ACB729" s="115"/>
      <c r="ACC729" s="115"/>
      <c r="ACD729" s="115"/>
      <c r="ACE729" s="115"/>
      <c r="ACF729" s="115"/>
      <c r="ACG729" s="115"/>
      <c r="ACH729" s="115"/>
      <c r="ACI729" s="115"/>
      <c r="ACJ729" s="115"/>
      <c r="ACK729" s="115"/>
      <c r="ACL729" s="115"/>
      <c r="ACM729" s="115"/>
      <c r="ACN729" s="115"/>
      <c r="ACO729" s="115"/>
      <c r="ACP729" s="115"/>
      <c r="ACQ729" s="115"/>
      <c r="ACR729" s="115"/>
      <c r="ACS729" s="115"/>
      <c r="ACT729" s="115"/>
      <c r="ACU729" s="115"/>
      <c r="ACV729" s="115"/>
      <c r="ACW729" s="115"/>
      <c r="ACX729" s="115"/>
      <c r="ACY729" s="115"/>
      <c r="ACZ729" s="115"/>
      <c r="ADA729" s="115"/>
      <c r="ADB729" s="115"/>
      <c r="ADC729" s="115"/>
      <c r="ADD729" s="115"/>
      <c r="ADE729" s="115"/>
      <c r="ADF729" s="115"/>
      <c r="ADG729" s="115"/>
      <c r="ADH729" s="115"/>
      <c r="ADI729" s="115"/>
      <c r="ADJ729" s="115"/>
      <c r="ADK729" s="115"/>
      <c r="ADL729" s="115"/>
      <c r="ADM729" s="115"/>
      <c r="ADN729" s="115"/>
      <c r="ADO729" s="115"/>
      <c r="ADP729" s="115"/>
      <c r="ADQ729" s="115"/>
      <c r="ADR729" s="115"/>
      <c r="ADS729" s="115"/>
      <c r="ADT729" s="115"/>
      <c r="ADU729" s="115"/>
      <c r="ADV729" s="115"/>
      <c r="ADW729" s="115"/>
      <c r="ADX729" s="115"/>
      <c r="ADY729" s="115"/>
      <c r="ADZ729" s="115"/>
      <c r="AEA729" s="115"/>
      <c r="AEB729" s="115"/>
      <c r="AEC729" s="115"/>
      <c r="AED729" s="115"/>
      <c r="AEE729" s="115"/>
      <c r="AEF729" s="115"/>
      <c r="AEG729" s="115"/>
      <c r="AEH729" s="115"/>
      <c r="AEI729" s="115"/>
      <c r="AEJ729" s="115"/>
      <c r="AEK729" s="115"/>
      <c r="AEL729" s="115"/>
      <c r="AEM729" s="115"/>
      <c r="AEN729" s="115"/>
      <c r="AEO729" s="115"/>
      <c r="AEP729" s="115"/>
      <c r="AEQ729" s="115"/>
      <c r="AER729" s="115"/>
      <c r="AES729" s="115"/>
      <c r="AET729" s="115"/>
      <c r="AEU729" s="115"/>
      <c r="AEV729" s="115"/>
      <c r="AEW729" s="115"/>
      <c r="AEX729" s="115"/>
      <c r="AEY729" s="115"/>
      <c r="AEZ729" s="115"/>
      <c r="AFA729" s="115"/>
      <c r="AFB729" s="115"/>
      <c r="AFC729" s="115"/>
      <c r="AFD729" s="115"/>
      <c r="AFE729" s="115"/>
      <c r="AFF729" s="115"/>
      <c r="AFG729" s="115"/>
      <c r="AFH729" s="115"/>
      <c r="AFI729" s="115"/>
      <c r="AFJ729" s="115"/>
      <c r="AFK729" s="115"/>
      <c r="AFL729" s="115"/>
      <c r="AFM729" s="115"/>
      <c r="AFN729" s="115"/>
      <c r="AFO729" s="115"/>
      <c r="AFP729" s="115"/>
      <c r="AFQ729" s="115"/>
      <c r="AFR729" s="115"/>
      <c r="AFS729" s="115"/>
      <c r="AFT729" s="115"/>
      <c r="AFU729" s="115"/>
      <c r="AFV729" s="115"/>
      <c r="AFW729" s="115"/>
      <c r="AFX729" s="115"/>
      <c r="AFY729" s="115"/>
      <c r="AFZ729" s="115"/>
      <c r="AGA729" s="115"/>
      <c r="AGB729" s="115"/>
      <c r="AGC729" s="115"/>
      <c r="AGD729" s="115"/>
      <c r="AGE729" s="115"/>
      <c r="AGF729" s="115"/>
      <c r="AGG729" s="115"/>
      <c r="AGH729" s="115"/>
      <c r="AGI729" s="115"/>
      <c r="AGJ729" s="115"/>
      <c r="AGK729" s="115"/>
      <c r="AGL729" s="115"/>
      <c r="AGM729" s="115"/>
      <c r="AGN729" s="115"/>
      <c r="AGO729" s="115"/>
      <c r="AGP729" s="115"/>
      <c r="AGQ729" s="115"/>
      <c r="AGR729" s="115"/>
      <c r="AGS729" s="115"/>
      <c r="AGT729" s="115"/>
      <c r="AGU729" s="115"/>
      <c r="AGV729" s="115"/>
      <c r="AGW729" s="115"/>
      <c r="AGX729" s="115"/>
      <c r="AGY729" s="115"/>
      <c r="AGZ729" s="115"/>
      <c r="AHA729" s="115"/>
      <c r="AHB729" s="115"/>
      <c r="AHC729" s="115"/>
      <c r="AHD729" s="115"/>
      <c r="AHE729" s="115"/>
      <c r="AHF729" s="115"/>
      <c r="AHG729" s="115"/>
      <c r="AHH729" s="115"/>
      <c r="AHI729" s="115"/>
      <c r="AHJ729" s="115"/>
      <c r="AHK729" s="115"/>
      <c r="AHL729" s="115"/>
      <c r="AHM729" s="115"/>
      <c r="AHN729" s="115"/>
      <c r="AHO729" s="115"/>
      <c r="AHP729" s="115"/>
      <c r="AHQ729" s="115"/>
      <c r="AHR729" s="115"/>
      <c r="AHS729" s="115"/>
      <c r="AHT729" s="115"/>
      <c r="AHU729" s="115"/>
      <c r="AHV729" s="115"/>
      <c r="AHW729" s="115"/>
      <c r="AHX729" s="115"/>
      <c r="AHY729" s="115"/>
      <c r="AHZ729" s="115"/>
      <c r="AIA729" s="115"/>
      <c r="AIB729" s="115"/>
      <c r="AIC729" s="115"/>
      <c r="AID729" s="115"/>
      <c r="AIE729" s="115"/>
      <c r="AIF729" s="115"/>
      <c r="AIG729" s="115"/>
      <c r="AIH729" s="115"/>
      <c r="AII729" s="115"/>
      <c r="AIJ729" s="115"/>
      <c r="AIK729" s="115"/>
      <c r="AIL729" s="115"/>
      <c r="AIM729" s="115"/>
      <c r="AIN729" s="115"/>
      <c r="AIO729" s="115"/>
      <c r="AIP729" s="115"/>
      <c r="AIQ729" s="115"/>
      <c r="AIR729" s="115"/>
      <c r="AIS729" s="115"/>
      <c r="AIT729" s="115"/>
      <c r="AIU729" s="115"/>
      <c r="AIV729" s="115"/>
      <c r="AIW729" s="115"/>
      <c r="AIX729" s="115"/>
      <c r="AIY729" s="115"/>
      <c r="AIZ729" s="115"/>
      <c r="AJA729" s="115"/>
      <c r="AJB729" s="115"/>
      <c r="AJC729" s="115"/>
      <c r="AJD729" s="115"/>
      <c r="AJE729" s="115"/>
      <c r="AJF729" s="115"/>
      <c r="AJG729" s="115"/>
      <c r="AJH729" s="115"/>
      <c r="AJI729" s="115"/>
      <c r="AJJ729" s="115"/>
      <c r="AJK729" s="115"/>
      <c r="AJL729" s="115"/>
      <c r="AJM729" s="115"/>
      <c r="AJN729" s="115"/>
      <c r="AJO729" s="115"/>
      <c r="AJP729" s="115"/>
      <c r="AJQ729" s="115"/>
      <c r="AJR729" s="115"/>
      <c r="AJS729" s="115"/>
      <c r="AJT729" s="115"/>
      <c r="AJU729" s="115"/>
      <c r="AJV729" s="115"/>
      <c r="AJW729" s="115"/>
      <c r="AJX729" s="115"/>
      <c r="AJY729" s="115"/>
      <c r="AJZ729" s="115"/>
      <c r="AKA729" s="115"/>
      <c r="AKB729" s="115"/>
      <c r="AKC729" s="115"/>
      <c r="AKD729" s="115"/>
      <c r="AKE729" s="115"/>
      <c r="AKF729" s="115"/>
      <c r="AKG729" s="115"/>
      <c r="AKH729" s="115"/>
      <c r="AKI729" s="115"/>
      <c r="AKJ729" s="115"/>
      <c r="AKK729" s="115"/>
      <c r="AKL729" s="115"/>
      <c r="AKM729" s="115"/>
      <c r="AKN729" s="115"/>
      <c r="AKO729" s="115"/>
      <c r="AKP729" s="115"/>
      <c r="AKQ729" s="115"/>
      <c r="AKR729" s="115"/>
      <c r="AKS729" s="115"/>
      <c r="AKT729" s="115"/>
      <c r="AKU729" s="115"/>
      <c r="AKV729" s="115"/>
      <c r="AKW729" s="115"/>
      <c r="AKX729" s="115"/>
      <c r="AKY729" s="115"/>
      <c r="AKZ729" s="115"/>
      <c r="ALA729" s="115"/>
      <c r="ALB729" s="115"/>
      <c r="ALC729" s="115"/>
      <c r="ALD729" s="115"/>
      <c r="ALE729" s="115"/>
      <c r="ALF729" s="115"/>
      <c r="ALG729" s="115"/>
      <c r="ALH729" s="115"/>
      <c r="ALI729" s="115"/>
      <c r="ALJ729" s="115"/>
      <c r="ALK729" s="115"/>
      <c r="ALL729" s="115"/>
      <c r="ALM729" s="115"/>
      <c r="ALN729" s="115"/>
      <c r="ALO729" s="115"/>
      <c r="ALP729" s="115"/>
      <c r="ALQ729" s="115"/>
      <c r="ALR729" s="115"/>
      <c r="ALS729" s="115"/>
      <c r="ALT729" s="115"/>
      <c r="ALU729" s="115"/>
      <c r="ALV729" s="115"/>
      <c r="ALW729" s="115"/>
      <c r="ALX729" s="115"/>
      <c r="ALY729" s="115"/>
      <c r="ALZ729" s="115"/>
      <c r="AMA729" s="115"/>
      <c r="AMB729" s="115"/>
      <c r="AMC729" s="115"/>
      <c r="AMD729" s="115"/>
      <c r="AME729" s="115"/>
      <c r="AMF729" s="115"/>
      <c r="AMG729" s="115"/>
      <c r="AMH729" s="115"/>
      <c r="AMI729" s="115"/>
      <c r="AMJ729" s="115"/>
    </row>
    <row r="731" spans="1:1024" x14ac:dyDescent="0.2">
      <c r="A731" s="122">
        <v>2021.5403200000001</v>
      </c>
      <c r="B731" s="10">
        <v>941</v>
      </c>
      <c r="C731" s="10">
        <v>1657</v>
      </c>
      <c r="D731" s="28">
        <v>1</v>
      </c>
      <c r="E731" s="10">
        <v>28</v>
      </c>
      <c r="F731" s="10">
        <f>(C731-$AE$12)*EchelleFPAparam!$C$3/EchelleFPAparam!$E$3</f>
        <v>1.4404761904761904E-3</v>
      </c>
    </row>
    <row r="732" spans="1:1024" x14ac:dyDescent="0.2">
      <c r="A732" s="122"/>
      <c r="B732" s="10">
        <f>B731+(D731-1)*2048-3072+(D731-2)*EchelleFPAparam!$B$3/EchelleFPAparam!$C$3</f>
        <v>-2276</v>
      </c>
    </row>
    <row r="733" spans="1:1024" x14ac:dyDescent="0.2">
      <c r="A733" s="122"/>
      <c r="B733" s="10">
        <f>B732*EchelleFPAparam!$C$3*COS(EchelleFPAparam!$AC$3)*$B$6</f>
        <v>-41.365851999578233</v>
      </c>
    </row>
    <row r="734" spans="1:1024" x14ac:dyDescent="0.2">
      <c r="A734" s="122"/>
      <c r="B734" s="10">
        <f>ATAN(B733/EchelleFPAparam!$E$3)</f>
        <v>-2.7351545055353688E-2</v>
      </c>
      <c r="C734" s="29">
        <f>EchelleFPAparam!$M$3+$B734</f>
        <v>-8.3324254993687022E-2</v>
      </c>
      <c r="F734" s="10">
        <f>ASIN($E731*$A731/(COS(F731)*2*EchelleFPAparam!$S$3*COS(-$C734/2)))-$C734/2</f>
        <v>1.1585268772627906</v>
      </c>
      <c r="G734" s="29">
        <f>$F734*180/EchelleFPAparam!$O$3</f>
        <v>66.378699539027537</v>
      </c>
      <c r="H734" s="10">
        <v>420</v>
      </c>
      <c r="I734" s="10" t="s">
        <v>361</v>
      </c>
      <c r="J734" s="10">
        <f>A731</f>
        <v>2021.5403200000001</v>
      </c>
      <c r="K734" s="10">
        <f>B731+(D731-1)*2198</f>
        <v>941</v>
      </c>
      <c r="L734" s="30">
        <f>C731</f>
        <v>1657</v>
      </c>
      <c r="M734" s="10">
        <f>E731</f>
        <v>28</v>
      </c>
      <c r="N734" s="29">
        <f>G734</f>
        <v>66.378699539027537</v>
      </c>
      <c r="O734" s="10">
        <f>H734</f>
        <v>420</v>
      </c>
    </row>
    <row r="735" spans="1:1024" x14ac:dyDescent="0.2">
      <c r="A735" s="122">
        <v>2190.8505399999999</v>
      </c>
      <c r="B735" s="10">
        <v>417</v>
      </c>
      <c r="C735" s="29">
        <v>1052</v>
      </c>
      <c r="D735" s="28">
        <v>1</v>
      </c>
      <c r="E735" s="10">
        <v>26</v>
      </c>
      <c r="F735" s="10">
        <f>(C735-$AE$12)*EchelleFPAparam!$C$3/EchelleFPAparam!$E$3</f>
        <v>-5.7619047619047615E-3</v>
      </c>
      <c r="K735" s="10"/>
      <c r="L735" s="30"/>
      <c r="N735" s="29"/>
      <c r="AG735" s="29">
        <f>N734</f>
        <v>66.378699539027537</v>
      </c>
      <c r="AH735" s="29">
        <f>O734</f>
        <v>420</v>
      </c>
      <c r="AI735" s="10">
        <f>AG735+AH735*0.009525</f>
        <v>70.379199539027539</v>
      </c>
    </row>
    <row r="736" spans="1:1024" x14ac:dyDescent="0.2">
      <c r="A736" s="122"/>
      <c r="B736" s="10">
        <f>B735+(D735-1)*2048-3072+(D735-2)*EchelleFPAparam!$B$3/EchelleFPAparam!$C$3</f>
        <v>-2800</v>
      </c>
      <c r="AG736" s="29">
        <f>N738</f>
        <v>67.332382481495358</v>
      </c>
      <c r="AH736" s="29">
        <f>O738</f>
        <v>320</v>
      </c>
      <c r="AI736" s="10">
        <f t="shared" ref="AI736:AI748" si="6">AG736+AH736*0.009525</f>
        <v>70.38038248149536</v>
      </c>
    </row>
    <row r="737" spans="1:35" x14ac:dyDescent="0.2">
      <c r="A737" s="122"/>
      <c r="B737" s="10">
        <f>B736*EchelleFPAparam!$C$3*COS(EchelleFPAparam!$AC$3)*$B$6</f>
        <v>-50.889448857126126</v>
      </c>
      <c r="AG737" s="29">
        <f>N742</f>
        <v>67.327479867300454</v>
      </c>
      <c r="AH737" s="29">
        <f>O742</f>
        <v>320</v>
      </c>
      <c r="AI737" s="10">
        <f t="shared" si="6"/>
        <v>70.375479867300456</v>
      </c>
    </row>
    <row r="738" spans="1:35" x14ac:dyDescent="0.2">
      <c r="A738" s="122"/>
      <c r="B738" s="10">
        <f>ATAN(B737/EchelleFPAparam!$E$3)</f>
        <v>-3.364434266533417E-2</v>
      </c>
      <c r="C738" s="29">
        <f>EchelleFPAparam!$M$3+$B738</f>
        <v>-8.9617052603667507E-2</v>
      </c>
      <c r="F738" s="10">
        <f>ASIN($E735*$A735/(COS(F735)*2*EchelleFPAparam!$S$3*COS(-$C738/2)))-$C738/2</f>
        <v>1.1751717848748537</v>
      </c>
      <c r="G738" s="29">
        <f>$F738*180/EchelleFPAparam!$O$3</f>
        <v>67.332382481495358</v>
      </c>
      <c r="H738" s="10">
        <v>320</v>
      </c>
      <c r="I738" s="10" t="s">
        <v>361</v>
      </c>
      <c r="J738" s="10">
        <f>A735</f>
        <v>2190.8505399999999</v>
      </c>
      <c r="K738" s="10">
        <f>B735+(D735-1)*2198</f>
        <v>417</v>
      </c>
      <c r="L738" s="30">
        <f>C735</f>
        <v>1052</v>
      </c>
      <c r="M738" s="10">
        <f>E735</f>
        <v>26</v>
      </c>
      <c r="N738" s="29">
        <f>G738</f>
        <v>67.332382481495358</v>
      </c>
      <c r="O738" s="10">
        <f>H738</f>
        <v>320</v>
      </c>
      <c r="AG738" s="29">
        <f>N746</f>
        <v>64.478588933549375</v>
      </c>
      <c r="AH738" s="29">
        <f>O746</f>
        <v>620</v>
      </c>
      <c r="AI738" s="10">
        <f t="shared" si="6"/>
        <v>70.384088933549378</v>
      </c>
    </row>
    <row r="739" spans="1:35" x14ac:dyDescent="0.2">
      <c r="A739" s="122">
        <v>2042.9532300000001</v>
      </c>
      <c r="B739" s="10">
        <v>1809</v>
      </c>
      <c r="C739" s="10">
        <v>1601</v>
      </c>
      <c r="D739" s="28">
        <v>1</v>
      </c>
      <c r="E739" s="10">
        <v>28</v>
      </c>
      <c r="F739" s="10">
        <f>(C739-$AE$12)*EchelleFPAparam!$C$3/EchelleFPAparam!$E$3</f>
        <v>7.7380952380952373E-4</v>
      </c>
      <c r="AG739" s="29">
        <f>N750</f>
        <v>66.383175349549688</v>
      </c>
      <c r="AH739" s="29">
        <f>O750</f>
        <v>420</v>
      </c>
      <c r="AI739" s="10">
        <f t="shared" si="6"/>
        <v>70.383675349549691</v>
      </c>
    </row>
    <row r="740" spans="1:35" x14ac:dyDescent="0.2">
      <c r="A740" s="122"/>
      <c r="B740" s="10">
        <f>B739+(D739-1)*2048-3072+(D739-2)*EchelleFPAparam!$B$3/EchelleFPAparam!$C$3</f>
        <v>-1408</v>
      </c>
      <c r="AG740" s="29">
        <f>N754</f>
        <v>67.329713072179331</v>
      </c>
      <c r="AH740" s="29">
        <f>O754</f>
        <v>320</v>
      </c>
      <c r="AI740" s="10">
        <f t="shared" si="6"/>
        <v>70.377713072179333</v>
      </c>
    </row>
    <row r="741" spans="1:35" x14ac:dyDescent="0.2">
      <c r="A741" s="122"/>
      <c r="B741" s="10">
        <f>B740*EchelleFPAparam!$C$3*COS(EchelleFPAparam!$AC$3)*$B$6</f>
        <v>-25.590122853869133</v>
      </c>
      <c r="AG741" s="29">
        <f>N758</f>
        <v>64.477956541511361</v>
      </c>
      <c r="AH741" s="29">
        <f>O758</f>
        <v>620</v>
      </c>
      <c r="AI741" s="10">
        <f t="shared" si="6"/>
        <v>70.383456541511364</v>
      </c>
    </row>
    <row r="742" spans="1:35" x14ac:dyDescent="0.2">
      <c r="A742" s="122"/>
      <c r="B742" s="10">
        <f>ATAN(B741/EchelleFPAparam!$E$3)</f>
        <v>-1.6923068708086658E-2</v>
      </c>
      <c r="C742" s="29">
        <f>EchelleFPAparam!$M$3+$B742</f>
        <v>-7.2895778646419995E-2</v>
      </c>
      <c r="F742" s="10">
        <f>ASIN($E739*$A739/(COS(F739)*2*EchelleFPAparam!$S$3*COS(-$C742/2)))-$C742/2</f>
        <v>1.1750862181139339</v>
      </c>
      <c r="G742" s="29">
        <f>$F742*180/EchelleFPAparam!$O$3</f>
        <v>67.327479867300454</v>
      </c>
      <c r="H742" s="10">
        <v>320</v>
      </c>
      <c r="I742" s="10" t="s">
        <v>361</v>
      </c>
      <c r="J742" s="10">
        <f>A739</f>
        <v>2042.9532300000001</v>
      </c>
      <c r="K742" s="10">
        <f>B739+(D739-1)*2198</f>
        <v>1809</v>
      </c>
      <c r="L742" s="30">
        <f>C739</f>
        <v>1601</v>
      </c>
      <c r="M742" s="10">
        <f>E739</f>
        <v>28</v>
      </c>
      <c r="N742" s="29">
        <f>G742</f>
        <v>67.327479867300454</v>
      </c>
      <c r="O742" s="10">
        <f>H742</f>
        <v>320</v>
      </c>
      <c r="AG742" s="29">
        <f>N762</f>
        <v>65.430264338025708</v>
      </c>
      <c r="AH742" s="29">
        <f>O762</f>
        <v>520</v>
      </c>
      <c r="AI742" s="10">
        <f t="shared" si="6"/>
        <v>70.383264338025711</v>
      </c>
    </row>
    <row r="743" spans="1:35" x14ac:dyDescent="0.2">
      <c r="A743" s="122">
        <v>2021.5403200000001</v>
      </c>
      <c r="B743" s="10">
        <v>1798</v>
      </c>
      <c r="C743" s="10">
        <v>1789</v>
      </c>
      <c r="D743" s="28">
        <v>3</v>
      </c>
      <c r="E743" s="10">
        <v>28</v>
      </c>
      <c r="F743" s="10">
        <f>(C743-$AE$12)*EchelleFPAparam!$C$3/EchelleFPAparam!$E$3</f>
        <v>3.0119047619047616E-3</v>
      </c>
      <c r="AG743" s="29">
        <f>N766</f>
        <v>65.431502883110269</v>
      </c>
      <c r="AH743" s="29">
        <f>O766</f>
        <v>520</v>
      </c>
      <c r="AI743" s="10">
        <f t="shared" si="6"/>
        <v>70.384502883110272</v>
      </c>
    </row>
    <row r="744" spans="1:35" x14ac:dyDescent="0.2">
      <c r="A744" s="122"/>
      <c r="B744" s="10">
        <f>B743+(D743-1)*2048-3072+(D743-2)*EchelleFPAparam!$B$3/EchelleFPAparam!$C$3</f>
        <v>2967</v>
      </c>
      <c r="AG744" s="29">
        <f>N770</f>
        <v>65.429670050645711</v>
      </c>
      <c r="AH744" s="29">
        <f>O770</f>
        <v>520</v>
      </c>
      <c r="AI744" s="10">
        <f t="shared" si="6"/>
        <v>70.382670050645714</v>
      </c>
    </row>
    <row r="745" spans="1:35" x14ac:dyDescent="0.2">
      <c r="A745" s="122"/>
      <c r="B745" s="10">
        <f>B744*EchelleFPAparam!$C$3*COS(EchelleFPAparam!$AC$3)*$B$6</f>
        <v>53.924640985390432</v>
      </c>
      <c r="AG745" s="29">
        <f>N774</f>
        <v>66.381586569566366</v>
      </c>
      <c r="AH745" s="29">
        <f>O774</f>
        <v>420</v>
      </c>
      <c r="AI745" s="10">
        <f t="shared" si="6"/>
        <v>70.382086569566368</v>
      </c>
    </row>
    <row r="746" spans="1:35" x14ac:dyDescent="0.2">
      <c r="A746" s="122"/>
      <c r="B746" s="10">
        <f>ATAN(B745/EchelleFPAparam!$E$3)</f>
        <v>3.5649335463978679E-2</v>
      </c>
      <c r="C746" s="29">
        <f>EchelleFPAparam!$M$3+$B746</f>
        <v>-2.0323374474354651E-2</v>
      </c>
      <c r="F746" s="10">
        <f>ASIN($E743*$A743/(COS(F743)*2*EchelleFPAparam!$S$3*COS(-$C746/2)))-$C746/2</f>
        <v>1.1253636905552193</v>
      </c>
      <c r="G746" s="29">
        <f>$F746*180/EchelleFPAparam!$O$3</f>
        <v>64.478588933549375</v>
      </c>
      <c r="H746" s="10">
        <v>620</v>
      </c>
      <c r="I746" s="10" t="s">
        <v>361</v>
      </c>
      <c r="J746" s="10">
        <f>A743</f>
        <v>2021.5403200000001</v>
      </c>
      <c r="K746" s="10">
        <f>B743+(D743-1)*2198</f>
        <v>6194</v>
      </c>
      <c r="L746" s="30">
        <f>C743</f>
        <v>1789</v>
      </c>
      <c r="M746" s="10">
        <f>E743</f>
        <v>28</v>
      </c>
      <c r="N746" s="29">
        <f>G746</f>
        <v>64.478588933549375</v>
      </c>
      <c r="O746" s="10">
        <f>H746</f>
        <v>620</v>
      </c>
      <c r="AG746" s="29">
        <f>N778</f>
        <v>65.431107687206861</v>
      </c>
      <c r="AH746" s="29">
        <f>O778</f>
        <v>520</v>
      </c>
      <c r="AI746" s="10">
        <f t="shared" si="6"/>
        <v>70.384107687206864</v>
      </c>
    </row>
    <row r="747" spans="1:35" x14ac:dyDescent="0.2">
      <c r="A747" s="122">
        <v>2190.8505399999999</v>
      </c>
      <c r="B747" s="10">
        <v>779</v>
      </c>
      <c r="C747" s="10">
        <v>1119</v>
      </c>
      <c r="D747" s="28">
        <v>2</v>
      </c>
      <c r="E747" s="10">
        <v>26</v>
      </c>
      <c r="F747" s="10">
        <f>(C747-$AE$12)*EchelleFPAparam!$C$3/EchelleFPAparam!$E$3</f>
        <v>-4.9642857142857136E-3</v>
      </c>
      <c r="AG747" s="29">
        <f>N782</f>
        <v>66.380995186349381</v>
      </c>
      <c r="AH747" s="29">
        <f>O782</f>
        <v>420</v>
      </c>
      <c r="AI747" s="10">
        <f t="shared" si="6"/>
        <v>70.381495186349383</v>
      </c>
    </row>
    <row r="748" spans="1:35" x14ac:dyDescent="0.2">
      <c r="A748" s="122"/>
      <c r="B748" s="10">
        <f>B747+(D747-1)*2048-3072+(D747-2)*EchelleFPAparam!$B$3/EchelleFPAparam!$C$3</f>
        <v>-245</v>
      </c>
      <c r="AG748" s="29">
        <f>N786</f>
        <v>63.522761735824837</v>
      </c>
      <c r="AH748" s="29">
        <f>O786</f>
        <v>720</v>
      </c>
      <c r="AI748" s="10">
        <f t="shared" si="6"/>
        <v>70.380761735824834</v>
      </c>
    </row>
    <row r="749" spans="1:35" x14ac:dyDescent="0.2">
      <c r="A749" s="122"/>
      <c r="B749" s="10">
        <f>B748*EchelleFPAparam!$C$3*COS(EchelleFPAparam!$AC$3)*$B$6</f>
        <v>-4.4528267749985355</v>
      </c>
      <c r="AG749" s="29"/>
      <c r="AH749" s="29"/>
    </row>
    <row r="750" spans="1:35" x14ac:dyDescent="0.2">
      <c r="A750" s="122"/>
      <c r="B750" s="10">
        <f>ATAN(B749/EchelleFPAparam!$E$3)</f>
        <v>-2.9449827394065326E-3</v>
      </c>
      <c r="C750" s="29">
        <f>EchelleFPAparam!$M$3+$B750</f>
        <v>-5.8917692677739865E-2</v>
      </c>
      <c r="F750" s="10">
        <f>ASIN($E747*$A747/(COS(F747)*2*EchelleFPAparam!$S$3*COS(-$C750/2)))-$C750/2</f>
        <v>1.1586049948942514</v>
      </c>
      <c r="G750" s="29">
        <f>$F750*180/EchelleFPAparam!$O$3</f>
        <v>66.383175349549688</v>
      </c>
      <c r="H750" s="10">
        <v>420</v>
      </c>
      <c r="I750" s="10" t="s">
        <v>361</v>
      </c>
      <c r="J750" s="10">
        <f>A747</f>
        <v>2190.8505399999999</v>
      </c>
      <c r="K750" s="10">
        <f>B747+(D747-1)*2198</f>
        <v>2977</v>
      </c>
      <c r="L750" s="30">
        <f>C747</f>
        <v>1119</v>
      </c>
      <c r="M750" s="10">
        <f>E747</f>
        <v>26</v>
      </c>
      <c r="N750" s="29">
        <f>G750</f>
        <v>66.383175349549688</v>
      </c>
      <c r="O750" s="10">
        <f>H750</f>
        <v>420</v>
      </c>
      <c r="AG750" s="10">
        <f>INDEX(LINEST(AG735:AG748,AH735:AH748),2)</f>
        <v>70.375428821650758</v>
      </c>
      <c r="AH750" s="10">
        <f>INDEX(LINEST(AG735:AG748,AH735:AH748),1)</f>
        <v>-9.5119939023605316E-3</v>
      </c>
      <c r="AI750" s="10">
        <f>GEOMEAN(AI735:AI748)</f>
        <v>70.381634540882843</v>
      </c>
    </row>
    <row r="751" spans="1:35" x14ac:dyDescent="0.2">
      <c r="A751" s="122">
        <v>2117.1263399999998</v>
      </c>
      <c r="B751" s="10">
        <v>1569</v>
      </c>
      <c r="C751" s="10">
        <v>1338</v>
      </c>
      <c r="D751" s="28">
        <v>1</v>
      </c>
      <c r="E751" s="10">
        <v>27</v>
      </c>
      <c r="F751" s="10">
        <f>(C751-$AE$12)*EchelleFPAparam!$C$3/EchelleFPAparam!$E$3</f>
        <v>-2.3571428571428567E-3</v>
      </c>
      <c r="AG751" s="29"/>
      <c r="AH751" s="29"/>
    </row>
    <row r="752" spans="1:35" x14ac:dyDescent="0.2">
      <c r="A752" s="122"/>
      <c r="B752" s="10">
        <f>B751+(D751-1)*2048-3072+(D751-2)*EchelleFPAparam!$B$3/EchelleFPAparam!$C$3</f>
        <v>-1648</v>
      </c>
      <c r="AG752" s="29"/>
      <c r="AH752" s="29"/>
    </row>
    <row r="753" spans="1:34" x14ac:dyDescent="0.2">
      <c r="A753" s="122"/>
      <c r="B753" s="10">
        <f>B752*EchelleFPAparam!$C$3*COS(EchelleFPAparam!$AC$3)*$B$6</f>
        <v>-29.952075613051374</v>
      </c>
      <c r="AG753" s="29"/>
      <c r="AH753" s="29"/>
    </row>
    <row r="754" spans="1:34" x14ac:dyDescent="0.2">
      <c r="A754" s="122"/>
      <c r="B754" s="10">
        <f>ATAN(B753/EchelleFPAparam!$E$3)</f>
        <v>-1.9806983208956429E-2</v>
      </c>
      <c r="C754" s="29">
        <f>EchelleFPAparam!$M$3+$B754</f>
        <v>-7.5779693147289759E-2</v>
      </c>
      <c r="F754" s="10">
        <f>ASIN($E751*$A751/(COS(F751)*2*EchelleFPAparam!$S$3*COS(-$C754/2)))-$C754/2</f>
        <v>1.1751251948925177</v>
      </c>
      <c r="G754" s="29">
        <f>$F754*180/EchelleFPAparam!$O$3</f>
        <v>67.329713072179331</v>
      </c>
      <c r="H754" s="10">
        <v>320</v>
      </c>
      <c r="I754" s="10" t="s">
        <v>361</v>
      </c>
      <c r="J754" s="10">
        <f>A751</f>
        <v>2117.1263399999998</v>
      </c>
      <c r="K754" s="10">
        <f>B751+(D751-1)*2198</f>
        <v>1569</v>
      </c>
      <c r="L754" s="30">
        <f>C751</f>
        <v>1338</v>
      </c>
      <c r="M754" s="10">
        <f>E751</f>
        <v>27</v>
      </c>
      <c r="N754" s="29">
        <f>G754</f>
        <v>67.329713072179331</v>
      </c>
      <c r="O754" s="10">
        <f>H754</f>
        <v>320</v>
      </c>
    </row>
    <row r="755" spans="1:34" x14ac:dyDescent="0.2">
      <c r="A755" s="122">
        <v>2249.1909900000001</v>
      </c>
      <c r="B755" s="10">
        <v>1858</v>
      </c>
      <c r="C755" s="10">
        <v>947</v>
      </c>
      <c r="D755" s="28">
        <v>2</v>
      </c>
      <c r="E755" s="10">
        <v>25</v>
      </c>
      <c r="F755" s="10">
        <f>(C755-$AE$12)*EchelleFPAparam!$C$3/EchelleFPAparam!$E$3</f>
        <v>-7.0119047619047609E-3</v>
      </c>
    </row>
    <row r="756" spans="1:34" x14ac:dyDescent="0.2">
      <c r="A756" s="122"/>
      <c r="B756" s="10">
        <f>B755+(D755-1)*2048-3072+(D755-2)*EchelleFPAparam!$B$3/EchelleFPAparam!$C$3</f>
        <v>834</v>
      </c>
    </row>
    <row r="757" spans="1:34" x14ac:dyDescent="0.2">
      <c r="A757" s="122"/>
      <c r="B757" s="10">
        <f>B756*EchelleFPAparam!$C$3*COS(EchelleFPAparam!$AC$3)*$B$6</f>
        <v>15.157785838158279</v>
      </c>
    </row>
    <row r="758" spans="1:34" x14ac:dyDescent="0.2">
      <c r="A758" s="122"/>
      <c r="B758" s="10">
        <f>ATAN(B757/EchelleFPAparam!$E$3)</f>
        <v>1.0024654815305047E-2</v>
      </c>
      <c r="C758" s="29">
        <f>EchelleFPAparam!$M$3+$B758</f>
        <v>-4.5948055123028284E-2</v>
      </c>
      <c r="F758" s="10">
        <f>ASIN($E755*$A755/(COS(F755)*2*EchelleFPAparam!$S$3*COS(-$C758/2)))-$C758/2</f>
        <v>1.1253526532318296</v>
      </c>
      <c r="G758" s="29">
        <f>$F758*180/EchelleFPAparam!$O$3</f>
        <v>64.477956541511361</v>
      </c>
      <c r="H758" s="10">
        <v>620</v>
      </c>
      <c r="I758" s="10" t="s">
        <v>361</v>
      </c>
      <c r="J758" s="10">
        <f>A755</f>
        <v>2249.1909900000001</v>
      </c>
      <c r="K758" s="10">
        <f>B755+(D755-1)*2198</f>
        <v>4056</v>
      </c>
      <c r="L758" s="30">
        <f>C755</f>
        <v>947</v>
      </c>
      <c r="M758" s="10">
        <f>E755</f>
        <v>25</v>
      </c>
      <c r="N758" s="29">
        <f>G758</f>
        <v>64.477956541511361</v>
      </c>
      <c r="O758" s="10">
        <f>H758</f>
        <v>620</v>
      </c>
    </row>
    <row r="759" spans="1:34" x14ac:dyDescent="0.2">
      <c r="A759" s="122">
        <v>2249.1909900000001</v>
      </c>
      <c r="B759" s="10">
        <v>1446</v>
      </c>
      <c r="C759" s="10">
        <v>880</v>
      </c>
      <c r="D759" s="28">
        <v>1</v>
      </c>
      <c r="E759" s="10">
        <v>25</v>
      </c>
      <c r="F759" s="10">
        <f>(C759-$AE$12)*EchelleFPAparam!$C$3/EchelleFPAparam!$E$3</f>
        <v>-7.8095238095238096E-3</v>
      </c>
    </row>
    <row r="760" spans="1:34" x14ac:dyDescent="0.2">
      <c r="A760" s="122"/>
      <c r="B760" s="10">
        <f>B759+(D759-1)*2048-3072+(D759-2)*EchelleFPAparam!$B$3/EchelleFPAparam!$C$3</f>
        <v>-1771</v>
      </c>
    </row>
    <row r="761" spans="1:34" x14ac:dyDescent="0.2">
      <c r="A761" s="122"/>
      <c r="B761" s="10">
        <f>B760*EchelleFPAparam!$C$3*COS(EchelleFPAparam!$AC$3)*$B$6</f>
        <v>-32.187576402132272</v>
      </c>
    </row>
    <row r="762" spans="1:34" x14ac:dyDescent="0.2">
      <c r="A762" s="122"/>
      <c r="B762" s="10">
        <f>ATAN(B761/EchelleFPAparam!$E$3)</f>
        <v>-2.1284864711287634E-2</v>
      </c>
      <c r="C762" s="29">
        <f>EchelleFPAparam!$M$3+$B762</f>
        <v>-7.7257574649620964E-2</v>
      </c>
      <c r="F762" s="10">
        <f>ASIN($E759*$A759/(COS(F759)*2*EchelleFPAparam!$S$3*COS(-$C762/2)))-$C762/2</f>
        <v>1.1419735600189549</v>
      </c>
      <c r="G762" s="29">
        <f>$F762*180/EchelleFPAparam!$O$3</f>
        <v>65.430264338025708</v>
      </c>
      <c r="H762" s="10">
        <v>520</v>
      </c>
      <c r="I762" s="10" t="s">
        <v>361</v>
      </c>
      <c r="J762" s="10">
        <f>A759</f>
        <v>2249.1909900000001</v>
      </c>
      <c r="K762" s="10">
        <f>B759+(D759-1)*2198</f>
        <v>1446</v>
      </c>
      <c r="L762" s="30">
        <f>C759</f>
        <v>880</v>
      </c>
      <c r="M762" s="10">
        <f>E759</f>
        <v>25</v>
      </c>
      <c r="N762" s="29">
        <f>G762</f>
        <v>65.430264338025708</v>
      </c>
      <c r="O762" s="10">
        <f>H762</f>
        <v>520</v>
      </c>
    </row>
    <row r="763" spans="1:34" x14ac:dyDescent="0.2">
      <c r="A763" s="122">
        <v>2350.88724</v>
      </c>
      <c r="B763" s="10">
        <v>317</v>
      </c>
      <c r="C763" s="10">
        <v>548</v>
      </c>
      <c r="D763" s="28">
        <v>2</v>
      </c>
      <c r="E763" s="10">
        <v>24</v>
      </c>
      <c r="F763" s="10">
        <f>(C763-$AE$12)*EchelleFPAparam!$C$3/EchelleFPAparam!$E$3</f>
        <v>-1.1761904761904762E-2</v>
      </c>
    </row>
    <row r="764" spans="1:34" x14ac:dyDescent="0.2">
      <c r="A764" s="122"/>
      <c r="B764" s="10">
        <f>B763+(D763-1)*2048-3072+(D763-2)*EchelleFPAparam!$B$3/EchelleFPAparam!$C$3</f>
        <v>-707</v>
      </c>
    </row>
    <row r="765" spans="1:34" x14ac:dyDescent="0.2">
      <c r="A765" s="122"/>
      <c r="B765" s="10">
        <f>B764*EchelleFPAparam!$C$3*COS(EchelleFPAparam!$AC$3)*$B$6</f>
        <v>-12.849585836424346</v>
      </c>
    </row>
    <row r="766" spans="1:34" x14ac:dyDescent="0.2">
      <c r="A766" s="122"/>
      <c r="B766" s="10">
        <f>ATAN(B765/EchelleFPAparam!$E$3)</f>
        <v>-8.4981987468381367E-3</v>
      </c>
      <c r="C766" s="29">
        <f>EchelleFPAparam!$M$3+$B766</f>
        <v>-6.4470908685171469E-2</v>
      </c>
      <c r="F766" s="10">
        <f>ASIN($E763*$A763/(COS(F763)*2*EchelleFPAparam!$S$3*COS(-$C766/2)))-$C766/2</f>
        <v>1.1419951767089342</v>
      </c>
      <c r="G766" s="29">
        <f>$F766*180/EchelleFPAparam!$O$3</f>
        <v>65.431502883110269</v>
      </c>
      <c r="H766" s="10">
        <v>520</v>
      </c>
      <c r="I766" s="10" t="s">
        <v>361</v>
      </c>
      <c r="J766" s="10">
        <f>A763</f>
        <v>2350.88724</v>
      </c>
      <c r="K766" s="10">
        <f>B763+(D763-1)*2198</f>
        <v>2515</v>
      </c>
      <c r="L766" s="30">
        <f>C763</f>
        <v>548</v>
      </c>
      <c r="M766" s="10">
        <f>E763</f>
        <v>24</v>
      </c>
      <c r="N766" s="29">
        <f>G766</f>
        <v>65.431502883110269</v>
      </c>
      <c r="O766" s="10">
        <f>H766</f>
        <v>520</v>
      </c>
    </row>
    <row r="767" spans="1:34" x14ac:dyDescent="0.2">
      <c r="A767" s="122">
        <v>2021.5403200000001</v>
      </c>
      <c r="B767" s="10">
        <v>1326</v>
      </c>
      <c r="C767" s="10">
        <v>1723</v>
      </c>
      <c r="D767" s="28">
        <v>2</v>
      </c>
      <c r="E767" s="10">
        <v>28</v>
      </c>
      <c r="F767" s="10">
        <f>(C767-$AE$12)*EchelleFPAparam!$C$3/EchelleFPAparam!$E$3</f>
        <v>2.2261904761904758E-3</v>
      </c>
    </row>
    <row r="768" spans="1:34" x14ac:dyDescent="0.2">
      <c r="A768" s="122"/>
      <c r="B768" s="10">
        <f>B767+(D767-1)*2048-3072+(D767-2)*EchelleFPAparam!$B$3/EchelleFPAparam!$C$3</f>
        <v>302</v>
      </c>
    </row>
    <row r="769" spans="1:15" x14ac:dyDescent="0.2">
      <c r="A769" s="122"/>
      <c r="B769" s="10">
        <f>B768*EchelleFPAparam!$C$3*COS(EchelleFPAparam!$AC$3)*$B$6</f>
        <v>5.4887905553043179</v>
      </c>
    </row>
    <row r="770" spans="1:15" x14ac:dyDescent="0.2">
      <c r="A770" s="122"/>
      <c r="B770" s="10">
        <f>ATAN(B769/EchelleFPAparam!$E$3)</f>
        <v>3.6301365377346116E-3</v>
      </c>
      <c r="C770" s="29">
        <f>EchelleFPAparam!$M$3+$B770</f>
        <v>-5.2342573400598717E-2</v>
      </c>
      <c r="F770" s="10">
        <f>ASIN($E767*$A767/(COS(F767)*2*EchelleFPAparam!$S$3*COS(-$C770/2)))-$C770/2</f>
        <v>1.1419631877473178</v>
      </c>
      <c r="G770" s="29">
        <f>$F770*180/EchelleFPAparam!$O$3</f>
        <v>65.429670050645711</v>
      </c>
      <c r="H770" s="10">
        <v>520</v>
      </c>
      <c r="I770" s="10" t="s">
        <v>361</v>
      </c>
      <c r="J770" s="10">
        <f>A767</f>
        <v>2021.5403200000001</v>
      </c>
      <c r="K770" s="10">
        <f>B767+(D767-1)*2198</f>
        <v>3524</v>
      </c>
      <c r="L770" s="30">
        <f>C767</f>
        <v>1723</v>
      </c>
      <c r="M770" s="10">
        <f>E767</f>
        <v>28</v>
      </c>
      <c r="N770" s="29">
        <f>G770</f>
        <v>65.429670050645711</v>
      </c>
      <c r="O770" s="10">
        <f>H770</f>
        <v>520</v>
      </c>
    </row>
    <row r="771" spans="1:15" x14ac:dyDescent="0.2">
      <c r="A771" s="122">
        <v>2117.1263399999998</v>
      </c>
      <c r="B771" s="10">
        <v>1961</v>
      </c>
      <c r="C771" s="10">
        <v>1404</v>
      </c>
      <c r="D771" s="28">
        <v>2</v>
      </c>
      <c r="E771" s="10">
        <v>27</v>
      </c>
      <c r="F771" s="10">
        <f>(C771-$AE$12)*EchelleFPAparam!$C$3/EchelleFPAparam!$E$3</f>
        <v>-1.5714285714285713E-3</v>
      </c>
    </row>
    <row r="772" spans="1:15" x14ac:dyDescent="0.2">
      <c r="A772" s="122"/>
      <c r="B772" s="10">
        <f>B771+(D771-1)*2048-3072+(D771-2)*EchelleFPAparam!$B$3/EchelleFPAparam!$C$3</f>
        <v>937</v>
      </c>
    </row>
    <row r="773" spans="1:15" x14ac:dyDescent="0.2">
      <c r="A773" s="122"/>
      <c r="B773" s="10">
        <f>B772*EchelleFPAparam!$C$3*COS(EchelleFPAparam!$AC$3)*$B$6</f>
        <v>17.029790563973989</v>
      </c>
    </row>
    <row r="774" spans="1:15" x14ac:dyDescent="0.2">
      <c r="A774" s="122"/>
      <c r="B774" s="10">
        <f>ATAN(B773/EchelleFPAparam!$E$3)</f>
        <v>1.1262612765705466E-2</v>
      </c>
      <c r="C774" s="29">
        <f>EchelleFPAparam!$M$3+$B774</f>
        <v>-4.4710097172627861E-2</v>
      </c>
      <c r="F774" s="10">
        <f>ASIN($E771*$A771/(COS(F771)*2*EchelleFPAparam!$S$3*COS(-$C774/2)))-$C774/2</f>
        <v>1.158577265452043</v>
      </c>
      <c r="G774" s="29">
        <f>$F774*180/EchelleFPAparam!$O$3</f>
        <v>66.381586569566366</v>
      </c>
      <c r="H774" s="10">
        <v>420</v>
      </c>
      <c r="I774" s="10" t="s">
        <v>361</v>
      </c>
      <c r="J774" s="10">
        <f>A771</f>
        <v>2117.1263399999998</v>
      </c>
      <c r="K774" s="10">
        <f>B771+(D771-1)*2198</f>
        <v>4159</v>
      </c>
      <c r="L774" s="30">
        <f>C771</f>
        <v>1404</v>
      </c>
      <c r="M774" s="10">
        <f>E771</f>
        <v>27</v>
      </c>
      <c r="N774" s="29">
        <f>G774</f>
        <v>66.381586569566366</v>
      </c>
      <c r="O774" s="10">
        <f>H774</f>
        <v>420</v>
      </c>
    </row>
    <row r="775" spans="1:15" x14ac:dyDescent="0.2">
      <c r="A775" s="122">
        <v>2190.8505399999999</v>
      </c>
      <c r="B775" s="10">
        <v>1230</v>
      </c>
      <c r="C775" s="10">
        <v>1183</v>
      </c>
      <c r="D775" s="28">
        <v>3</v>
      </c>
      <c r="E775" s="10">
        <v>26</v>
      </c>
      <c r="F775" s="10">
        <f>(C775-$AE$12)*EchelleFPAparam!$C$3/EchelleFPAparam!$E$3</f>
        <v>-4.2023809523809522E-3</v>
      </c>
    </row>
    <row r="776" spans="1:15" x14ac:dyDescent="0.2">
      <c r="A776" s="122"/>
      <c r="B776" s="10">
        <f>B775+(D775-1)*2048-3072+(D775-2)*EchelleFPAparam!$B$3/EchelleFPAparam!$C$3</f>
        <v>2399</v>
      </c>
    </row>
    <row r="777" spans="1:15" x14ac:dyDescent="0.2">
      <c r="A777" s="122"/>
      <c r="B777" s="10">
        <f>B776*EchelleFPAparam!$C$3*COS(EchelleFPAparam!$AC$3)*$B$6</f>
        <v>43.601352788659128</v>
      </c>
    </row>
    <row r="778" spans="1:15" x14ac:dyDescent="0.2">
      <c r="A778" s="122"/>
      <c r="B778" s="10">
        <f>ATAN(B777/EchelleFPAparam!$E$3)</f>
        <v>2.8828884275688128E-2</v>
      </c>
      <c r="C778" s="29">
        <f>EchelleFPAparam!$M$3+$B778</f>
        <v>-2.7143825662645202E-2</v>
      </c>
      <c r="F778" s="10">
        <f>ASIN($E775*$A775/(COS(F775)*2*EchelleFPAparam!$S$3*COS(-$C778/2)))-$C778/2</f>
        <v>1.1419882792391274</v>
      </c>
      <c r="G778" s="29">
        <f>$F778*180/EchelleFPAparam!$O$3</f>
        <v>65.431107687206861</v>
      </c>
      <c r="H778" s="10">
        <v>520</v>
      </c>
      <c r="I778" s="10" t="s">
        <v>361</v>
      </c>
      <c r="J778" s="10">
        <f>A775</f>
        <v>2190.8505399999999</v>
      </c>
      <c r="K778" s="10">
        <f>B775+(D775-1)*2198</f>
        <v>5626</v>
      </c>
      <c r="L778" s="30">
        <f>C775</f>
        <v>1183</v>
      </c>
      <c r="M778" s="10">
        <f>E775</f>
        <v>26</v>
      </c>
      <c r="N778" s="29">
        <f>G778</f>
        <v>65.431107687206861</v>
      </c>
      <c r="O778" s="10">
        <f>H778</f>
        <v>520</v>
      </c>
    </row>
    <row r="779" spans="1:15" x14ac:dyDescent="0.2">
      <c r="A779" s="122">
        <v>2093.02</v>
      </c>
      <c r="B779" s="10">
        <v>429</v>
      </c>
      <c r="C779" s="10">
        <v>1397</v>
      </c>
      <c r="D779" s="28">
        <v>1</v>
      </c>
      <c r="E779" s="10">
        <v>27</v>
      </c>
      <c r="F779" s="10">
        <f>(C779-$AE$12)*EchelleFPAparam!$C$3/EchelleFPAparam!$E$3</f>
        <v>-1.6547619047619045E-3</v>
      </c>
    </row>
    <row r="780" spans="1:15" x14ac:dyDescent="0.2">
      <c r="A780" s="122"/>
      <c r="B780" s="10">
        <f>B779+(D779-1)*2048-3072+(D779-2)*EchelleFPAparam!$B$3/EchelleFPAparam!$C$3</f>
        <v>-2788</v>
      </c>
    </row>
    <row r="781" spans="1:15" x14ac:dyDescent="0.2">
      <c r="A781" s="122"/>
      <c r="B781" s="10">
        <f>B780*EchelleFPAparam!$C$3*COS(EchelleFPAparam!$AC$3)*$B$6</f>
        <v>-50.671351219167008</v>
      </c>
    </row>
    <row r="782" spans="1:15" x14ac:dyDescent="0.2">
      <c r="A782" s="122"/>
      <c r="B782" s="10">
        <f>ATAN(B781/EchelleFPAparam!$E$3)</f>
        <v>-3.3500260712824248E-2</v>
      </c>
      <c r="C782" s="29">
        <f>EchelleFPAparam!$M$3+$B782</f>
        <v>-8.9472970651157585E-2</v>
      </c>
      <c r="F782" s="10">
        <f>ASIN($E779*$A779/(COS(F779)*2*EchelleFPAparam!$S$3*COS(-$C782/2)))-$C782/2</f>
        <v>1.1585669438676132</v>
      </c>
      <c r="G782" s="29">
        <f>$F782*180/EchelleFPAparam!$O$3</f>
        <v>66.380995186349381</v>
      </c>
      <c r="H782" s="10">
        <v>420</v>
      </c>
      <c r="I782" s="10" t="s">
        <v>361</v>
      </c>
      <c r="J782" s="10">
        <f>A779</f>
        <v>2093.02</v>
      </c>
      <c r="K782" s="10">
        <f>B779+(D779-1)*2198</f>
        <v>429</v>
      </c>
      <c r="L782" s="30">
        <f>C779</f>
        <v>1397</v>
      </c>
      <c r="M782" s="10">
        <f>E779</f>
        <v>27</v>
      </c>
      <c r="N782" s="29">
        <f>G782</f>
        <v>66.380995186349381</v>
      </c>
      <c r="O782" s="10">
        <f>H782</f>
        <v>420</v>
      </c>
    </row>
    <row r="783" spans="1:15" x14ac:dyDescent="0.2">
      <c r="A783" s="122">
        <v>2334.6783</v>
      </c>
      <c r="B783" s="10">
        <v>1245</v>
      </c>
      <c r="C783" s="10">
        <v>686</v>
      </c>
      <c r="D783" s="28">
        <v>3</v>
      </c>
      <c r="E783" s="10">
        <v>24</v>
      </c>
      <c r="F783" s="10">
        <f>(C783-$AE$12)*EchelleFPAparam!$C$3/EchelleFPAparam!$E$3</f>
        <v>-1.0119047619047618E-2</v>
      </c>
    </row>
    <row r="784" spans="1:15" x14ac:dyDescent="0.2">
      <c r="A784" s="122"/>
      <c r="B784" s="10">
        <f>B783+(D783-1)*2048-3072+(D783-2)*EchelleFPAparam!$B$3/EchelleFPAparam!$C$3</f>
        <v>2414</v>
      </c>
    </row>
    <row r="785" spans="1:15" x14ac:dyDescent="0.2">
      <c r="A785" s="122"/>
      <c r="B785" s="10">
        <f>B784*EchelleFPAparam!$C$3*COS(EchelleFPAparam!$AC$3)*$B$6</f>
        <v>43.873974836108019</v>
      </c>
    </row>
    <row r="786" spans="1:15" x14ac:dyDescent="0.2">
      <c r="A786" s="122"/>
      <c r="B786" s="10">
        <f>ATAN(B785/EchelleFPAparam!$E$3)</f>
        <v>2.9009039113461321E-2</v>
      </c>
      <c r="C786" s="29">
        <f>EchelleFPAparam!$M$3+$B786</f>
        <v>-2.696367082487201E-2</v>
      </c>
      <c r="F786" s="10">
        <f>ASIN($E783*$A783/(COS(F783)*2*EchelleFPAparam!$S$3*COS(-$C786/2)))-$C786/2</f>
        <v>1.1086813586283701</v>
      </c>
      <c r="G786" s="29">
        <f>$F786*180/EchelleFPAparam!$O$3</f>
        <v>63.522761735824837</v>
      </c>
      <c r="H786" s="10">
        <v>720</v>
      </c>
      <c r="I786" s="121" t="s">
        <v>361</v>
      </c>
      <c r="J786" s="121">
        <v>2093.02</v>
      </c>
      <c r="K786" s="121">
        <v>429</v>
      </c>
      <c r="L786" s="135">
        <v>1397</v>
      </c>
      <c r="M786" s="121">
        <v>27</v>
      </c>
      <c r="N786" s="134">
        <f>G786</f>
        <v>63.522761735824837</v>
      </c>
      <c r="O786" s="121">
        <f>H786</f>
        <v>720</v>
      </c>
    </row>
  </sheetData>
  <mergeCells count="2">
    <mergeCell ref="A1:C1"/>
    <mergeCell ref="D1:S1"/>
  </mergeCells>
  <pageMargins left="0.75" right="0.75" top="1" bottom="1" header="0.5" footer="0.5"/>
  <pageSetup paperSize="0" scale="0" orientation="portrait" usePrinterDefaults="0" useFirstPageNumber="1" horizontalDpi="0" verticalDpi="0" copies="0"/>
  <headerFooter>
    <oddHeader>&amp;C&amp;"Times New Roman,Regular"&amp;12&amp;K000000&amp;A</oddHeader>
    <oddFooter>&amp;C&amp;"Times New Roman,Regular"&amp;12&amp;K000000Page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CoverPage (FilledByPDM)</vt:lpstr>
      <vt:lpstr>Table notes</vt:lpstr>
      <vt:lpstr>crmcfgWLEN.txt</vt:lpstr>
      <vt:lpstr>EchelleFPAparam</vt:lpstr>
      <vt:lpstr>Standard Settings</vt:lpstr>
      <vt:lpstr>crifors fudge</vt:lpstr>
      <vt:lpstr>encVangle</vt:lpstr>
      <vt:lpstr>CP_ApprovedBy</vt:lpstr>
      <vt:lpstr>CP_DocClassification</vt:lpstr>
      <vt:lpstr>CP_DocName</vt:lpstr>
      <vt:lpstr>CP_DocNumber</vt:lpstr>
      <vt:lpstr>CP_DocType</vt:lpstr>
      <vt:lpstr>CP_DocVersion</vt:lpstr>
      <vt:lpstr>CP_Job</vt:lpstr>
      <vt:lpstr>CP_PreparedBy</vt:lpstr>
      <vt:lpstr>CP_Programme</vt:lpstr>
      <vt:lpstr>CP_ReleasedOn</vt:lpstr>
      <vt:lpstr>CP_ValidatedBy</vt:lpstr>
      <vt:lpstr>DocName</vt:lpstr>
      <vt:lpstr>crmcfgWLEN.txt!temp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bristowp</cp:lastModifiedBy>
  <cp:revision>4</cp:revision>
  <dcterms:created xsi:type="dcterms:W3CDTF">2006-09-16T00:00:00Z</dcterms:created>
  <dcterms:modified xsi:type="dcterms:W3CDTF">2020-01-21T21:01:57Z</dcterms:modified>
  <cp:category/>
  <dc:identifier/>
  <cp:contentStatus/>
  <dc:language>en-US</dc:language>
  <cp:version/>
</cp:coreProperties>
</file>