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ndler Hutchens\Desktop\ASU Everything\ASU Fall 2022\MAE565\"/>
    </mc:Choice>
  </mc:AlternateContent>
  <xr:revisionPtr revIDLastSave="0" documentId="13_ncr:1_{2E9E6C7A-333D-45D5-AB28-71316783B777}" xr6:coauthVersionLast="47" xr6:coauthVersionMax="47" xr10:uidLastSave="{00000000-0000-0000-0000-000000000000}"/>
  <bookViews>
    <workbookView xWindow="1152" yWindow="720" windowWidth="17892" windowHeight="13680" xr2:uid="{6369F545-F2E9-654D-BA12-287A36C35FF7}"/>
  </bookViews>
  <sheets>
    <sheet name="Sheet1" sheetId="1" r:id="rId1"/>
  </sheets>
  <definedNames>
    <definedName name="_xlnm.Print_Area" localSheetId="0">Sheet1!$B$1:$F$310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0" i="1" l="1"/>
  <c r="D205" i="1"/>
  <c r="D123" i="1"/>
  <c r="D65" i="1"/>
  <c r="D309" i="1"/>
  <c r="D306" i="1"/>
  <c r="D305" i="1"/>
  <c r="D300" i="1"/>
  <c r="D297" i="1"/>
  <c r="D294" i="1"/>
  <c r="D295" i="1"/>
  <c r="D293" i="1"/>
  <c r="D291" i="1"/>
  <c r="D288" i="1"/>
  <c r="D287" i="1"/>
  <c r="D276" i="1"/>
  <c r="D275" i="1"/>
  <c r="D274" i="1"/>
  <c r="D271" i="1"/>
  <c r="D257" i="1"/>
  <c r="D260" i="1"/>
  <c r="D248" i="1"/>
  <c r="D238" i="1"/>
  <c r="D234" i="1"/>
  <c r="D231" i="1"/>
  <c r="D230" i="1"/>
  <c r="D228" i="1"/>
  <c r="D222" i="1"/>
  <c r="D220" i="1"/>
  <c r="D219" i="1"/>
  <c r="D216" i="1"/>
  <c r="D213" i="1"/>
  <c r="D212" i="1"/>
  <c r="D211" i="1"/>
  <c r="D208" i="1"/>
  <c r="D207" i="1"/>
  <c r="D206" i="1"/>
  <c r="D204" i="1"/>
  <c r="D203" i="1"/>
  <c r="D199" i="1"/>
  <c r="D200" i="1"/>
  <c r="D198" i="1"/>
  <c r="D193" i="1"/>
  <c r="D192" i="1"/>
  <c r="D191" i="1"/>
  <c r="D190" i="1"/>
  <c r="D138" i="1"/>
  <c r="D189" i="1"/>
  <c r="D185" i="1"/>
  <c r="D186" i="1"/>
  <c r="D183" i="1"/>
  <c r="D182" i="1"/>
  <c r="D181" i="1"/>
  <c r="D169" i="1"/>
  <c r="D163" i="1"/>
  <c r="D162" i="1"/>
  <c r="G158" i="1"/>
  <c r="D145" i="1"/>
  <c r="D144" i="1"/>
  <c r="D137" i="1"/>
  <c r="D120" i="1"/>
  <c r="D112" i="1"/>
  <c r="D111" i="1"/>
  <c r="D108" i="1"/>
  <c r="D76" i="1"/>
  <c r="D72" i="1"/>
  <c r="D53" i="1"/>
  <c r="D49" i="1"/>
  <c r="D43" i="1"/>
  <c r="H120" i="1"/>
  <c r="D277" i="1"/>
  <c r="D223" i="1"/>
  <c r="D94" i="1"/>
  <c r="D77" i="1"/>
  <c r="D116" i="1"/>
  <c r="D268" i="1"/>
  <c r="D91" i="1"/>
  <c r="H91" i="1"/>
  <c r="D179" i="1"/>
  <c r="D284" i="1"/>
  <c r="D232" i="1"/>
  <c r="D272" i="1"/>
  <c r="D267" i="1"/>
  <c r="D262" i="1"/>
  <c r="D168" i="1"/>
  <c r="D217" i="1"/>
  <c r="D215" i="1"/>
  <c r="D214" i="1"/>
  <c r="D195" i="1"/>
  <c r="D194" i="1"/>
  <c r="D180" i="1"/>
  <c r="D164" i="1"/>
  <c r="D153" i="1"/>
  <c r="D122" i="1"/>
  <c r="D118" i="1"/>
  <c r="D135" i="1"/>
  <c r="D134" i="1"/>
  <c r="D85" i="1"/>
  <c r="D60" i="1"/>
  <c r="D59" i="1"/>
  <c r="D64" i="1"/>
  <c r="D67" i="1"/>
  <c r="D78" i="1"/>
  <c r="D42" i="1"/>
  <c r="D158" i="1"/>
  <c r="D14" i="1"/>
  <c r="D84" i="1"/>
  <c r="D235" i="1"/>
  <c r="D263" i="1"/>
  <c r="D159" i="1"/>
  <c r="D87" i="1"/>
  <c r="D96" i="1"/>
  <c r="D101" i="1"/>
  <c r="D148" i="1"/>
  <c r="D89" i="1"/>
  <c r="D90" i="1"/>
  <c r="D52" i="1"/>
  <c r="D44" i="1"/>
  <c r="D54" i="1"/>
  <c r="D21" i="1"/>
  <c r="D22" i="1"/>
  <c r="D109" i="1"/>
  <c r="D32" i="1"/>
  <c r="D24" i="1"/>
  <c r="D29" i="1"/>
  <c r="D30" i="1"/>
  <c r="D197" i="1"/>
  <c r="D184" i="1"/>
  <c r="D150" i="1"/>
  <c r="D95" i="1"/>
  <c r="D149" i="1"/>
  <c r="D47" i="1"/>
  <c r="D154" i="1"/>
  <c r="D157" i="1"/>
  <c r="D246" i="1"/>
  <c r="D121" i="1"/>
  <c r="D167" i="1"/>
  <c r="D117" i="1"/>
  <c r="D209" i="1"/>
  <c r="D242" i="1"/>
  <c r="D225" i="1"/>
  <c r="D227" i="1"/>
  <c r="D224" i="1"/>
  <c r="D221" i="1"/>
  <c r="D243" i="1"/>
  <c r="D241" i="1"/>
  <c r="D252" i="1"/>
  <c r="D247" i="1"/>
  <c r="D244" i="1"/>
  <c r="D289" i="1"/>
  <c r="D299" i="1"/>
  <c r="D301" i="1"/>
  <c r="D303" i="1"/>
  <c r="D307" i="1"/>
</calcChain>
</file>

<file path=xl/sharedStrings.xml><?xml version="1.0" encoding="utf-8"?>
<sst xmlns="http://schemas.openxmlformats.org/spreadsheetml/2006/main" count="626" uniqueCount="316">
  <si>
    <t>LO2 Tankage</t>
  </si>
  <si>
    <t>kPa</t>
  </si>
  <si>
    <t>LO2 Density</t>
  </si>
  <si>
    <t>kg/m^3</t>
  </si>
  <si>
    <t>LH2 Density</t>
  </si>
  <si>
    <t>m</t>
  </si>
  <si>
    <t>LO2 Hydrostatic head before MOV</t>
  </si>
  <si>
    <t>SSME vertical acceleration (T/M)</t>
  </si>
  <si>
    <t>m/s^2</t>
  </si>
  <si>
    <t>LH2 Tankage</t>
  </si>
  <si>
    <t>LPOTP</t>
  </si>
  <si>
    <t>LO2 Pressure after MOV</t>
  </si>
  <si>
    <t xml:space="preserve">GO2 Pressure above liquid surface </t>
  </si>
  <si>
    <t>LO2 Tankage height above MOV</t>
  </si>
  <si>
    <t xml:space="preserve">GH2 Pressure above liquid surface </t>
  </si>
  <si>
    <t>LO2 Pressure at pump inlet</t>
  </si>
  <si>
    <t>kg/s</t>
  </si>
  <si>
    <t>MPa</t>
  </si>
  <si>
    <t>LPOTP Pump efficiency</t>
  </si>
  <si>
    <t>LPOTP Turbine efficiency</t>
  </si>
  <si>
    <t>---</t>
  </si>
  <si>
    <t>LPFTP</t>
  </si>
  <si>
    <t>LH2 Pressure at pump inlet</t>
  </si>
  <si>
    <t>LPFTP Pump efficiency</t>
  </si>
  <si>
    <t>LPFTP Turbine efficiency</t>
  </si>
  <si>
    <t>HPFTP</t>
  </si>
  <si>
    <t>LH2 Mass flow rate through pump</t>
  </si>
  <si>
    <t>LH2 Pressure Increase across pump</t>
  </si>
  <si>
    <t>LH2 Pressure exiting pump</t>
  </si>
  <si>
    <t>LH2 Pressure increase across pump</t>
  </si>
  <si>
    <t>LO2 Mass flow rate through pump</t>
  </si>
  <si>
    <t>LO2 Pressure Increase across pump</t>
  </si>
  <si>
    <t>LO2 Pressure exiting pump</t>
  </si>
  <si>
    <t>LH2 Temperature exiting pump</t>
  </si>
  <si>
    <t>K</t>
  </si>
  <si>
    <t>HPFTP Pump efficiency</t>
  </si>
  <si>
    <t>LO2 Specific heat C_v</t>
  </si>
  <si>
    <t>LH2 Specific heat C_v</t>
  </si>
  <si>
    <t>GO2 Specific heat C_p</t>
  </si>
  <si>
    <t>GH2 Specific Heat C_p</t>
  </si>
  <si>
    <t>J/kg-K</t>
  </si>
  <si>
    <t>LH2 Temperature entering pump</t>
  </si>
  <si>
    <t>Pump Section</t>
  </si>
  <si>
    <t>Turbine Section</t>
  </si>
  <si>
    <t>LO2 Temperature entering pump</t>
  </si>
  <si>
    <t>LO2 Temperature after MOV</t>
  </si>
  <si>
    <t>LO2 Temperature exiting pump</t>
  </si>
  <si>
    <t>LO2 Temperature in Tank</t>
  </si>
  <si>
    <t>LH2 Temperature in Tank</t>
  </si>
  <si>
    <t>LH2 Mass flow rate for thrust chamber cooling</t>
  </si>
  <si>
    <t>LH2 Mass flow rate for expansion nozzle cooling</t>
  </si>
  <si>
    <t>HP LH2 Flow Splits</t>
  </si>
  <si>
    <t>LH2 Temperature entering thrust chamber cooling</t>
  </si>
  <si>
    <t>LH2 Pressure after fuel valve</t>
  </si>
  <si>
    <t>LH2 Temperature after fuel valve</t>
  </si>
  <si>
    <t>LH2 Pressure entering thrust chamber cooling</t>
  </si>
  <si>
    <t>GH2 Temperature exiting thrust chamber cooling</t>
  </si>
  <si>
    <t>GH2 Pressure exiting thrust chamber cooling</t>
  </si>
  <si>
    <t>GH2 Temperature entering expansion nozzle cooling</t>
  </si>
  <si>
    <t>GH2 Pressure entering expansion nozzle cooling</t>
  </si>
  <si>
    <t>GH2 Temperature exiting expansion nozzle cooling</t>
  </si>
  <si>
    <t>GH2 Pressure exiting expansion nozzle cooling</t>
  </si>
  <si>
    <t>GH2 Temperature going to preburners</t>
  </si>
  <si>
    <t>GH2 Pressure going to preburners</t>
  </si>
  <si>
    <t>Preburner</t>
  </si>
  <si>
    <t>GH2 Mass flow rate entering preburner</t>
  </si>
  <si>
    <t>Preburner product gas temperature</t>
  </si>
  <si>
    <t>Preburner product gas pressure</t>
  </si>
  <si>
    <t>GH2 Pressure entering preburner</t>
  </si>
  <si>
    <t>GH2 Temperature entering preburner</t>
  </si>
  <si>
    <t>Preburner O/F mass ratio</t>
  </si>
  <si>
    <t>Turbine inlet gas temperature</t>
  </si>
  <si>
    <t>Turbine inlet gas pressure</t>
  </si>
  <si>
    <t>Turbine outlet gas temperature</t>
  </si>
  <si>
    <t>Turbine outlet gas pressure</t>
  </si>
  <si>
    <t>MW</t>
  </si>
  <si>
    <t>Turbine isentropic efficiency</t>
  </si>
  <si>
    <t>LO2 Mass flow rate entering preburner from LO2 boost pump</t>
  </si>
  <si>
    <t>LO2 Temperature entering preburner from LO2 boost pump</t>
  </si>
  <si>
    <t>LO2 Pressure entering preburner from LO2 boost pump</t>
  </si>
  <si>
    <t>Preburner product gas gamma value</t>
  </si>
  <si>
    <t>HPOTP</t>
  </si>
  <si>
    <t>Boost Pump</t>
  </si>
  <si>
    <t>HPOTP Pump efficiency</t>
  </si>
  <si>
    <t>LO2 Pressure entering boost pump</t>
  </si>
  <si>
    <t>LO2 Temperature entering boost pump</t>
  </si>
  <si>
    <t>LO2 Pressure exiting boost pump</t>
  </si>
  <si>
    <t>Boost pump efficiency</t>
  </si>
  <si>
    <t>LO2 Temperature exiting boost pump</t>
  </si>
  <si>
    <t>Boost pump power</t>
  </si>
  <si>
    <t>LO2 Mass flow rate through boost pump</t>
  </si>
  <si>
    <t>LH2 Tankage height above fuel valve</t>
  </si>
  <si>
    <t>LH2 Hydrostatic head before fuel valve</t>
  </si>
  <si>
    <t>Main Injectors</t>
  </si>
  <si>
    <t>Turbine pressure ratio p_in / p_out</t>
  </si>
  <si>
    <t>Preburner product gas C_p value</t>
  </si>
  <si>
    <t xml:space="preserve">GH2-rich product mass flow rate from HPFTP supplied to injectors </t>
  </si>
  <si>
    <t xml:space="preserve">GH2-rich product temperature from HPFTP supplied to injectors </t>
  </si>
  <si>
    <t xml:space="preserve">GH2-rich product C_p from HPFTP supplied to injectors </t>
  </si>
  <si>
    <t xml:space="preserve">GH2-rich product mass flow rate from HPOTP supplied to injectors </t>
  </si>
  <si>
    <t xml:space="preserve">GH2-rich product temperature from HPOTP supplied to injectors </t>
  </si>
  <si>
    <t xml:space="preserve">GH2-rich product C_p from HPOTP supplied to injectors </t>
  </si>
  <si>
    <t>Total GH2-rich preburner product mass flow supplied to injectors</t>
  </si>
  <si>
    <t>LO2 Temperature entering turbine</t>
  </si>
  <si>
    <t>LO2 Pressure entering turbine</t>
  </si>
  <si>
    <t>LO2 Mass flow rate through turbine</t>
  </si>
  <si>
    <t>kW</t>
  </si>
  <si>
    <t>LO2 Pressure exiting turbine</t>
  </si>
  <si>
    <t>LPOTP Turbine power</t>
  </si>
  <si>
    <t>LO2 Temperature exiting turbine</t>
  </si>
  <si>
    <t>LPOTP Pump power</t>
  </si>
  <si>
    <t>Turbine outlet mass flux</t>
  </si>
  <si>
    <t>Y_H2 in combined GH2-rich preburner flows supplied to injectors</t>
  </si>
  <si>
    <t>Y_H2O in combined GH2-rich preburner flows supplied to injectors</t>
  </si>
  <si>
    <t>Temperature of combined GH2-rich preburner flows to injectors</t>
  </si>
  <si>
    <t>C_p of combined GH2-rich preburner flows to injectors</t>
  </si>
  <si>
    <t>Pressure of combined GH2-rich preburner flows to injectors</t>
  </si>
  <si>
    <t xml:space="preserve">GH2-rich product MW from HPFTP supplied to injectors </t>
  </si>
  <si>
    <t xml:space="preserve">GH2-rich product MW from HPOTP supplied to injectors </t>
  </si>
  <si>
    <t>Preburner product gas MW value</t>
  </si>
  <si>
    <t>g/mol</t>
  </si>
  <si>
    <t>Thrust Chamber</t>
  </si>
  <si>
    <t>Expansion Nozzle</t>
  </si>
  <si>
    <t>GH2 Pressure drop across injectors</t>
  </si>
  <si>
    <t>GH2 Pressure at exit of injectors</t>
  </si>
  <si>
    <t>LO2 Pressure drop across injectors</t>
  </si>
  <si>
    <t>LO2 Pressure at exit of injectors</t>
  </si>
  <si>
    <t>GH2 Injectors</t>
  </si>
  <si>
    <t>LO2 Injectors</t>
  </si>
  <si>
    <t>LO2 mass flow rate from HPOTP supplied to injectors</t>
  </si>
  <si>
    <t>LO2 Temperature from HPOTP supplied to injectors</t>
  </si>
  <si>
    <t>LO2 Pressure from HPOTP supplied to injectors</t>
  </si>
  <si>
    <t>Combustion product gas temperature in combustion chamber</t>
  </si>
  <si>
    <t>Combustion product gas pressure in combustion chamber</t>
  </si>
  <si>
    <t>Combustion product gas Cp value in combustion chamber</t>
  </si>
  <si>
    <t>Combustion product gas gamma value in combustion chamber</t>
  </si>
  <si>
    <t>Combustion product gas mass flux exiting combustion chamber</t>
  </si>
  <si>
    <t>Throat area A*</t>
  </si>
  <si>
    <t>Nozzle exit area A_e</t>
  </si>
  <si>
    <t>Nozzle isentropic efficiency</t>
  </si>
  <si>
    <t>Thrust</t>
  </si>
  <si>
    <t>Combustion chamber diameter</t>
  </si>
  <si>
    <t>Combustion chamber cross-sectional area A_C</t>
  </si>
  <si>
    <t>Ratio of A_C over A*</t>
  </si>
  <si>
    <t>Liquid or gas flows through pump?</t>
  </si>
  <si>
    <t>Liquid or gas flows through turbine?</t>
  </si>
  <si>
    <t>LPFTP Pump power</t>
  </si>
  <si>
    <t>LPFTP Turbine power</t>
  </si>
  <si>
    <t>HPFTP Pump power</t>
  </si>
  <si>
    <t>HPFTP Turbine power</t>
  </si>
  <si>
    <t>HPOTP Turbine power</t>
  </si>
  <si>
    <t>HPOTP Pump power</t>
  </si>
  <si>
    <t>LH2 mass flow rate bypassing thrust chamber and nozzle</t>
  </si>
  <si>
    <t>Resulting GH2 pressure after expanding bypass LH2 to GH2</t>
  </si>
  <si>
    <t>Resulting GH2 temperature after expanding bypass LH2 to GH2</t>
  </si>
  <si>
    <t>GH2 Combined total mass flow rate going to preburners</t>
  </si>
  <si>
    <t>Preburner product gas Y_H2</t>
  </si>
  <si>
    <t>Preburner product gas mass flux</t>
  </si>
  <si>
    <t>MW of combined GH2-rich preburner flows to injectors</t>
  </si>
  <si>
    <t xml:space="preserve">GH2-rich product pressure from HPFTP supplied to injectors </t>
  </si>
  <si>
    <t>Y_H2 in combined GH2-rich preburner flows entering MCC</t>
  </si>
  <si>
    <t xml:space="preserve">Main combustion chamber (MCC) overall O/F mass ratio </t>
  </si>
  <si>
    <t>Main combustion chamber (MCC) pressure</t>
  </si>
  <si>
    <t>Y_H2O in combined GH2-rich preburner flows entering MCC</t>
  </si>
  <si>
    <t>Temperature of combined GH2-rich preburner flows entering MCC</t>
  </si>
  <si>
    <t>Mass flow rate of combined GH2-rich preburner flows entering MCC</t>
  </si>
  <si>
    <t>Mass flow rate of LO2 entering MCC</t>
  </si>
  <si>
    <t>Resulting O/F mixture fraction (mass ratio) entering MCC</t>
  </si>
  <si>
    <t>cm</t>
  </si>
  <si>
    <t>m^2</t>
  </si>
  <si>
    <t>Throat diameter</t>
  </si>
  <si>
    <t>m/s</t>
  </si>
  <si>
    <t>Combustion product gas MW in combustion chamber</t>
  </si>
  <si>
    <t>Nozzle exit diameter</t>
  </si>
  <si>
    <t>Nozzle A_e/A*</t>
  </si>
  <si>
    <t>O2/H2 mass flux ratio entering MCC</t>
  </si>
  <si>
    <t>M_e from non-isentropic nozzle flow w/ gamma entering nozzle</t>
  </si>
  <si>
    <t>M_e from non-isentropic nozzle flow w/ gamma exiting nozzle</t>
  </si>
  <si>
    <t>p_e from non-isentropic nozzle flow w/ gamma entering nozzle</t>
  </si>
  <si>
    <t>T_e from non-isentropic nozzle flow w/ gamma entering nozzle</t>
  </si>
  <si>
    <t>V_e from non-isentropic nozzle flow w/ gamma entering nozzle</t>
  </si>
  <si>
    <t>p_e from non-isentropic nozzle flow w/ gamma exiting nozzle</t>
  </si>
  <si>
    <t>T_e from non-isentropic nozzle flow w/ gamma exiting nozzle</t>
  </si>
  <si>
    <t>V_e from non-isentropic nozzle flow w/ gamma exiting nozzle</t>
  </si>
  <si>
    <t>Combustion product gas gamma value entering nozzle</t>
  </si>
  <si>
    <t>Combustion product gas gamma value exiting nozzle</t>
  </si>
  <si>
    <t>p_e/p_t2  from non-isentropic nozzle flow w/ gamma entering nozzle</t>
  </si>
  <si>
    <t>Combustion product gas MW entering nozzle</t>
  </si>
  <si>
    <t>Combustion product gas MW exiting nozzle</t>
  </si>
  <si>
    <t>kN</t>
  </si>
  <si>
    <t>%</t>
  </si>
  <si>
    <t>Nozzle divergence thrust loss</t>
  </si>
  <si>
    <t>GH2 Mass flow rate through turbine</t>
  </si>
  <si>
    <t>GH2 Pressure at turbine outlet</t>
  </si>
  <si>
    <t>GH2 Temperature at turbine outlet</t>
  </si>
  <si>
    <t>GH2 Pressure at turbine inlet</t>
  </si>
  <si>
    <t>GH2 Temperature at turbine inlet</t>
  </si>
  <si>
    <t>Inlet</t>
  </si>
  <si>
    <t>Outlet</t>
  </si>
  <si>
    <t>Fluid (Gas and Liquid) Properties</t>
  </si>
  <si>
    <t>GH2 Pressure ratio across turbine</t>
  </si>
  <si>
    <t>GH2 Gamma value</t>
  </si>
  <si>
    <t>Resulting pressure thrust (SL)</t>
  </si>
  <si>
    <t>Resulting nominal thrust (SL)</t>
  </si>
  <si>
    <t>Resulting divergence-corrected thrust (SL)</t>
  </si>
  <si>
    <t>Specific Impulse I_sp (SL)</t>
  </si>
  <si>
    <t>s</t>
  </si>
  <si>
    <t>Specific Impulse I_sp (vac)</t>
  </si>
  <si>
    <t>Actual thrust coefficient C_T (SL)</t>
  </si>
  <si>
    <t>Ideal thrust coefficient (C_T)_ideal (SL)</t>
  </si>
  <si>
    <t>Resulting nozzle C_T efficiency (SL)</t>
  </si>
  <si>
    <t>Resulting jet thrust (SL)</t>
  </si>
  <si>
    <t>Sea Level (SL)</t>
  </si>
  <si>
    <t>Vacuum (vac)</t>
  </si>
  <si>
    <t>Resulting jet thrust (vac)</t>
  </si>
  <si>
    <t>Resulting pressure thrust (vac)</t>
  </si>
  <si>
    <t>Resulting nominal thrust (vac)</t>
  </si>
  <si>
    <t>Resulting divergence-corrected thrust (vac)</t>
  </si>
  <si>
    <t>Actual thrust coefficient C_T (vac)</t>
  </si>
  <si>
    <t>Ideal thrust coefficient (C_T)_ideal (vac)</t>
  </si>
  <si>
    <t>Resulting nozzle C_T efficiency (vac)</t>
  </si>
  <si>
    <t>Frozen flow</t>
  </si>
  <si>
    <t>Shifting Equilibrium</t>
  </si>
  <si>
    <t>LO2 Total head before MOV</t>
  </si>
  <si>
    <t>LH2 Total head before fuel valve</t>
  </si>
  <si>
    <t>LH2 Pressure drop between LPFTP outlet and HPFTP inlet</t>
  </si>
  <si>
    <t>LH2 Percentage from HPFTP going to thrust chamber cooling</t>
  </si>
  <si>
    <t>LH2 Percentage from HPFTP going to expansion nozzle cooling</t>
  </si>
  <si>
    <t>LH2 Percentage from HPFTP bypassing thrust chamber and nozzle</t>
  </si>
  <si>
    <t>GH2 Percentage of rejoined GH2 flows going to HPFTP preburner</t>
  </si>
  <si>
    <t>GH2 Percentage of rejoined GH2 flows going to HPOTP preburner</t>
  </si>
  <si>
    <t>GH2 Mass flow rate from LPFTP turbine supplied to injectors</t>
  </si>
  <si>
    <t>GH2 Temperature from LPFTP turbine supplied to injectors</t>
  </si>
  <si>
    <t>GH2 Pressure from LPFTP turbine supplied to injectors</t>
  </si>
  <si>
    <t>Combined GH2-rich mass flow rate from fuel side going to injectors</t>
  </si>
  <si>
    <t>Combined GH2-rich temperature from fuel side going to injectors</t>
  </si>
  <si>
    <t>Combined GH2-rich pressure from fuel side going to injectors</t>
  </si>
  <si>
    <t>Combined Y_H2 in GH2-rich flow from fuel side going to injectors</t>
  </si>
  <si>
    <t>GH2-rich product Y_H2 from HPFTP supplied to injectors</t>
  </si>
  <si>
    <t>GH2-rich product Y_H2O from HPFTP supplied to injectors</t>
  </si>
  <si>
    <t>Combined Y_H2O in GH2-rich flow from fuel side going to injectors</t>
  </si>
  <si>
    <t>GH2 C_p from LPFTP turbine supplied to injectors</t>
  </si>
  <si>
    <t>GH2 MW from LPFTP turbine supplied to injectors</t>
  </si>
  <si>
    <t>Combined C_p in GH2-rich flow from fuel side going to injectors</t>
  </si>
  <si>
    <t>Combined MW of GH2-rich flow from fuel side going to injectors</t>
  </si>
  <si>
    <t xml:space="preserve">GH2-rich product Y_H2 from HPOTP supplied to injectors </t>
  </si>
  <si>
    <t xml:space="preserve">GH2-rich product Y_H2O from HPOTP supplied to injectors </t>
  </si>
  <si>
    <t>Preburner product gas Y_H2O</t>
  </si>
  <si>
    <t>Liquid</t>
  </si>
  <si>
    <t>Stated in LPOTP Section</t>
  </si>
  <si>
    <t>Implied from in LPOTP Section</t>
  </si>
  <si>
    <t>Eq 10</t>
  </si>
  <si>
    <t>Eq 11</t>
  </si>
  <si>
    <t>Delta P = P2 - P1</t>
  </si>
  <si>
    <t>Given in C23</t>
  </si>
  <si>
    <t>Same as C42</t>
  </si>
  <si>
    <t>Eq 21</t>
  </si>
  <si>
    <t>Eq 20</t>
  </si>
  <si>
    <t>Same as C44, Power Pump = Turbine</t>
  </si>
  <si>
    <t>From HPOTP Section, See Page 4 for explaination</t>
  </si>
  <si>
    <t>Gas</t>
  </si>
  <si>
    <t>Given in C31</t>
  </si>
  <si>
    <t>Given in C3</t>
  </si>
  <si>
    <t>Same as C65</t>
  </si>
  <si>
    <t>Same as C67, Power Pump = Turbine</t>
  </si>
  <si>
    <t>Eq 22</t>
  </si>
  <si>
    <t>Eq 24</t>
  </si>
  <si>
    <t>Same as C61</t>
  </si>
  <si>
    <t>Same as C49 + C38</t>
  </si>
  <si>
    <t>Same as C43</t>
  </si>
  <si>
    <t>C64 - C83</t>
  </si>
  <si>
    <t>Pin/1.3</t>
  </si>
  <si>
    <t>Same as C149, Comes from HPOTP</t>
  </si>
  <si>
    <t>Regenerative Cooling section</t>
  </si>
  <si>
    <t>C108 + C101</t>
  </si>
  <si>
    <t>Same as C126</t>
  </si>
  <si>
    <t>Same as C127</t>
  </si>
  <si>
    <t>Pin/Pratio</t>
  </si>
  <si>
    <t>Same as C123</t>
  </si>
  <si>
    <t>LH2</t>
  </si>
  <si>
    <t>Two temperatures colliding (bottom equation)</t>
  </si>
  <si>
    <t>Two flows at same pressure</t>
  </si>
  <si>
    <t>Given in Preburner section</t>
  </si>
  <si>
    <t>Given in HPOTP Pump</t>
  </si>
  <si>
    <t xml:space="preserve">Boost Pump </t>
  </si>
  <si>
    <t>Power pump = Power Turbine</t>
  </si>
  <si>
    <t>Given from GH2 &amp; LH2 Proporties PDF</t>
  </si>
  <si>
    <t>Temp combine equation</t>
  </si>
  <si>
    <t>Mass flow rate combine equation</t>
  </si>
  <si>
    <t xml:space="preserve">Pressure combine equation </t>
  </si>
  <si>
    <t>Eq. 24</t>
  </si>
  <si>
    <t>Eq. 22</t>
  </si>
  <si>
    <t>Cp combine equation</t>
  </si>
  <si>
    <t>MW combine</t>
  </si>
  <si>
    <t>C225-C227</t>
  </si>
  <si>
    <t>C232-C234</t>
  </si>
  <si>
    <t>Given in Thrust section</t>
  </si>
  <si>
    <t>Potentially 3760 from Thrust section</t>
  </si>
  <si>
    <t xml:space="preserve">Potentially 16.5 from Thrust section </t>
  </si>
  <si>
    <t xml:space="preserve">Potentially 1.13 from Thrust section </t>
  </si>
  <si>
    <t>Potentially 8571 from Thrust section</t>
  </si>
  <si>
    <t>(mdot_LO2)/(Y_GH2*mdot_product_mass_flow)</t>
  </si>
  <si>
    <t>See Matlab Code</t>
  </si>
  <si>
    <t>Pe/Pt2 equation from Notes 11/16</t>
  </si>
  <si>
    <t>Me equation from Notes 11/16</t>
  </si>
  <si>
    <t>Tt2=Tte</t>
  </si>
  <si>
    <t>Was C205</t>
  </si>
  <si>
    <t>Ve = Me*Ae</t>
  </si>
  <si>
    <t>Mdot*Ve</t>
  </si>
  <si>
    <t>(Pe-Pinf)*Ae</t>
  </si>
  <si>
    <t>Veq/g</t>
  </si>
  <si>
    <t>Ct_ideal_vacuum eq Notes 8/31</t>
  </si>
  <si>
    <t>Equal to Turbine?</t>
  </si>
  <si>
    <t>T/(Pt2*As)</t>
  </si>
  <si>
    <t>Veq = T/Mdot</t>
  </si>
  <si>
    <t>Given in C24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</si>
</sst>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0"/>
  </numFmts>
  <fonts count="6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sz val="10"/>
      <name val="Noto Sans"/>
      <family val="2"/>
    </font>
    <font>
      <sz val="10"/>
      <color rgb="FF000000"/>
      <name val="Inherit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2" borderId="0" xfId="0" applyFill="1"/>
    <xf numFmtId="1" fontId="0" fillId="2" borderId="0" xfId="0" applyNumberFormat="1" applyFill="1"/>
    <xf numFmtId="1" fontId="0" fillId="3" borderId="0" xfId="0" applyNumberFormat="1" applyFill="1"/>
    <xf numFmtId="0" fontId="0" fillId="0" borderId="0" xfId="0" quotePrefix="1"/>
    <xf numFmtId="0" fontId="0" fillId="4" borderId="0" xfId="0" applyFill="1"/>
    <xf numFmtId="0" fontId="0" fillId="3" borderId="0" xfId="0" applyFill="1"/>
    <xf numFmtId="0" fontId="1" fillId="0" borderId="0" xfId="0" applyFont="1" applyAlignment="1">
      <alignment horizontal="right"/>
    </xf>
    <xf numFmtId="1" fontId="0" fillId="4" borderId="0" xfId="0" applyNumberFormat="1" applyFill="1"/>
    <xf numFmtId="0" fontId="1" fillId="5" borderId="0" xfId="0" applyFont="1" applyFill="1"/>
    <xf numFmtId="0" fontId="0" fillId="5" borderId="0" xfId="0" applyFill="1"/>
    <xf numFmtId="2" fontId="0" fillId="4" borderId="0" xfId="0" applyNumberFormat="1" applyFill="1"/>
    <xf numFmtId="164" fontId="0" fillId="4" borderId="0" xfId="0" applyNumberFormat="1" applyFill="1"/>
    <xf numFmtId="0" fontId="2" fillId="0" borderId="0" xfId="0" applyFont="1"/>
    <xf numFmtId="164" fontId="0" fillId="3" borderId="0" xfId="0" applyNumberFormat="1" applyFill="1"/>
    <xf numFmtId="1" fontId="0" fillId="0" borderId="0" xfId="0" applyNumberFormat="1"/>
    <xf numFmtId="164" fontId="0" fillId="0" borderId="0" xfId="0" applyNumberFormat="1"/>
    <xf numFmtId="165" fontId="0" fillId="2" borderId="0" xfId="0" applyNumberFormat="1" applyFill="1"/>
    <xf numFmtId="165" fontId="0" fillId="4" borderId="0" xfId="0" applyNumberFormat="1" applyFill="1"/>
    <xf numFmtId="0" fontId="1" fillId="0" borderId="0" xfId="0" applyFont="1"/>
    <xf numFmtId="0" fontId="0" fillId="4" borderId="0" xfId="0" applyFill="1" applyAlignment="1">
      <alignment horizontal="right"/>
    </xf>
    <xf numFmtId="165" fontId="0" fillId="3" borderId="0" xfId="0" applyNumberFormat="1" applyFill="1"/>
    <xf numFmtId="2" fontId="0" fillId="2" borderId="0" xfId="0" applyNumberFormat="1" applyFill="1"/>
    <xf numFmtId="164" fontId="0" fillId="2" borderId="0" xfId="0" applyNumberFormat="1" applyFill="1"/>
    <xf numFmtId="166" fontId="0" fillId="4" borderId="0" xfId="0" applyNumberFormat="1" applyFill="1"/>
    <xf numFmtId="2" fontId="0" fillId="3" borderId="0" xfId="0" applyNumberFormat="1" applyFill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right"/>
    </xf>
    <xf numFmtId="0" fontId="0" fillId="0" borderId="0" xfId="0" applyAlignment="1">
      <alignment horizontal="left"/>
    </xf>
    <xf numFmtId="0" fontId="4" fillId="0" borderId="0" xfId="0" applyFont="1"/>
    <xf numFmtId="0" fontId="5" fillId="0" borderId="0" xfId="0" applyFont="1" applyAlignment="1">
      <alignment horizontal="left" vertical="center" wrapText="1" indent="4"/>
    </xf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851646</xdr:colOff>
      <xdr:row>2</xdr:row>
      <xdr:rowOff>11205</xdr:rowOff>
    </xdr:from>
    <xdr:to>
      <xdr:col>14</xdr:col>
      <xdr:colOff>268401</xdr:colOff>
      <xdr:row>26</xdr:row>
      <xdr:rowOff>55108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55916EA-E655-9048-E0AE-59FD7CAFB5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98205" y="414617"/>
          <a:ext cx="6706181" cy="489246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D80DA-F111-2A4B-A70D-41FCA075FC57}">
  <dimension ref="A1:I310"/>
  <sheetViews>
    <sheetView tabSelected="1" topLeftCell="D1" zoomScale="85" zoomScaleNormal="85" workbookViewId="0">
      <selection activeCell="K30" sqref="K30"/>
    </sheetView>
  </sheetViews>
  <sheetFormatPr defaultColWidth="11.19921875" defaultRowHeight="15.6"/>
  <cols>
    <col min="2" max="2" width="17.796875" customWidth="1"/>
    <col min="3" max="3" width="62.19921875" customWidth="1"/>
    <col min="4" max="4" width="13.69921875" bestFit="1" customWidth="1"/>
    <col min="6" max="6" width="12.19921875" style="26" bestFit="1" customWidth="1"/>
    <col min="7" max="7" width="17.5" bestFit="1" customWidth="1"/>
  </cols>
  <sheetData>
    <row r="1" spans="2:6">
      <c r="B1" s="9" t="s">
        <v>199</v>
      </c>
      <c r="C1" s="10"/>
      <c r="D1" s="10"/>
      <c r="E1" s="10"/>
    </row>
    <row r="2" spans="2:6">
      <c r="C2" t="s">
        <v>47</v>
      </c>
      <c r="D2" s="1">
        <v>90</v>
      </c>
      <c r="E2" t="s">
        <v>34</v>
      </c>
      <c r="F2"/>
    </row>
    <row r="3" spans="2:6">
      <c r="C3" t="s">
        <v>48</v>
      </c>
      <c r="D3" s="1">
        <v>20</v>
      </c>
      <c r="E3" t="s">
        <v>34</v>
      </c>
      <c r="F3"/>
    </row>
    <row r="4" spans="2:6">
      <c r="F4"/>
    </row>
    <row r="5" spans="2:6">
      <c r="C5" t="s">
        <v>2</v>
      </c>
      <c r="D5" s="1">
        <v>1141</v>
      </c>
      <c r="E5" t="s">
        <v>3</v>
      </c>
      <c r="F5"/>
    </row>
    <row r="6" spans="2:6">
      <c r="C6" t="s">
        <v>4</v>
      </c>
      <c r="D6" s="1">
        <v>70.8</v>
      </c>
      <c r="E6" t="s">
        <v>3</v>
      </c>
      <c r="F6"/>
    </row>
    <row r="7" spans="2:6">
      <c r="F7"/>
    </row>
    <row r="8" spans="2:6">
      <c r="C8" t="s">
        <v>36</v>
      </c>
      <c r="D8" s="1">
        <v>1669</v>
      </c>
      <c r="E8" t="s">
        <v>40</v>
      </c>
      <c r="F8"/>
    </row>
    <row r="9" spans="2:6">
      <c r="C9" t="s">
        <v>37</v>
      </c>
      <c r="D9" s="1">
        <v>9668</v>
      </c>
      <c r="E9" t="s">
        <v>40</v>
      </c>
      <c r="F9"/>
    </row>
    <row r="10" spans="2:6">
      <c r="F10"/>
    </row>
    <row r="11" spans="2:6">
      <c r="C11" t="s">
        <v>38</v>
      </c>
      <c r="D11" s="1">
        <v>919.1</v>
      </c>
      <c r="E11" t="s">
        <v>40</v>
      </c>
      <c r="F11"/>
    </row>
    <row r="12" spans="2:6">
      <c r="C12" t="s">
        <v>39</v>
      </c>
      <c r="D12" s="1">
        <v>14340</v>
      </c>
      <c r="E12" t="s">
        <v>40</v>
      </c>
      <c r="F12"/>
    </row>
    <row r="13" spans="2:6">
      <c r="D13" s="1"/>
      <c r="F13"/>
    </row>
    <row r="14" spans="2:6">
      <c r="C14" t="s">
        <v>201</v>
      </c>
      <c r="D14" s="17">
        <f xml:space="preserve"> D12/D9</f>
        <v>1.4832436905254447</v>
      </c>
      <c r="E14" s="4" t="s">
        <v>20</v>
      </c>
      <c r="F14"/>
    </row>
    <row r="15" spans="2:6">
      <c r="F15"/>
    </row>
    <row r="16" spans="2:6">
      <c r="C16" t="s">
        <v>7</v>
      </c>
      <c r="D16" s="1">
        <v>14.9</v>
      </c>
      <c r="E16" t="s">
        <v>8</v>
      </c>
      <c r="F16"/>
    </row>
    <row r="17" spans="2:6">
      <c r="F17"/>
    </row>
    <row r="18" spans="2:6">
      <c r="B18" s="9" t="s">
        <v>0</v>
      </c>
      <c r="C18" s="10"/>
      <c r="D18" s="10"/>
      <c r="E18" s="10"/>
      <c r="F18"/>
    </row>
    <row r="19" spans="2:6">
      <c r="C19" t="s">
        <v>12</v>
      </c>
      <c r="D19" s="1">
        <v>246</v>
      </c>
      <c r="E19" t="s">
        <v>1</v>
      </c>
      <c r="F19"/>
    </row>
    <row r="20" spans="2:6">
      <c r="C20" t="s">
        <v>13</v>
      </c>
      <c r="D20">
        <v>40</v>
      </c>
      <c r="E20" t="s">
        <v>5</v>
      </c>
      <c r="F20"/>
    </row>
    <row r="21" spans="2:6">
      <c r="C21" t="s">
        <v>6</v>
      </c>
      <c r="D21" s="2">
        <f xml:space="preserve"> $D$5 * (9.8 + $D$16) * $D$20 / 1000</f>
        <v>1127.3080000000002</v>
      </c>
      <c r="E21" t="s">
        <v>1</v>
      </c>
      <c r="F21"/>
    </row>
    <row r="22" spans="2:6">
      <c r="C22" t="s">
        <v>223</v>
      </c>
      <c r="D22" s="2">
        <f xml:space="preserve"> D21+D19</f>
        <v>1373.3080000000002</v>
      </c>
      <c r="E22" t="s">
        <v>1</v>
      </c>
      <c r="F22"/>
    </row>
    <row r="23" spans="2:6">
      <c r="C23" t="s">
        <v>11</v>
      </c>
      <c r="D23" s="2">
        <v>689</v>
      </c>
      <c r="E23" t="s">
        <v>1</v>
      </c>
      <c r="F23"/>
    </row>
    <row r="24" spans="2:6">
      <c r="C24" t="s">
        <v>45</v>
      </c>
      <c r="D24" s="2">
        <f xml:space="preserve"> D2</f>
        <v>90</v>
      </c>
      <c r="E24" t="s">
        <v>34</v>
      </c>
      <c r="F24"/>
    </row>
    <row r="25" spans="2:6">
      <c r="F25"/>
    </row>
    <row r="26" spans="2:6">
      <c r="B26" s="9" t="s">
        <v>9</v>
      </c>
      <c r="C26" s="10"/>
      <c r="D26" s="10"/>
      <c r="E26" s="10"/>
      <c r="F26"/>
    </row>
    <row r="27" spans="2:6">
      <c r="C27" t="s">
        <v>14</v>
      </c>
      <c r="D27" s="1">
        <v>225</v>
      </c>
      <c r="E27" t="s">
        <v>1</v>
      </c>
      <c r="F27"/>
    </row>
    <row r="28" spans="2:6">
      <c r="C28" t="s">
        <v>91</v>
      </c>
      <c r="D28">
        <v>27</v>
      </c>
      <c r="E28" t="s">
        <v>5</v>
      </c>
      <c r="F28"/>
    </row>
    <row r="29" spans="2:6">
      <c r="C29" t="s">
        <v>92</v>
      </c>
      <c r="D29" s="2">
        <f xml:space="preserve"> $D$6 * (9.8 + $D$16) * $D$28 / 1000</f>
        <v>47.216520000000003</v>
      </c>
      <c r="E29" t="s">
        <v>1</v>
      </c>
      <c r="F29"/>
    </row>
    <row r="30" spans="2:6">
      <c r="C30" t="s">
        <v>224</v>
      </c>
      <c r="D30" s="2">
        <f xml:space="preserve"> D29+D27</f>
        <v>272.21652</v>
      </c>
      <c r="E30" t="s">
        <v>1</v>
      </c>
      <c r="F30"/>
    </row>
    <row r="31" spans="2:6">
      <c r="C31" t="s">
        <v>53</v>
      </c>
      <c r="D31" s="2">
        <v>207</v>
      </c>
      <c r="E31" t="s">
        <v>1</v>
      </c>
      <c r="F31"/>
    </row>
    <row r="32" spans="2:6">
      <c r="C32" t="s">
        <v>54</v>
      </c>
      <c r="D32" s="2">
        <f xml:space="preserve"> D3</f>
        <v>20</v>
      </c>
      <c r="E32" t="s">
        <v>34</v>
      </c>
      <c r="F32"/>
    </row>
    <row r="33" spans="2:6">
      <c r="F33"/>
    </row>
    <row r="34" spans="2:6" ht="19.8" customHeight="1">
      <c r="B34" s="9" t="s">
        <v>10</v>
      </c>
      <c r="C34" s="10"/>
      <c r="D34" s="10"/>
      <c r="E34" s="10"/>
      <c r="F34"/>
    </row>
    <row r="35" spans="2:6">
      <c r="B35" s="7" t="s">
        <v>42</v>
      </c>
      <c r="C35" t="s">
        <v>144</v>
      </c>
      <c r="D35" s="20" t="s">
        <v>248</v>
      </c>
      <c r="F35" t="s">
        <v>249</v>
      </c>
    </row>
    <row r="36" spans="2:6">
      <c r="B36" s="7" t="s">
        <v>197</v>
      </c>
      <c r="C36" t="s">
        <v>15</v>
      </c>
      <c r="D36" s="3">
        <v>689</v>
      </c>
      <c r="E36" t="s">
        <v>1</v>
      </c>
      <c r="F36" t="s">
        <v>254</v>
      </c>
    </row>
    <row r="37" spans="2:6">
      <c r="B37" s="7"/>
      <c r="C37" t="s">
        <v>44</v>
      </c>
      <c r="D37" s="3">
        <v>90</v>
      </c>
      <c r="E37" s="4" t="s">
        <v>34</v>
      </c>
      <c r="F37" t="s">
        <v>315</v>
      </c>
    </row>
    <row r="38" spans="2:6">
      <c r="C38" t="s">
        <v>30</v>
      </c>
      <c r="D38" s="1">
        <v>401</v>
      </c>
      <c r="E38" t="s">
        <v>16</v>
      </c>
      <c r="F38"/>
    </row>
    <row r="39" spans="2:6">
      <c r="C39" t="s">
        <v>31</v>
      </c>
      <c r="D39" s="1">
        <v>2.1</v>
      </c>
      <c r="E39" t="s">
        <v>17</v>
      </c>
      <c r="F39"/>
    </row>
    <row r="40" spans="2:6">
      <c r="C40" t="s">
        <v>18</v>
      </c>
      <c r="D40" s="1">
        <v>0.63200000000000001</v>
      </c>
      <c r="E40" s="4" t="s">
        <v>20</v>
      </c>
      <c r="F40"/>
    </row>
    <row r="41" spans="2:6">
      <c r="E41" s="4"/>
      <c r="F41"/>
    </row>
    <row r="42" spans="2:6">
      <c r="B42" s="7" t="s">
        <v>198</v>
      </c>
      <c r="C42" t="s">
        <v>32</v>
      </c>
      <c r="D42" s="8">
        <f>(D39*1000)+D36</f>
        <v>2789</v>
      </c>
      <c r="E42" t="s">
        <v>1</v>
      </c>
      <c r="F42" t="s">
        <v>253</v>
      </c>
    </row>
    <row r="43" spans="2:6">
      <c r="C43" t="s">
        <v>46</v>
      </c>
      <c r="D43" s="8">
        <f>((1-D40)/D40)*((D42-D36)/(D5*(D8/1000)))+D37</f>
        <v>90.642107960403152</v>
      </c>
      <c r="E43" s="4" t="s">
        <v>34</v>
      </c>
      <c r="F43" t="s">
        <v>252</v>
      </c>
    </row>
    <row r="44" spans="2:6">
      <c r="C44" t="s">
        <v>110</v>
      </c>
      <c r="D44" s="8">
        <f>(D38)*(1/D40)*((D42-D36)/D5)</f>
        <v>1167.779762367011</v>
      </c>
      <c r="E44" s="4" t="s">
        <v>106</v>
      </c>
      <c r="F44" t="s">
        <v>251</v>
      </c>
    </row>
    <row r="45" spans="2:6">
      <c r="D45" s="15"/>
      <c r="E45" s="4"/>
      <c r="F45"/>
    </row>
    <row r="46" spans="2:6">
      <c r="B46" s="7" t="s">
        <v>43</v>
      </c>
      <c r="C46" t="s">
        <v>145</v>
      </c>
      <c r="D46" s="20" t="s">
        <v>248</v>
      </c>
      <c r="E46" s="4"/>
      <c r="F46" t="s">
        <v>250</v>
      </c>
    </row>
    <row r="47" spans="2:6">
      <c r="B47" s="7" t="s">
        <v>197</v>
      </c>
      <c r="C47" t="s">
        <v>103</v>
      </c>
      <c r="D47" s="3">
        <f>D149</f>
        <v>97.237104966100929</v>
      </c>
      <c r="E47" s="4" t="s">
        <v>34</v>
      </c>
      <c r="F47" t="s">
        <v>272</v>
      </c>
    </row>
    <row r="48" spans="2:6">
      <c r="B48" s="7"/>
      <c r="C48" t="s">
        <v>104</v>
      </c>
      <c r="D48" s="6">
        <v>29.6</v>
      </c>
      <c r="E48" s="4" t="s">
        <v>17</v>
      </c>
      <c r="F48" s="30" t="s">
        <v>259</v>
      </c>
    </row>
    <row r="49" spans="2:6">
      <c r="B49" s="7"/>
      <c r="C49" t="s">
        <v>105</v>
      </c>
      <c r="D49" s="12">
        <f>D54/((D50)*((D48*1000)-D52)/D5)</f>
        <v>77.169859412758399</v>
      </c>
      <c r="E49" s="4" t="s">
        <v>16</v>
      </c>
      <c r="F49" t="s">
        <v>257</v>
      </c>
    </row>
    <row r="50" spans="2:6">
      <c r="B50" s="7"/>
      <c r="C50" t="s">
        <v>19</v>
      </c>
      <c r="D50" s="1">
        <v>0.64400000000000002</v>
      </c>
      <c r="E50" s="4" t="s">
        <v>20</v>
      </c>
      <c r="F50"/>
    </row>
    <row r="51" spans="2:6">
      <c r="B51" s="7"/>
    </row>
    <row r="52" spans="2:6">
      <c r="B52" s="7" t="s">
        <v>198</v>
      </c>
      <c r="C52" t="s">
        <v>107</v>
      </c>
      <c r="D52" s="3">
        <f>D42</f>
        <v>2789</v>
      </c>
      <c r="E52" s="4" t="s">
        <v>1</v>
      </c>
      <c r="F52" t="s">
        <v>255</v>
      </c>
    </row>
    <row r="53" spans="2:6">
      <c r="B53" s="7"/>
      <c r="C53" t="s">
        <v>109</v>
      </c>
      <c r="D53" s="8">
        <f>((1-D50)*(((D48*1000)-D52)/((D5/1000)*D8)))+D47</f>
        <v>102.24921999454402</v>
      </c>
      <c r="E53" s="4" t="s">
        <v>34</v>
      </c>
      <c r="F53" t="s">
        <v>256</v>
      </c>
    </row>
    <row r="54" spans="2:6">
      <c r="B54" s="7"/>
      <c r="C54" t="s">
        <v>108</v>
      </c>
      <c r="D54" s="3">
        <f>D44</f>
        <v>1167.779762367011</v>
      </c>
      <c r="E54" s="4" t="s">
        <v>106</v>
      </c>
      <c r="F54" t="s">
        <v>258</v>
      </c>
    </row>
    <row r="55" spans="2:6">
      <c r="F55"/>
    </row>
    <row r="56" spans="2:6">
      <c r="F56"/>
    </row>
    <row r="57" spans="2:6">
      <c r="B57" s="9" t="s">
        <v>21</v>
      </c>
      <c r="C57" s="10"/>
      <c r="D57" s="10"/>
      <c r="E57" s="10"/>
      <c r="F57"/>
    </row>
    <row r="58" spans="2:6">
      <c r="B58" s="7" t="s">
        <v>42</v>
      </c>
      <c r="C58" t="s">
        <v>144</v>
      </c>
      <c r="D58" s="20" t="s">
        <v>248</v>
      </c>
      <c r="F58"/>
    </row>
    <row r="59" spans="2:6">
      <c r="B59" s="7" t="s">
        <v>197</v>
      </c>
      <c r="C59" t="s">
        <v>22</v>
      </c>
      <c r="D59" s="3">
        <f>D31</f>
        <v>207</v>
      </c>
      <c r="E59" t="s">
        <v>1</v>
      </c>
      <c r="F59" t="s">
        <v>261</v>
      </c>
    </row>
    <row r="60" spans="2:6">
      <c r="B60" s="7"/>
      <c r="C60" t="s">
        <v>41</v>
      </c>
      <c r="D60" s="3">
        <f>D3</f>
        <v>20</v>
      </c>
      <c r="E60" s="4" t="s">
        <v>34</v>
      </c>
      <c r="F60" t="s">
        <v>262</v>
      </c>
    </row>
    <row r="61" spans="2:6">
      <c r="C61" t="s">
        <v>26</v>
      </c>
      <c r="D61" s="1">
        <v>67.099999999999994</v>
      </c>
      <c r="E61" t="s">
        <v>16</v>
      </c>
      <c r="F61"/>
    </row>
    <row r="62" spans="2:6">
      <c r="C62" t="s">
        <v>27</v>
      </c>
      <c r="D62" s="22">
        <v>1.6</v>
      </c>
      <c r="E62" t="s">
        <v>17</v>
      </c>
      <c r="F62"/>
    </row>
    <row r="63" spans="2:6">
      <c r="F63"/>
    </row>
    <row r="64" spans="2:6">
      <c r="B64" s="7" t="s">
        <v>198</v>
      </c>
      <c r="C64" t="s">
        <v>28</v>
      </c>
      <c r="D64" s="8">
        <f>(D62*1000)+D59</f>
        <v>1807</v>
      </c>
      <c r="E64" t="s">
        <v>1</v>
      </c>
      <c r="F64" t="s">
        <v>253</v>
      </c>
    </row>
    <row r="65" spans="2:6">
      <c r="C65" t="s">
        <v>33</v>
      </c>
      <c r="D65" s="12">
        <f>((1-D66)/D66)*((D64-D59)/((D6/1000)*D9))+D60</f>
        <v>21.130596890721215</v>
      </c>
      <c r="E65" s="4" t="s">
        <v>34</v>
      </c>
      <c r="F65" t="s">
        <v>252</v>
      </c>
    </row>
    <row r="66" spans="2:6">
      <c r="C66" t="s">
        <v>23</v>
      </c>
      <c r="D66" s="1">
        <v>0.67400000000000004</v>
      </c>
      <c r="E66" s="4" t="s">
        <v>20</v>
      </c>
      <c r="F66"/>
    </row>
    <row r="67" spans="2:6">
      <c r="C67" t="s">
        <v>146</v>
      </c>
      <c r="D67" s="11">
        <f>((D61)*(1/D66)*((D64-D59)/D6))/1000</f>
        <v>2.2498281614109206</v>
      </c>
      <c r="E67" s="4" t="s">
        <v>75</v>
      </c>
      <c r="F67" t="s">
        <v>251</v>
      </c>
    </row>
    <row r="68" spans="2:6">
      <c r="D68" s="15"/>
      <c r="E68" s="4"/>
      <c r="F68"/>
    </row>
    <row r="69" spans="2:6">
      <c r="B69" s="7" t="s">
        <v>43</v>
      </c>
      <c r="C69" t="s">
        <v>145</v>
      </c>
      <c r="D69" s="20" t="s">
        <v>260</v>
      </c>
      <c r="E69" s="4"/>
      <c r="F69"/>
    </row>
    <row r="70" spans="2:6">
      <c r="B70" s="7" t="s">
        <v>197</v>
      </c>
      <c r="C70" t="s">
        <v>195</v>
      </c>
      <c r="D70" s="3">
        <v>32500</v>
      </c>
      <c r="E70" s="4" t="s">
        <v>1</v>
      </c>
      <c r="F70" t="s">
        <v>273</v>
      </c>
    </row>
    <row r="71" spans="2:6">
      <c r="B71" s="7"/>
      <c r="C71" t="s">
        <v>196</v>
      </c>
      <c r="D71" s="3">
        <v>269</v>
      </c>
      <c r="E71" s="4" t="s">
        <v>34</v>
      </c>
      <c r="F71" t="s">
        <v>273</v>
      </c>
    </row>
    <row r="72" spans="2:6">
      <c r="B72" s="7"/>
      <c r="C72" t="s">
        <v>192</v>
      </c>
      <c r="D72" s="12">
        <f>(D78*1000000)/(D12*(D71-D77))</f>
        <v>13.281711337266817</v>
      </c>
      <c r="E72" s="4" t="s">
        <v>16</v>
      </c>
      <c r="F72" t="s">
        <v>266</v>
      </c>
    </row>
    <row r="73" spans="2:6">
      <c r="B73" s="7"/>
      <c r="C73" t="s">
        <v>24</v>
      </c>
      <c r="D73" s="1">
        <v>0.53600000000000003</v>
      </c>
      <c r="E73" s="4" t="s">
        <v>20</v>
      </c>
      <c r="F73"/>
    </row>
    <row r="74" spans="2:6">
      <c r="B74" s="7"/>
      <c r="E74" s="4"/>
      <c r="F74"/>
    </row>
    <row r="75" spans="2:6">
      <c r="B75" s="7" t="s">
        <v>198</v>
      </c>
      <c r="C75" t="s">
        <v>200</v>
      </c>
      <c r="D75" s="22">
        <v>1.3</v>
      </c>
      <c r="E75" s="4" t="s">
        <v>20</v>
      </c>
      <c r="F75"/>
    </row>
    <row r="76" spans="2:6">
      <c r="B76" s="7"/>
      <c r="C76" t="s">
        <v>193</v>
      </c>
      <c r="D76" s="5">
        <f>D70/1.3</f>
        <v>25000</v>
      </c>
      <c r="E76" t="s">
        <v>1</v>
      </c>
      <c r="F76" t="s">
        <v>271</v>
      </c>
    </row>
    <row r="77" spans="2:6">
      <c r="B77" s="7"/>
      <c r="C77" t="s">
        <v>194</v>
      </c>
      <c r="D77" s="8">
        <f>(1-D73*(1-((D76/D70)^((D14-1)/D14))))*D71</f>
        <v>257.18738199158491</v>
      </c>
      <c r="E77" t="s">
        <v>34</v>
      </c>
      <c r="F77" t="s">
        <v>265</v>
      </c>
    </row>
    <row r="78" spans="2:6">
      <c r="B78" s="7"/>
      <c r="C78" t="s">
        <v>147</v>
      </c>
      <c r="D78" s="25">
        <f>D67</f>
        <v>2.2498281614109206</v>
      </c>
      <c r="E78" s="4" t="s">
        <v>75</v>
      </c>
      <c r="F78" t="s">
        <v>264</v>
      </c>
    </row>
    <row r="79" spans="2:6">
      <c r="F79"/>
    </row>
    <row r="80" spans="2:6">
      <c r="F80"/>
    </row>
    <row r="81" spans="2:9">
      <c r="B81" s="9" t="s">
        <v>25</v>
      </c>
      <c r="C81" s="10"/>
      <c r="D81" s="10"/>
      <c r="E81" s="10"/>
      <c r="F81"/>
    </row>
    <row r="82" spans="2:9">
      <c r="B82" s="7" t="s">
        <v>42</v>
      </c>
      <c r="C82" t="s">
        <v>144</v>
      </c>
      <c r="D82" s="20" t="s">
        <v>248</v>
      </c>
      <c r="F82"/>
    </row>
    <row r="83" spans="2:9">
      <c r="B83" s="7"/>
      <c r="C83" t="s">
        <v>225</v>
      </c>
      <c r="D83" s="29">
        <v>398</v>
      </c>
      <c r="E83" t="s">
        <v>1</v>
      </c>
      <c r="F83"/>
    </row>
    <row r="84" spans="2:9">
      <c r="B84" s="7"/>
      <c r="C84" t="s">
        <v>22</v>
      </c>
      <c r="D84" s="3">
        <f>D64-D83</f>
        <v>1409</v>
      </c>
      <c r="E84" t="s">
        <v>1</v>
      </c>
      <c r="F84" t="s">
        <v>270</v>
      </c>
    </row>
    <row r="85" spans="2:9">
      <c r="C85" t="s">
        <v>26</v>
      </c>
      <c r="D85" s="6">
        <f>D61</f>
        <v>67.099999999999994</v>
      </c>
      <c r="E85" t="s">
        <v>16</v>
      </c>
      <c r="F85" s="30" t="s">
        <v>267</v>
      </c>
    </row>
    <row r="86" spans="2:9">
      <c r="C86" t="s">
        <v>29</v>
      </c>
      <c r="D86" s="1">
        <v>41.7</v>
      </c>
      <c r="E86" t="s">
        <v>17</v>
      </c>
      <c r="F86"/>
    </row>
    <row r="87" spans="2:9">
      <c r="C87" t="s">
        <v>28</v>
      </c>
      <c r="D87" s="5">
        <f>(D86*1000)+D84</f>
        <v>43109</v>
      </c>
      <c r="E87" t="s">
        <v>1</v>
      </c>
      <c r="F87" t="s">
        <v>253</v>
      </c>
    </row>
    <row r="88" spans="2:9">
      <c r="C88" t="s">
        <v>35</v>
      </c>
      <c r="D88" s="1">
        <v>0.75800000000000001</v>
      </c>
      <c r="E88" s="4" t="s">
        <v>20</v>
      </c>
      <c r="F88"/>
    </row>
    <row r="89" spans="2:9">
      <c r="C89" t="s">
        <v>41</v>
      </c>
      <c r="D89" s="3">
        <f>D65</f>
        <v>21.130596890721215</v>
      </c>
      <c r="E89" s="4"/>
      <c r="F89" t="s">
        <v>263</v>
      </c>
    </row>
    <row r="90" spans="2:9">
      <c r="C90" t="s">
        <v>33</v>
      </c>
      <c r="D90" s="8">
        <f>(((1-D88)/D88)*((D87-D84)/((D6/1000)*D9)))+D89</f>
        <v>40.580270419295303</v>
      </c>
      <c r="E90" t="s">
        <v>34</v>
      </c>
      <c r="F90" t="s">
        <v>252</v>
      </c>
    </row>
    <row r="91" spans="2:9">
      <c r="C91" t="s">
        <v>148</v>
      </c>
      <c r="D91" s="12">
        <f>D133</f>
        <v>47.2</v>
      </c>
      <c r="E91" t="s">
        <v>75</v>
      </c>
      <c r="F91" t="s">
        <v>312</v>
      </c>
      <c r="H91">
        <f>(D85)*(1/D88)*((D87-D84)/(D6))/1000</f>
        <v>52.138209382406863</v>
      </c>
      <c r="I91" t="s">
        <v>251</v>
      </c>
    </row>
    <row r="92" spans="2:9">
      <c r="F92"/>
    </row>
    <row r="93" spans="2:9">
      <c r="B93" s="7" t="s">
        <v>51</v>
      </c>
      <c r="C93" t="s">
        <v>226</v>
      </c>
      <c r="D93" s="1">
        <v>20.3</v>
      </c>
      <c r="E93" t="s">
        <v>190</v>
      </c>
      <c r="F93"/>
    </row>
    <row r="94" spans="2:9">
      <c r="B94" s="7"/>
      <c r="C94" t="s">
        <v>49</v>
      </c>
      <c r="D94" s="12">
        <f>(D93/100)*D85</f>
        <v>13.6213</v>
      </c>
      <c r="E94" t="s">
        <v>16</v>
      </c>
      <c r="F94"/>
    </row>
    <row r="95" spans="2:9">
      <c r="B95" s="7"/>
      <c r="C95" t="s">
        <v>52</v>
      </c>
      <c r="D95" s="3">
        <f>D90</f>
        <v>40.580270419295303</v>
      </c>
      <c r="E95" t="s">
        <v>34</v>
      </c>
      <c r="F95"/>
    </row>
    <row r="96" spans="2:9">
      <c r="B96" s="7"/>
      <c r="C96" t="s">
        <v>55</v>
      </c>
      <c r="D96" s="3">
        <f>D87</f>
        <v>43109</v>
      </c>
      <c r="E96" t="s">
        <v>1</v>
      </c>
      <c r="F96"/>
    </row>
    <row r="97" spans="2:6">
      <c r="B97" s="7"/>
      <c r="C97" t="s">
        <v>56</v>
      </c>
      <c r="D97" s="2">
        <v>269</v>
      </c>
      <c r="E97" t="s">
        <v>34</v>
      </c>
      <c r="F97"/>
    </row>
    <row r="98" spans="2:6">
      <c r="B98" s="7"/>
      <c r="C98" t="s">
        <v>57</v>
      </c>
      <c r="D98" s="2">
        <v>32500</v>
      </c>
      <c r="E98" t="s">
        <v>1</v>
      </c>
      <c r="F98"/>
    </row>
    <row r="99" spans="2:6">
      <c r="B99" s="7"/>
      <c r="D99" s="15"/>
      <c r="F99"/>
    </row>
    <row r="100" spans="2:6">
      <c r="B100" s="7"/>
      <c r="C100" t="s">
        <v>227</v>
      </c>
      <c r="D100" s="1">
        <v>42.4</v>
      </c>
      <c r="E100" t="s">
        <v>190</v>
      </c>
      <c r="F100"/>
    </row>
    <row r="101" spans="2:6">
      <c r="B101" s="7"/>
      <c r="C101" t="s">
        <v>50</v>
      </c>
      <c r="D101" s="12">
        <f>(D100/100)*D85</f>
        <v>28.450399999999998</v>
      </c>
      <c r="E101" t="s">
        <v>16</v>
      </c>
      <c r="F101"/>
    </row>
    <row r="102" spans="2:6">
      <c r="B102" s="7"/>
      <c r="C102" t="s">
        <v>58</v>
      </c>
      <c r="D102" s="3">
        <v>41</v>
      </c>
      <c r="E102" t="s">
        <v>34</v>
      </c>
      <c r="F102" t="s">
        <v>279</v>
      </c>
    </row>
    <row r="103" spans="2:6">
      <c r="B103" s="7"/>
      <c r="C103" t="s">
        <v>59</v>
      </c>
      <c r="D103" s="3">
        <v>43109</v>
      </c>
      <c r="E103" t="s">
        <v>1</v>
      </c>
      <c r="F103" s="30" t="s">
        <v>279</v>
      </c>
    </row>
    <row r="104" spans="2:6">
      <c r="B104" s="7"/>
      <c r="C104" t="s">
        <v>60</v>
      </c>
      <c r="D104" s="2">
        <v>265</v>
      </c>
      <c r="E104" t="s">
        <v>34</v>
      </c>
      <c r="F104"/>
    </row>
    <row r="105" spans="2:6">
      <c r="B105" s="7"/>
      <c r="C105" t="s">
        <v>61</v>
      </c>
      <c r="D105" s="2">
        <v>35200</v>
      </c>
      <c r="E105" t="s">
        <v>1</v>
      </c>
      <c r="F105"/>
    </row>
    <row r="106" spans="2:6">
      <c r="B106" s="7"/>
      <c r="D106" s="16"/>
      <c r="F106"/>
    </row>
    <row r="107" spans="2:6">
      <c r="B107" s="7"/>
      <c r="C107" t="s">
        <v>228</v>
      </c>
      <c r="D107" s="1">
        <v>37.299999999999997</v>
      </c>
      <c r="E107" t="s">
        <v>190</v>
      </c>
      <c r="F107"/>
    </row>
    <row r="108" spans="2:6">
      <c r="C108" s="13" t="s">
        <v>152</v>
      </c>
      <c r="D108" s="12">
        <f>(D107/100)*D85</f>
        <v>25.028299999999998</v>
      </c>
      <c r="E108" t="s">
        <v>16</v>
      </c>
      <c r="F108"/>
    </row>
    <row r="109" spans="2:6">
      <c r="C109" s="13" t="s">
        <v>153</v>
      </c>
      <c r="D109" s="2">
        <f xml:space="preserve"> D105</f>
        <v>35200</v>
      </c>
      <c r="E109" t="s">
        <v>1</v>
      </c>
      <c r="F109"/>
    </row>
    <row r="110" spans="2:6">
      <c r="C110" s="13" t="s">
        <v>154</v>
      </c>
      <c r="D110" s="2">
        <v>28</v>
      </c>
      <c r="E110" t="s">
        <v>34</v>
      </c>
      <c r="F110"/>
    </row>
    <row r="111" spans="2:6">
      <c r="C111" t="s">
        <v>155</v>
      </c>
      <c r="D111" s="12">
        <f>D108+D101</f>
        <v>53.478699999999996</v>
      </c>
      <c r="E111" t="s">
        <v>16</v>
      </c>
      <c r="F111" t="s">
        <v>274</v>
      </c>
    </row>
    <row r="112" spans="2:6">
      <c r="C112" t="s">
        <v>62</v>
      </c>
      <c r="D112" s="8">
        <f>((D108/D111)*D110)+((D101/D111)*(D104))</f>
        <v>154.08281053952319</v>
      </c>
      <c r="E112" t="s">
        <v>34</v>
      </c>
      <c r="F112" t="s">
        <v>280</v>
      </c>
    </row>
    <row r="113" spans="2:8">
      <c r="C113" s="13" t="s">
        <v>63</v>
      </c>
      <c r="D113" s="3">
        <v>35200</v>
      </c>
      <c r="E113" t="s">
        <v>1</v>
      </c>
      <c r="F113" t="s">
        <v>281</v>
      </c>
    </row>
    <row r="114" spans="2:8">
      <c r="C114" s="13"/>
      <c r="D114" s="16"/>
      <c r="F114"/>
    </row>
    <row r="115" spans="2:8">
      <c r="B115" s="7" t="s">
        <v>64</v>
      </c>
      <c r="C115" s="13" t="s">
        <v>229</v>
      </c>
      <c r="D115" s="1">
        <v>68</v>
      </c>
      <c r="E115" t="s">
        <v>190</v>
      </c>
      <c r="F115"/>
    </row>
    <row r="116" spans="2:8">
      <c r="B116" s="7"/>
      <c r="C116" s="13" t="s">
        <v>65</v>
      </c>
      <c r="D116" s="12">
        <f>D111*(D115/100)</f>
        <v>36.365516</v>
      </c>
      <c r="E116" t="s">
        <v>16</v>
      </c>
      <c r="F116"/>
    </row>
    <row r="117" spans="2:8">
      <c r="C117" s="13" t="s">
        <v>69</v>
      </c>
      <c r="D117" s="3">
        <f>D112</f>
        <v>154.08281053952319</v>
      </c>
      <c r="E117" t="s">
        <v>34</v>
      </c>
      <c r="F117"/>
    </row>
    <row r="118" spans="2:8">
      <c r="C118" s="13" t="s">
        <v>68</v>
      </c>
      <c r="D118" s="3">
        <f>D113</f>
        <v>35200</v>
      </c>
      <c r="E118" t="s">
        <v>1</v>
      </c>
      <c r="F118"/>
    </row>
    <row r="119" spans="2:8">
      <c r="C119" s="13" t="s">
        <v>70</v>
      </c>
      <c r="D119" s="17">
        <v>0.97</v>
      </c>
      <c r="E119" s="4" t="s">
        <v>20</v>
      </c>
      <c r="F119"/>
    </row>
    <row r="120" spans="2:8">
      <c r="C120" s="13" t="s">
        <v>77</v>
      </c>
      <c r="D120" s="12">
        <f>D116*D119</f>
        <v>35.274550519999998</v>
      </c>
      <c r="E120" t="s">
        <v>16</v>
      </c>
      <c r="F120" t="s">
        <v>284</v>
      </c>
      <c r="H120" s="16">
        <f>D158-D166</f>
        <v>37</v>
      </c>
    </row>
    <row r="121" spans="2:8">
      <c r="C121" s="13" t="s">
        <v>78</v>
      </c>
      <c r="D121" s="3">
        <f>D157</f>
        <v>99.890952203914338</v>
      </c>
      <c r="E121" t="s">
        <v>34</v>
      </c>
      <c r="F121"/>
    </row>
    <row r="122" spans="2:8">
      <c r="C122" s="13" t="s">
        <v>79</v>
      </c>
      <c r="D122" s="6">
        <f>D155*1000</f>
        <v>50200</v>
      </c>
      <c r="E122" t="s">
        <v>1</v>
      </c>
      <c r="F122" t="s">
        <v>283</v>
      </c>
    </row>
    <row r="123" spans="2:8">
      <c r="C123" s="13" t="s">
        <v>157</v>
      </c>
      <c r="D123" s="14">
        <f>D120+D116</f>
        <v>71.640066520000005</v>
      </c>
      <c r="E123" t="s">
        <v>16</v>
      </c>
      <c r="F123"/>
    </row>
    <row r="124" spans="2:8">
      <c r="C124" s="13" t="s">
        <v>156</v>
      </c>
      <c r="D124" s="1">
        <v>0.44600000000000001</v>
      </c>
      <c r="E124" s="4" t="s">
        <v>20</v>
      </c>
      <c r="F124"/>
    </row>
    <row r="125" spans="2:8">
      <c r="C125" s="13" t="s">
        <v>247</v>
      </c>
      <c r="D125" s="1">
        <v>0.55400000000000005</v>
      </c>
      <c r="E125" s="4" t="s">
        <v>20</v>
      </c>
      <c r="F125"/>
    </row>
    <row r="126" spans="2:8">
      <c r="C126" t="s">
        <v>66</v>
      </c>
      <c r="D126" s="1">
        <v>1117</v>
      </c>
      <c r="E126" t="s">
        <v>34</v>
      </c>
      <c r="F126"/>
    </row>
    <row r="127" spans="2:8">
      <c r="C127" t="s">
        <v>67</v>
      </c>
      <c r="D127" s="1">
        <v>35500</v>
      </c>
      <c r="E127" t="s">
        <v>1</v>
      </c>
      <c r="F127"/>
    </row>
    <row r="128" spans="2:8">
      <c r="C128" s="13" t="s">
        <v>80</v>
      </c>
      <c r="D128" s="1">
        <v>1.35</v>
      </c>
      <c r="E128" s="4" t="s">
        <v>20</v>
      </c>
      <c r="F128"/>
    </row>
    <row r="129" spans="2:6">
      <c r="C129" s="13" t="s">
        <v>95</v>
      </c>
      <c r="D129" s="1">
        <v>8088</v>
      </c>
      <c r="E129" s="4" t="s">
        <v>40</v>
      </c>
      <c r="F129"/>
    </row>
    <row r="130" spans="2:6">
      <c r="C130" s="13" t="s">
        <v>119</v>
      </c>
      <c r="D130" s="1">
        <v>3.97</v>
      </c>
      <c r="E130" s="4" t="s">
        <v>120</v>
      </c>
      <c r="F130"/>
    </row>
    <row r="131" spans="2:6">
      <c r="F131"/>
    </row>
    <row r="132" spans="2:6">
      <c r="B132" s="7" t="s">
        <v>43</v>
      </c>
      <c r="C132" t="s">
        <v>145</v>
      </c>
      <c r="D132" s="20" t="s">
        <v>260</v>
      </c>
      <c r="F132"/>
    </row>
    <row r="133" spans="2:6">
      <c r="B133" s="7"/>
      <c r="C133" t="s">
        <v>149</v>
      </c>
      <c r="D133" s="1">
        <v>47.2</v>
      </c>
      <c r="E133" t="s">
        <v>75</v>
      </c>
      <c r="F133"/>
    </row>
    <row r="134" spans="2:6">
      <c r="C134" t="s">
        <v>71</v>
      </c>
      <c r="D134" s="6">
        <f>D126</f>
        <v>1117</v>
      </c>
      <c r="E134" t="s">
        <v>34</v>
      </c>
      <c r="F134" t="s">
        <v>275</v>
      </c>
    </row>
    <row r="135" spans="2:6">
      <c r="C135" t="s">
        <v>72</v>
      </c>
      <c r="D135" s="6">
        <f>D127</f>
        <v>35500</v>
      </c>
      <c r="E135" t="s">
        <v>1</v>
      </c>
      <c r="F135" t="s">
        <v>276</v>
      </c>
    </row>
    <row r="136" spans="2:6">
      <c r="C136" t="s">
        <v>94</v>
      </c>
      <c r="D136" s="1">
        <v>1.52</v>
      </c>
      <c r="E136" s="4" t="s">
        <v>20</v>
      </c>
      <c r="F136"/>
    </row>
    <row r="137" spans="2:6">
      <c r="C137" t="s">
        <v>74</v>
      </c>
      <c r="D137" s="8">
        <f>D135/D136</f>
        <v>23355.263157894737</v>
      </c>
      <c r="E137" t="s">
        <v>1</v>
      </c>
      <c r="F137" t="s">
        <v>277</v>
      </c>
    </row>
    <row r="138" spans="2:6">
      <c r="C138" t="s">
        <v>111</v>
      </c>
      <c r="D138" s="14">
        <f>D123</f>
        <v>71.640066520000005</v>
      </c>
      <c r="E138" t="s">
        <v>16</v>
      </c>
      <c r="F138" t="s">
        <v>278</v>
      </c>
    </row>
    <row r="139" spans="2:6">
      <c r="C139" t="s">
        <v>76</v>
      </c>
      <c r="D139" s="17">
        <v>0.77</v>
      </c>
      <c r="E139" s="4" t="s">
        <v>20</v>
      </c>
      <c r="F139"/>
    </row>
    <row r="140" spans="2:6">
      <c r="C140" t="s">
        <v>73</v>
      </c>
      <c r="D140" s="8">
        <f>(1-D139*(1-(1/D136)^((D128-1)/D128)))*D134</f>
        <v>1028.5225174934042</v>
      </c>
      <c r="E140" t="s">
        <v>34</v>
      </c>
      <c r="F140" t="s">
        <v>265</v>
      </c>
    </row>
    <row r="141" spans="2:6">
      <c r="F141"/>
    </row>
    <row r="142" spans="2:6">
      <c r="B142" s="9" t="s">
        <v>81</v>
      </c>
      <c r="C142" s="10"/>
      <c r="D142" s="10"/>
      <c r="E142" s="10"/>
      <c r="F142"/>
    </row>
    <row r="143" spans="2:6">
      <c r="B143" s="7" t="s">
        <v>42</v>
      </c>
      <c r="C143" t="s">
        <v>144</v>
      </c>
      <c r="D143" s="20" t="s">
        <v>248</v>
      </c>
      <c r="F143"/>
    </row>
    <row r="144" spans="2:6">
      <c r="B144" s="7"/>
      <c r="C144" t="s">
        <v>15</v>
      </c>
      <c r="D144" s="14">
        <f>D42/1000</f>
        <v>2.7890000000000001</v>
      </c>
      <c r="E144" t="s">
        <v>17</v>
      </c>
      <c r="F144" t="s">
        <v>255</v>
      </c>
    </row>
    <row r="145" spans="2:7">
      <c r="C145" t="s">
        <v>30</v>
      </c>
      <c r="D145" s="14">
        <f>D38+D49</f>
        <v>478.1698594127584</v>
      </c>
      <c r="E145" t="s">
        <v>16</v>
      </c>
      <c r="F145" t="s">
        <v>268</v>
      </c>
    </row>
    <row r="146" spans="2:7">
      <c r="C146" t="s">
        <v>32</v>
      </c>
      <c r="D146" s="1">
        <v>29.6</v>
      </c>
      <c r="E146" t="s">
        <v>17</v>
      </c>
      <c r="F146"/>
    </row>
    <row r="147" spans="2:7">
      <c r="C147" t="s">
        <v>83</v>
      </c>
      <c r="D147" s="1">
        <v>0.68100000000000005</v>
      </c>
      <c r="E147" s="4" t="s">
        <v>20</v>
      </c>
      <c r="F147"/>
    </row>
    <row r="148" spans="2:7">
      <c r="C148" t="s">
        <v>44</v>
      </c>
      <c r="D148" s="3">
        <f>D43</f>
        <v>90.642107960403152</v>
      </c>
      <c r="E148" t="s">
        <v>34</v>
      </c>
      <c r="F148" t="s">
        <v>269</v>
      </c>
    </row>
    <row r="149" spans="2:7">
      <c r="C149" t="s">
        <v>46</v>
      </c>
      <c r="D149" s="8">
        <f>((1-D147)/(D147))*((D146*1000-D144*1000)/(((D5/1000)*D8)))+D148</f>
        <v>97.237104966100929</v>
      </c>
      <c r="E149" t="s">
        <v>34</v>
      </c>
      <c r="F149" t="s">
        <v>252</v>
      </c>
    </row>
    <row r="150" spans="2:7">
      <c r="C150" t="s">
        <v>151</v>
      </c>
      <c r="D150" s="12">
        <f>D145*(1/D147)*((D146-D144)/D5)</f>
        <v>16.499183549370564</v>
      </c>
      <c r="E150" t="s">
        <v>75</v>
      </c>
      <c r="F150" t="s">
        <v>251</v>
      </c>
    </row>
    <row r="151" spans="2:7">
      <c r="F151"/>
    </row>
    <row r="152" spans="2:7">
      <c r="B152" s="7" t="s">
        <v>82</v>
      </c>
      <c r="C152" t="s">
        <v>144</v>
      </c>
      <c r="D152" s="20" t="s">
        <v>248</v>
      </c>
      <c r="F152"/>
    </row>
    <row r="153" spans="2:7">
      <c r="B153" s="7"/>
      <c r="C153" t="s">
        <v>84</v>
      </c>
      <c r="D153" s="6">
        <f>D146</f>
        <v>29.6</v>
      </c>
      <c r="E153" t="s">
        <v>17</v>
      </c>
      <c r="F153"/>
    </row>
    <row r="154" spans="2:7">
      <c r="C154" t="s">
        <v>85</v>
      </c>
      <c r="D154" s="3">
        <f>D149</f>
        <v>97.237104966100929</v>
      </c>
      <c r="E154" t="s">
        <v>34</v>
      </c>
      <c r="F154"/>
    </row>
    <row r="155" spans="2:7">
      <c r="C155" t="s">
        <v>86</v>
      </c>
      <c r="D155" s="1">
        <v>50.2</v>
      </c>
      <c r="E155" t="s">
        <v>17</v>
      </c>
      <c r="F155"/>
    </row>
    <row r="156" spans="2:7">
      <c r="C156" t="s">
        <v>87</v>
      </c>
      <c r="D156" s="1">
        <v>0.80300000000000005</v>
      </c>
      <c r="E156" s="4" t="s">
        <v>20</v>
      </c>
      <c r="F156"/>
    </row>
    <row r="157" spans="2:7">
      <c r="C157" t="s">
        <v>88</v>
      </c>
      <c r="D157" s="8">
        <f>(((1-D156)/D156)*(((D155*1000)-(D153*1000))/((D5/1000)*D8)))+D154</f>
        <v>99.890952203914338</v>
      </c>
      <c r="E157" s="4" t="s">
        <v>34</v>
      </c>
      <c r="F157" t="s">
        <v>252</v>
      </c>
    </row>
    <row r="158" spans="2:7">
      <c r="C158" t="s">
        <v>90</v>
      </c>
      <c r="D158" s="23">
        <f xml:space="preserve"> 48.3</f>
        <v>48.3</v>
      </c>
      <c r="E158" s="4" t="s">
        <v>16</v>
      </c>
      <c r="F158"/>
      <c r="G158">
        <f>D158/D145*100</f>
        <v>10.101013070819091</v>
      </c>
    </row>
    <row r="159" spans="2:7">
      <c r="C159" t="s">
        <v>89</v>
      </c>
      <c r="D159" s="12">
        <f>D158*(1/D156)*(((D155)-(D153))/(D5))</f>
        <v>1.0859583311049821</v>
      </c>
      <c r="E159" t="s">
        <v>75</v>
      </c>
      <c r="F159" t="s">
        <v>251</v>
      </c>
    </row>
    <row r="160" spans="2:7">
      <c r="F160"/>
    </row>
    <row r="161" spans="2:6">
      <c r="B161" s="7" t="s">
        <v>64</v>
      </c>
      <c r="C161" s="13" t="s">
        <v>230</v>
      </c>
      <c r="D161" s="1">
        <v>32</v>
      </c>
      <c r="E161" t="s">
        <v>190</v>
      </c>
      <c r="F161"/>
    </row>
    <row r="162" spans="2:6">
      <c r="B162" s="7"/>
      <c r="C162" s="13" t="s">
        <v>65</v>
      </c>
      <c r="D162" s="12">
        <f>D111*(D161/100)</f>
        <v>17.113184</v>
      </c>
      <c r="E162" t="s">
        <v>16</v>
      </c>
      <c r="F162" t="s">
        <v>282</v>
      </c>
    </row>
    <row r="163" spans="2:6">
      <c r="C163" s="13" t="s">
        <v>69</v>
      </c>
      <c r="D163" s="3">
        <f>D112</f>
        <v>154.08281053952319</v>
      </c>
      <c r="E163" t="s">
        <v>34</v>
      </c>
      <c r="F163"/>
    </row>
    <row r="164" spans="2:6">
      <c r="C164" s="13" t="s">
        <v>68</v>
      </c>
      <c r="D164" s="3">
        <f>D113</f>
        <v>35200</v>
      </c>
      <c r="E164" t="s">
        <v>1</v>
      </c>
      <c r="F164"/>
    </row>
    <row r="165" spans="2:6">
      <c r="C165" s="13" t="s">
        <v>70</v>
      </c>
      <c r="D165" s="1">
        <v>0.66800000000000004</v>
      </c>
      <c r="E165" s="4" t="s">
        <v>20</v>
      </c>
      <c r="F165"/>
    </row>
    <row r="166" spans="2:6">
      <c r="C166" s="13" t="s">
        <v>77</v>
      </c>
      <c r="D166" s="1">
        <v>11.3</v>
      </c>
      <c r="E166" t="s">
        <v>16</v>
      </c>
      <c r="F166"/>
    </row>
    <row r="167" spans="2:6">
      <c r="C167" s="13" t="s">
        <v>78</v>
      </c>
      <c r="D167" s="3">
        <f>D157</f>
        <v>99.890952203914338</v>
      </c>
      <c r="E167" t="s">
        <v>34</v>
      </c>
      <c r="F167"/>
    </row>
    <row r="168" spans="2:6">
      <c r="C168" s="13" t="s">
        <v>79</v>
      </c>
      <c r="D168" s="6">
        <f>D155</f>
        <v>50.2</v>
      </c>
      <c r="E168" t="s">
        <v>17</v>
      </c>
    </row>
    <row r="169" spans="2:6">
      <c r="C169" s="13" t="s">
        <v>157</v>
      </c>
      <c r="D169" s="14">
        <f>D166+D162</f>
        <v>28.413184000000001</v>
      </c>
      <c r="E169" t="s">
        <v>16</v>
      </c>
      <c r="F169"/>
    </row>
    <row r="170" spans="2:6">
      <c r="C170" s="13" t="s">
        <v>156</v>
      </c>
      <c r="D170" s="1">
        <v>0.54900000000000004</v>
      </c>
      <c r="E170" s="4" t="s">
        <v>20</v>
      </c>
      <c r="F170"/>
    </row>
    <row r="171" spans="2:6">
      <c r="C171" s="13" t="s">
        <v>247</v>
      </c>
      <c r="D171" s="1">
        <v>0.45100000000000001</v>
      </c>
      <c r="E171" s="4" t="s">
        <v>20</v>
      </c>
      <c r="F171"/>
    </row>
    <row r="172" spans="2:6">
      <c r="C172" t="s">
        <v>66</v>
      </c>
      <c r="D172" s="1">
        <v>836</v>
      </c>
      <c r="E172" t="s">
        <v>34</v>
      </c>
      <c r="F172"/>
    </row>
    <row r="173" spans="2:6">
      <c r="C173" t="s">
        <v>67</v>
      </c>
      <c r="D173" s="1">
        <v>34400</v>
      </c>
      <c r="E173" t="s">
        <v>1</v>
      </c>
      <c r="F173"/>
    </row>
    <row r="174" spans="2:6">
      <c r="C174" s="13" t="s">
        <v>80</v>
      </c>
      <c r="D174" s="1">
        <v>1.37</v>
      </c>
      <c r="E174" s="4" t="s">
        <v>20</v>
      </c>
      <c r="F174"/>
    </row>
    <row r="175" spans="2:6">
      <c r="C175" s="13" t="s">
        <v>95</v>
      </c>
      <c r="D175" s="1">
        <v>9073</v>
      </c>
      <c r="E175" s="4" t="s">
        <v>40</v>
      </c>
      <c r="F175"/>
    </row>
    <row r="176" spans="2:6">
      <c r="C176" s="13" t="s">
        <v>119</v>
      </c>
      <c r="D176" s="1">
        <v>3.36</v>
      </c>
      <c r="E176" s="4" t="s">
        <v>120</v>
      </c>
      <c r="F176"/>
    </row>
    <row r="177" spans="2:6">
      <c r="F177"/>
    </row>
    <row r="178" spans="2:6">
      <c r="B178" s="7" t="s">
        <v>43</v>
      </c>
      <c r="C178" t="s">
        <v>145</v>
      </c>
      <c r="D178" s="20" t="s">
        <v>260</v>
      </c>
      <c r="F178"/>
    </row>
    <row r="179" spans="2:6">
      <c r="B179" s="7"/>
      <c r="C179" t="s">
        <v>150</v>
      </c>
      <c r="D179" s="14">
        <f>D150+D159</f>
        <v>17.585141880475547</v>
      </c>
      <c r="E179" t="s">
        <v>75</v>
      </c>
      <c r="F179" t="s">
        <v>285</v>
      </c>
    </row>
    <row r="180" spans="2:6">
      <c r="C180" t="s">
        <v>71</v>
      </c>
      <c r="D180" s="6">
        <f>D172</f>
        <v>836</v>
      </c>
      <c r="E180" t="s">
        <v>34</v>
      </c>
      <c r="F180"/>
    </row>
    <row r="181" spans="2:6">
      <c r="C181" t="s">
        <v>72</v>
      </c>
      <c r="D181" s="6">
        <f>D173</f>
        <v>34400</v>
      </c>
      <c r="E181" t="s">
        <v>1</v>
      </c>
      <c r="F181"/>
    </row>
    <row r="182" spans="2:6">
      <c r="C182" t="s">
        <v>74</v>
      </c>
      <c r="D182" s="3">
        <f>D137</f>
        <v>23355.263157894737</v>
      </c>
      <c r="E182" t="s">
        <v>1</v>
      </c>
      <c r="F182" t="s">
        <v>306</v>
      </c>
    </row>
    <row r="183" spans="2:6">
      <c r="C183" t="s">
        <v>94</v>
      </c>
      <c r="D183" s="11">
        <f>D181/D182</f>
        <v>1.4729014084507042</v>
      </c>
      <c r="E183" s="4" t="s">
        <v>20</v>
      </c>
      <c r="F183"/>
    </row>
    <row r="184" spans="2:6">
      <c r="C184" t="s">
        <v>111</v>
      </c>
      <c r="D184" s="14">
        <f>D169</f>
        <v>28.413184000000001</v>
      </c>
      <c r="E184" s="4" t="s">
        <v>16</v>
      </c>
      <c r="F184"/>
    </row>
    <row r="185" spans="2:6">
      <c r="C185" t="s">
        <v>73</v>
      </c>
      <c r="D185" s="8">
        <f>D180-(D179*1000000/(D184*D175))</f>
        <v>767.78575730916214</v>
      </c>
      <c r="E185" t="s">
        <v>34</v>
      </c>
      <c r="F185" t="s">
        <v>290</v>
      </c>
    </row>
    <row r="186" spans="2:6">
      <c r="C186" t="s">
        <v>76</v>
      </c>
      <c r="D186" s="18">
        <f>(1-(D185/D180))/(1-((D182/D181)^((D174-1)/D174)))</f>
        <v>0.82172330319120035</v>
      </c>
      <c r="E186" s="4" t="s">
        <v>20</v>
      </c>
      <c r="F186" t="s">
        <v>291</v>
      </c>
    </row>
    <row r="187" spans="2:6">
      <c r="F187"/>
    </row>
    <row r="188" spans="2:6">
      <c r="B188" s="9" t="s">
        <v>93</v>
      </c>
      <c r="C188" s="10"/>
      <c r="D188" s="10"/>
      <c r="E188" s="10"/>
      <c r="F188"/>
    </row>
    <row r="189" spans="2:6">
      <c r="B189" s="7" t="s">
        <v>127</v>
      </c>
      <c r="C189" t="s">
        <v>96</v>
      </c>
      <c r="D189" s="14">
        <f>D138</f>
        <v>71.640066520000005</v>
      </c>
      <c r="E189" t="s">
        <v>16</v>
      </c>
      <c r="F189"/>
    </row>
    <row r="190" spans="2:6">
      <c r="B190" s="7"/>
      <c r="C190" t="s">
        <v>97</v>
      </c>
      <c r="D190" s="3">
        <f>D140</f>
        <v>1028.5225174934042</v>
      </c>
      <c r="E190" t="s">
        <v>34</v>
      </c>
      <c r="F190"/>
    </row>
    <row r="191" spans="2:6">
      <c r="B191" s="7"/>
      <c r="C191" t="s">
        <v>98</v>
      </c>
      <c r="D191" s="6">
        <f>D129</f>
        <v>8088</v>
      </c>
      <c r="E191" t="s">
        <v>40</v>
      </c>
      <c r="F191"/>
    </row>
    <row r="192" spans="2:6">
      <c r="B192" s="7"/>
      <c r="C192" t="s">
        <v>117</v>
      </c>
      <c r="D192" s="6">
        <f>D130</f>
        <v>3.97</v>
      </c>
      <c r="E192" t="s">
        <v>120</v>
      </c>
      <c r="F192"/>
    </row>
    <row r="193" spans="2:6">
      <c r="B193" s="7"/>
      <c r="C193" t="s">
        <v>159</v>
      </c>
      <c r="D193" s="3">
        <f>D137</f>
        <v>23355.263157894737</v>
      </c>
      <c r="E193" t="s">
        <v>1</v>
      </c>
      <c r="F193"/>
    </row>
    <row r="194" spans="2:6">
      <c r="B194" s="7"/>
      <c r="C194" t="s">
        <v>238</v>
      </c>
      <c r="D194" s="6">
        <f>D124</f>
        <v>0.44600000000000001</v>
      </c>
      <c r="E194" s="4" t="s">
        <v>20</v>
      </c>
      <c r="F194"/>
    </row>
    <row r="195" spans="2:6">
      <c r="B195" s="7"/>
      <c r="C195" t="s">
        <v>239</v>
      </c>
      <c r="D195" s="6">
        <f>D125</f>
        <v>0.55400000000000005</v>
      </c>
      <c r="E195" s="4" t="s">
        <v>20</v>
      </c>
      <c r="F195"/>
    </row>
    <row r="196" spans="2:6">
      <c r="B196" s="7"/>
      <c r="D196" s="16"/>
      <c r="F196"/>
    </row>
    <row r="197" spans="2:6">
      <c r="B197" s="7"/>
      <c r="C197" t="s">
        <v>231</v>
      </c>
      <c r="D197" s="14">
        <f>D72</f>
        <v>13.281711337266817</v>
      </c>
      <c r="E197" t="s">
        <v>16</v>
      </c>
      <c r="F197"/>
    </row>
    <row r="198" spans="2:6">
      <c r="B198" s="7"/>
      <c r="C198" t="s">
        <v>232</v>
      </c>
      <c r="D198" s="14">
        <f>D77</f>
        <v>257.18738199158491</v>
      </c>
      <c r="E198" t="s">
        <v>34</v>
      </c>
      <c r="F198"/>
    </row>
    <row r="199" spans="2:6">
      <c r="B199" s="7"/>
      <c r="C199" t="s">
        <v>233</v>
      </c>
      <c r="D199" s="3">
        <f>D76</f>
        <v>25000</v>
      </c>
      <c r="E199" t="s">
        <v>1</v>
      </c>
      <c r="F199"/>
    </row>
    <row r="200" spans="2:6">
      <c r="B200" s="7"/>
      <c r="C200" t="s">
        <v>241</v>
      </c>
      <c r="D200" s="3">
        <f>D12</f>
        <v>14340</v>
      </c>
      <c r="E200" t="s">
        <v>40</v>
      </c>
      <c r="F200"/>
    </row>
    <row r="201" spans="2:6">
      <c r="B201" s="7"/>
      <c r="C201" t="s">
        <v>242</v>
      </c>
      <c r="D201" s="25">
        <v>2.02</v>
      </c>
      <c r="E201" t="s">
        <v>120</v>
      </c>
      <c r="F201" t="s">
        <v>286</v>
      </c>
    </row>
    <row r="202" spans="2:6">
      <c r="B202" s="7"/>
      <c r="D202" s="15"/>
      <c r="F202"/>
    </row>
    <row r="203" spans="2:6">
      <c r="B203" s="7"/>
      <c r="C203" t="s">
        <v>234</v>
      </c>
      <c r="D203" s="12">
        <f>D197+D189</f>
        <v>84.921777857266818</v>
      </c>
      <c r="E203" t="s">
        <v>16</v>
      </c>
      <c r="F203" t="s">
        <v>288</v>
      </c>
    </row>
    <row r="204" spans="2:6">
      <c r="B204" s="7"/>
      <c r="C204" t="s">
        <v>235</v>
      </c>
      <c r="D204" s="12">
        <f>((D189/D203)*(D191/D208)*D190)+((D197/D203)*(D200/D208)*(D198))</f>
        <v>837.70393237796475</v>
      </c>
      <c r="E204" t="s">
        <v>34</v>
      </c>
      <c r="F204" t="s">
        <v>287</v>
      </c>
    </row>
    <row r="205" spans="2:6">
      <c r="B205" s="7"/>
      <c r="C205" t="s">
        <v>236</v>
      </c>
      <c r="D205" s="8">
        <f>(((D189/(D192/1000))/((D189/(D192/1000))+(D197/(D201/1000))))*D193)+(((D197/(D201/1000))/((D189/(D192/1000))+(D197/(D201/1000)))*D199))</f>
        <v>23794.504186930637</v>
      </c>
      <c r="E205" t="s">
        <v>1</v>
      </c>
      <c r="F205" t="s">
        <v>289</v>
      </c>
    </row>
    <row r="206" spans="2:6">
      <c r="B206" s="19"/>
      <c r="C206" t="s">
        <v>237</v>
      </c>
      <c r="D206" s="18">
        <f>((D189*D194)+D197)/(D189+D197)</f>
        <v>0.53264524302838989</v>
      </c>
      <c r="E206" s="4" t="s">
        <v>20</v>
      </c>
      <c r="F206"/>
    </row>
    <row r="207" spans="2:6">
      <c r="B207" s="19"/>
      <c r="C207" t="s">
        <v>240</v>
      </c>
      <c r="D207" s="18">
        <f>((D189*D195))/(D189+D197)</f>
        <v>0.46735475697161022</v>
      </c>
      <c r="E207" s="4" t="s">
        <v>20</v>
      </c>
      <c r="F207"/>
    </row>
    <row r="208" spans="2:6">
      <c r="B208" s="19"/>
      <c r="C208" t="s">
        <v>243</v>
      </c>
      <c r="D208" s="8">
        <f>((D189/D203)*(D191))+((D197/D203)*(D200))</f>
        <v>9065.8087715045003</v>
      </c>
      <c r="E208" t="s">
        <v>40</v>
      </c>
      <c r="F208" t="s">
        <v>292</v>
      </c>
    </row>
    <row r="209" spans="2:6">
      <c r="B209" s="19"/>
      <c r="C209" t="s">
        <v>244</v>
      </c>
      <c r="D209" s="11">
        <f>(((D189/(D192/1000))/((D189/(D192/1000))+(D197/(D201/1000))))*D192)+(((D197/(D201/1000))/((D189/(D192/1000))+(D197/(D201/1000)))*D201))</f>
        <v>3.4492358359750317</v>
      </c>
      <c r="E209" t="s">
        <v>120</v>
      </c>
      <c r="F209" t="s">
        <v>293</v>
      </c>
    </row>
    <row r="210" spans="2:6">
      <c r="B210" s="19"/>
      <c r="F210"/>
    </row>
    <row r="211" spans="2:6">
      <c r="B211" s="19"/>
      <c r="C211" t="s">
        <v>99</v>
      </c>
      <c r="D211" s="14">
        <f>D184</f>
        <v>28.413184000000001</v>
      </c>
      <c r="E211" t="s">
        <v>16</v>
      </c>
      <c r="F211"/>
    </row>
    <row r="212" spans="2:6">
      <c r="B212" s="19"/>
      <c r="C212" t="s">
        <v>100</v>
      </c>
      <c r="D212" s="3">
        <f>D185</f>
        <v>767.78575730916214</v>
      </c>
      <c r="E212" t="s">
        <v>34</v>
      </c>
      <c r="F212"/>
    </row>
    <row r="213" spans="2:6">
      <c r="B213" s="19"/>
      <c r="C213" t="s">
        <v>159</v>
      </c>
      <c r="D213" s="3">
        <f>D182</f>
        <v>23355.263157894737</v>
      </c>
      <c r="E213" t="s">
        <v>1</v>
      </c>
      <c r="F213"/>
    </row>
    <row r="214" spans="2:6">
      <c r="B214" s="19"/>
      <c r="C214" t="s">
        <v>245</v>
      </c>
      <c r="D214" s="6">
        <f>D170</f>
        <v>0.54900000000000004</v>
      </c>
      <c r="F214"/>
    </row>
    <row r="215" spans="2:6">
      <c r="B215" s="19"/>
      <c r="C215" t="s">
        <v>246</v>
      </c>
      <c r="D215" s="6">
        <f>D171</f>
        <v>0.45100000000000001</v>
      </c>
      <c r="F215"/>
    </row>
    <row r="216" spans="2:6">
      <c r="B216" s="19"/>
      <c r="C216" t="s">
        <v>101</v>
      </c>
      <c r="D216" s="6">
        <f>D175</f>
        <v>9073</v>
      </c>
      <c r="E216" t="s">
        <v>40</v>
      </c>
      <c r="F216"/>
    </row>
    <row r="217" spans="2:6">
      <c r="B217" s="19"/>
      <c r="C217" t="s">
        <v>118</v>
      </c>
      <c r="D217" s="6">
        <f>D176</f>
        <v>3.36</v>
      </c>
      <c r="E217" t="s">
        <v>120</v>
      </c>
      <c r="F217"/>
    </row>
    <row r="218" spans="2:6">
      <c r="B218" s="19"/>
    </row>
    <row r="219" spans="2:6">
      <c r="B219" s="19"/>
      <c r="C219" t="s">
        <v>102</v>
      </c>
      <c r="D219" s="14">
        <f>D211+D203</f>
        <v>113.33496185726682</v>
      </c>
      <c r="E219" t="s">
        <v>16</v>
      </c>
      <c r="F219"/>
    </row>
    <row r="220" spans="2:6">
      <c r="B220" s="19"/>
      <c r="C220" t="s">
        <v>112</v>
      </c>
      <c r="D220" s="18">
        <f>((D211*D214)+(D206*D203))/(D211+D203)</f>
        <v>0.53674539633937679</v>
      </c>
      <c r="E220" s="4" t="s">
        <v>20</v>
      </c>
      <c r="F220"/>
    </row>
    <row r="221" spans="2:6">
      <c r="B221" s="19"/>
      <c r="C221" t="s">
        <v>113</v>
      </c>
      <c r="D221" s="18">
        <f>((D211*D215)+(D203*D207))/(D203+D211)</f>
        <v>0.46325460366062332</v>
      </c>
      <c r="E221" s="4" t="s">
        <v>20</v>
      </c>
      <c r="F221"/>
    </row>
    <row r="222" spans="2:6">
      <c r="B222" s="19"/>
      <c r="C222" t="s">
        <v>115</v>
      </c>
      <c r="D222" s="8">
        <f>(D203/(D203+D211))*(D208)+(D211/(D203+D211))*(D216)</f>
        <v>9067.6116194084498</v>
      </c>
      <c r="E222" t="s">
        <v>40</v>
      </c>
      <c r="F222" t="s">
        <v>292</v>
      </c>
    </row>
    <row r="223" spans="2:6">
      <c r="B223" s="19"/>
      <c r="C223" t="s">
        <v>114</v>
      </c>
      <c r="D223" s="8">
        <f>((D203/(D203+D211))*(D208/D222)*D204)+((D211/(D203+D211))*(D216/D222)*D212)</f>
        <v>820.16496235482589</v>
      </c>
      <c r="E223" t="s">
        <v>34</v>
      </c>
      <c r="F223" t="s">
        <v>287</v>
      </c>
    </row>
    <row r="224" spans="2:6">
      <c r="B224" s="19"/>
      <c r="C224" t="s">
        <v>158</v>
      </c>
      <c r="D224" s="11">
        <f>(((D203/(D209/1000))/((D203/(D209/1000))+(D211/(D217/1000))))*(D209))+(((D211/(D217/1000))/((D203/(D209/1000))+(D211/(D217/1000))))*(D217))</f>
        <v>3.4264220753931962</v>
      </c>
      <c r="E224" t="s">
        <v>120</v>
      </c>
      <c r="F224" t="s">
        <v>293</v>
      </c>
    </row>
    <row r="225" spans="2:6">
      <c r="B225" s="19"/>
      <c r="C225" t="s">
        <v>116</v>
      </c>
      <c r="D225" s="8">
        <f>(((D203/(D209/1000))/((D203/(D209/1000))+(D211/(D217/1000))))*(D205))+(((D211/(D217/1000))/((D203/(D209/1000))+(D211/(D217/1000))))*D213)</f>
        <v>23682.209170420141</v>
      </c>
      <c r="E225" t="s">
        <v>1</v>
      </c>
      <c r="F225" t="s">
        <v>289</v>
      </c>
    </row>
    <row r="226" spans="2:6">
      <c r="B226" s="19"/>
      <c r="F226"/>
    </row>
    <row r="227" spans="2:6">
      <c r="B227" s="19"/>
      <c r="C227" t="s">
        <v>123</v>
      </c>
      <c r="D227" s="2">
        <f xml:space="preserve"> D225 - 20600</f>
        <v>3082.2091704201412</v>
      </c>
      <c r="E227" t="s">
        <v>1</v>
      </c>
      <c r="F227"/>
    </row>
    <row r="228" spans="2:6">
      <c r="C228" t="s">
        <v>124</v>
      </c>
      <c r="D228" s="8">
        <f>D225-D227</f>
        <v>20600</v>
      </c>
      <c r="E228" t="s">
        <v>1</v>
      </c>
      <c r="F228" t="s">
        <v>294</v>
      </c>
    </row>
    <row r="229" spans="2:6">
      <c r="F229"/>
    </row>
    <row r="230" spans="2:6">
      <c r="B230" s="7" t="s">
        <v>128</v>
      </c>
      <c r="C230" t="s">
        <v>129</v>
      </c>
      <c r="D230" s="3">
        <f>D145-D158-D49</f>
        <v>352.7</v>
      </c>
      <c r="E230" t="s">
        <v>16</v>
      </c>
      <c r="F230"/>
    </row>
    <row r="231" spans="2:6">
      <c r="B231" s="7"/>
      <c r="C231" t="s">
        <v>130</v>
      </c>
      <c r="D231" s="3">
        <f>D149</f>
        <v>97.237104966100929</v>
      </c>
      <c r="E231" t="s">
        <v>34</v>
      </c>
      <c r="F231"/>
    </row>
    <row r="232" spans="2:6">
      <c r="B232" s="7"/>
      <c r="C232" t="s">
        <v>131</v>
      </c>
      <c r="D232" s="6">
        <f>D146</f>
        <v>29.6</v>
      </c>
      <c r="E232" t="s">
        <v>17</v>
      </c>
      <c r="F232"/>
    </row>
    <row r="233" spans="2:6">
      <c r="B233" s="7"/>
      <c r="F233"/>
    </row>
    <row r="234" spans="2:6">
      <c r="B234" s="7"/>
      <c r="C234" t="s">
        <v>125</v>
      </c>
      <c r="D234" s="1">
        <f xml:space="preserve"> D232*1000 - 20600</f>
        <v>9000</v>
      </c>
      <c r="E234" t="s">
        <v>1</v>
      </c>
      <c r="F234"/>
    </row>
    <row r="235" spans="2:6">
      <c r="C235" t="s">
        <v>126</v>
      </c>
      <c r="D235" s="5">
        <f>(D232*1000)-D234</f>
        <v>20600</v>
      </c>
      <c r="E235" t="s">
        <v>1</v>
      </c>
      <c r="F235" t="s">
        <v>295</v>
      </c>
    </row>
    <row r="236" spans="2:6">
      <c r="F236"/>
    </row>
    <row r="237" spans="2:6">
      <c r="B237" s="9" t="s">
        <v>121</v>
      </c>
      <c r="C237" s="10"/>
      <c r="D237" s="10"/>
      <c r="E237" s="10"/>
      <c r="F237"/>
    </row>
    <row r="238" spans="2:6">
      <c r="C238" t="s">
        <v>161</v>
      </c>
      <c r="D238" s="11">
        <f>(D230)/(D241)</f>
        <v>3.1120141059754154</v>
      </c>
      <c r="E238" s="4" t="s">
        <v>20</v>
      </c>
      <c r="F238"/>
    </row>
    <row r="239" spans="2:6">
      <c r="C239" t="s">
        <v>162</v>
      </c>
      <c r="D239" s="1">
        <v>20.6</v>
      </c>
      <c r="E239" t="s">
        <v>17</v>
      </c>
      <c r="F239"/>
    </row>
    <row r="240" spans="2:6">
      <c r="F240"/>
    </row>
    <row r="241" spans="3:8">
      <c r="C241" t="s">
        <v>165</v>
      </c>
      <c r="D241" s="14">
        <f>D219</f>
        <v>113.33496185726682</v>
      </c>
      <c r="E241" t="s">
        <v>16</v>
      </c>
      <c r="F241"/>
    </row>
    <row r="242" spans="3:8">
      <c r="C242" t="s">
        <v>160</v>
      </c>
      <c r="D242" s="21">
        <f>D220</f>
        <v>0.53674539633937679</v>
      </c>
      <c r="E242" s="4" t="s">
        <v>20</v>
      </c>
      <c r="F242"/>
    </row>
    <row r="243" spans="3:8">
      <c r="C243" t="s">
        <v>163</v>
      </c>
      <c r="D243" s="21">
        <f>D221</f>
        <v>0.46325460366062332</v>
      </c>
      <c r="E243" s="4" t="s">
        <v>20</v>
      </c>
      <c r="F243"/>
    </row>
    <row r="244" spans="3:8" ht="16.2">
      <c r="C244" t="s">
        <v>164</v>
      </c>
      <c r="D244" s="3">
        <f>D223</f>
        <v>820.16496235482589</v>
      </c>
      <c r="E244" s="4" t="s">
        <v>34</v>
      </c>
      <c r="F244"/>
      <c r="H244" s="31" t="s">
        <v>301</v>
      </c>
    </row>
    <row r="245" spans="3:8">
      <c r="D245" s="15"/>
      <c r="E245" s="4"/>
      <c r="F245"/>
    </row>
    <row r="246" spans="3:8">
      <c r="C246" t="s">
        <v>166</v>
      </c>
      <c r="D246" s="3">
        <f>D230</f>
        <v>352.7</v>
      </c>
      <c r="E246" s="4" t="s">
        <v>16</v>
      </c>
    </row>
    <row r="247" spans="3:8">
      <c r="C247" t="s">
        <v>167</v>
      </c>
      <c r="D247" s="11">
        <f>D238</f>
        <v>3.1120141059754154</v>
      </c>
      <c r="E247" s="4" t="s">
        <v>20</v>
      </c>
      <c r="F247"/>
    </row>
    <row r="248" spans="3:8">
      <c r="C248" t="s">
        <v>175</v>
      </c>
      <c r="D248" s="11">
        <f>D230/(D242*D241)</f>
        <v>5.7979334842915566</v>
      </c>
      <c r="E248" s="4" t="s">
        <v>20</v>
      </c>
      <c r="F248"/>
    </row>
    <row r="249" spans="3:8">
      <c r="D249" s="15"/>
      <c r="E249" s="4"/>
      <c r="F249"/>
    </row>
    <row r="250" spans="3:8">
      <c r="F250"/>
    </row>
    <row r="251" spans="3:8">
      <c r="C251" t="s">
        <v>132</v>
      </c>
      <c r="D251" s="1">
        <v>4904</v>
      </c>
      <c r="E251" t="s">
        <v>34</v>
      </c>
      <c r="F251" t="s">
        <v>297</v>
      </c>
    </row>
    <row r="252" spans="3:8">
      <c r="C252" t="s">
        <v>133</v>
      </c>
      <c r="D252" s="14">
        <f>D228/1000</f>
        <v>20.6</v>
      </c>
      <c r="E252" t="s">
        <v>17</v>
      </c>
      <c r="F252"/>
    </row>
    <row r="253" spans="3:8">
      <c r="C253" s="13" t="s">
        <v>134</v>
      </c>
      <c r="D253" s="1">
        <v>20121</v>
      </c>
      <c r="E253" t="s">
        <v>40</v>
      </c>
      <c r="F253" t="s">
        <v>300</v>
      </c>
    </row>
    <row r="254" spans="3:8">
      <c r="C254" s="13" t="s">
        <v>135</v>
      </c>
      <c r="D254" s="1">
        <v>1.17</v>
      </c>
      <c r="E254" s="4" t="s">
        <v>20</v>
      </c>
      <c r="F254" t="s">
        <v>299</v>
      </c>
    </row>
    <row r="255" spans="3:8">
      <c r="C255" s="13" t="s">
        <v>172</v>
      </c>
      <c r="D255" s="1">
        <v>10.130000000000001</v>
      </c>
      <c r="E255" s="4" t="s">
        <v>120</v>
      </c>
      <c r="F255" t="s">
        <v>298</v>
      </c>
    </row>
    <row r="256" spans="3:8">
      <c r="F256"/>
    </row>
    <row r="257" spans="2:6">
      <c r="C257" t="s">
        <v>136</v>
      </c>
      <c r="D257" s="12">
        <f>D246+D241</f>
        <v>466.03496185726681</v>
      </c>
      <c r="E257" t="s">
        <v>16</v>
      </c>
      <c r="F257"/>
    </row>
    <row r="258" spans="2:6">
      <c r="F258"/>
    </row>
    <row r="259" spans="2:6">
      <c r="C259" t="s">
        <v>141</v>
      </c>
      <c r="D259" s="1">
        <v>45.1</v>
      </c>
      <c r="E259" t="s">
        <v>168</v>
      </c>
      <c r="F259"/>
    </row>
    <row r="260" spans="2:6">
      <c r="C260" t="s">
        <v>142</v>
      </c>
      <c r="D260" s="18">
        <f>3.14*((D259/100)/2)^2</f>
        <v>0.15966978500000001</v>
      </c>
      <c r="E260" t="s">
        <v>169</v>
      </c>
      <c r="F260"/>
    </row>
    <row r="261" spans="2:6">
      <c r="C261" t="s">
        <v>170</v>
      </c>
      <c r="D261" s="23">
        <v>26.2</v>
      </c>
      <c r="E261" t="s">
        <v>168</v>
      </c>
      <c r="F261"/>
    </row>
    <row r="262" spans="2:6">
      <c r="C262" t="s">
        <v>137</v>
      </c>
      <c r="D262" s="18">
        <f>3.14*((D261/100)/2)^2</f>
        <v>5.388554000000001E-2</v>
      </c>
      <c r="E262" t="s">
        <v>169</v>
      </c>
      <c r="F262"/>
    </row>
    <row r="263" spans="2:6">
      <c r="C263" t="s">
        <v>143</v>
      </c>
      <c r="D263" s="11">
        <f>D260/D262</f>
        <v>2.9631286055591164</v>
      </c>
      <c r="E263" s="4" t="s">
        <v>20</v>
      </c>
      <c r="F263" t="s">
        <v>296</v>
      </c>
    </row>
    <row r="264" spans="2:6">
      <c r="F264"/>
    </row>
    <row r="265" spans="2:6">
      <c r="B265" s="9" t="s">
        <v>122</v>
      </c>
      <c r="C265" s="10"/>
      <c r="D265" s="10"/>
      <c r="E265" s="10"/>
      <c r="F265"/>
    </row>
    <row r="266" spans="2:6">
      <c r="B266" s="19"/>
      <c r="C266" t="s">
        <v>173</v>
      </c>
      <c r="D266" s="1">
        <v>2.3039999999999998</v>
      </c>
      <c r="E266" t="s">
        <v>5</v>
      </c>
      <c r="F266"/>
    </row>
    <row r="267" spans="2:6">
      <c r="C267" t="s">
        <v>138</v>
      </c>
      <c r="D267" s="11">
        <f>3.14*((D266)/2)^2</f>
        <v>4.1671065599999997</v>
      </c>
      <c r="E267" t="s">
        <v>169</v>
      </c>
      <c r="F267"/>
    </row>
    <row r="268" spans="2:6">
      <c r="C268" t="s">
        <v>174</v>
      </c>
      <c r="D268" s="12">
        <f>D267/D262</f>
        <v>77.332556377833441</v>
      </c>
      <c r="E268" s="4" t="s">
        <v>20</v>
      </c>
      <c r="F268"/>
    </row>
    <row r="269" spans="2:6">
      <c r="C269" t="s">
        <v>139</v>
      </c>
      <c r="D269" s="1">
        <v>0.97</v>
      </c>
      <c r="E269" s="4" t="s">
        <v>20</v>
      </c>
      <c r="F269"/>
    </row>
    <row r="270" spans="2:6">
      <c r="E270" s="4"/>
      <c r="F270"/>
    </row>
    <row r="271" spans="2:6">
      <c r="B271" s="27" t="s">
        <v>221</v>
      </c>
      <c r="C271" t="s">
        <v>184</v>
      </c>
      <c r="D271" s="25">
        <f>D254</f>
        <v>1.17</v>
      </c>
      <c r="E271" s="4" t="s">
        <v>20</v>
      </c>
      <c r="F271"/>
    </row>
    <row r="272" spans="2:6">
      <c r="B272" s="27" t="s">
        <v>221</v>
      </c>
      <c r="C272" t="s">
        <v>187</v>
      </c>
      <c r="D272" s="6">
        <f>D255</f>
        <v>10.130000000000001</v>
      </c>
      <c r="E272" s="4" t="s">
        <v>120</v>
      </c>
      <c r="F272"/>
    </row>
    <row r="273" spans="2:8">
      <c r="B273" s="27" t="s">
        <v>221</v>
      </c>
      <c r="C273" t="s">
        <v>176</v>
      </c>
      <c r="D273" s="5">
        <v>4.2699999999999996</v>
      </c>
      <c r="E273" s="4" t="s">
        <v>20</v>
      </c>
      <c r="F273" t="s">
        <v>302</v>
      </c>
      <c r="H273" t="s">
        <v>304</v>
      </c>
    </row>
    <row r="274" spans="2:8">
      <c r="B274" s="27" t="s">
        <v>221</v>
      </c>
      <c r="C274" t="s">
        <v>186</v>
      </c>
      <c r="D274" s="24">
        <f>((1-(1/D269)*(((D271-1)*(D273^2))/(2+(D271-1)*(D273^2))))^(D271/(D271-1)))</f>
        <v>1.1362435544601641E-3</v>
      </c>
      <c r="E274" s="4" t="s">
        <v>20</v>
      </c>
      <c r="F274" t="s">
        <v>303</v>
      </c>
    </row>
    <row r="275" spans="2:8">
      <c r="B275" s="27" t="s">
        <v>221</v>
      </c>
      <c r="C275" t="s">
        <v>178</v>
      </c>
      <c r="D275" s="12">
        <f>D274*(D252*1000)</f>
        <v>23.40661722187938</v>
      </c>
      <c r="E275" s="4" t="s">
        <v>1</v>
      </c>
      <c r="F275"/>
    </row>
    <row r="276" spans="2:8">
      <c r="B276" s="27" t="s">
        <v>221</v>
      </c>
      <c r="C276" t="s">
        <v>179</v>
      </c>
      <c r="D276" s="8">
        <f>(D251)/(1+(((D254-1)/2)*(D273^2)))</f>
        <v>1923.2907410454134</v>
      </c>
      <c r="E276" s="4" t="s">
        <v>34</v>
      </c>
      <c r="F276" t="s">
        <v>305</v>
      </c>
    </row>
    <row r="277" spans="2:8">
      <c r="B277" s="27" t="s">
        <v>221</v>
      </c>
      <c r="C277" t="s">
        <v>180</v>
      </c>
      <c r="D277" s="8">
        <f>D273*(SQRT(D254*D276*(8.3145/(D255/1000))))</f>
        <v>5803.0541414553172</v>
      </c>
      <c r="E277" s="4" t="s">
        <v>171</v>
      </c>
      <c r="F277" t="s">
        <v>307</v>
      </c>
    </row>
    <row r="278" spans="2:8">
      <c r="E278" s="4"/>
      <c r="F278"/>
    </row>
    <row r="279" spans="2:8">
      <c r="B279" s="28" t="s">
        <v>222</v>
      </c>
      <c r="C279" t="s">
        <v>185</v>
      </c>
      <c r="D279" s="1">
        <v>1.109</v>
      </c>
      <c r="E279" s="4" t="s">
        <v>20</v>
      </c>
      <c r="F279"/>
    </row>
    <row r="280" spans="2:8">
      <c r="B280" s="28" t="s">
        <v>222</v>
      </c>
      <c r="C280" t="s">
        <v>188</v>
      </c>
      <c r="D280" s="1">
        <v>12.62</v>
      </c>
      <c r="E280" s="4" t="s">
        <v>120</v>
      </c>
      <c r="F280"/>
    </row>
    <row r="281" spans="2:8">
      <c r="B281" s="28" t="s">
        <v>222</v>
      </c>
      <c r="C281" t="s">
        <v>177</v>
      </c>
      <c r="D281" s="1">
        <v>4.2130000000000001</v>
      </c>
      <c r="E281" s="4" t="s">
        <v>20</v>
      </c>
      <c r="F281"/>
    </row>
    <row r="282" spans="2:8">
      <c r="B282" s="28" t="s">
        <v>222</v>
      </c>
      <c r="C282" t="s">
        <v>181</v>
      </c>
      <c r="D282" s="23">
        <v>26.1</v>
      </c>
      <c r="E282" s="4" t="s">
        <v>1</v>
      </c>
      <c r="F282"/>
    </row>
    <row r="283" spans="2:8">
      <c r="B283" s="28" t="s">
        <v>222</v>
      </c>
      <c r="C283" t="s">
        <v>182</v>
      </c>
      <c r="D283" s="2">
        <v>2815</v>
      </c>
      <c r="E283" s="4" t="s">
        <v>34</v>
      </c>
      <c r="F283"/>
    </row>
    <row r="284" spans="2:8">
      <c r="B284" s="28" t="s">
        <v>222</v>
      </c>
      <c r="C284" t="s">
        <v>183</v>
      </c>
      <c r="D284" s="8">
        <f>(D281*(SQRT(D279*D283*(8.3145/(D280/1000)))))</f>
        <v>6042.0570713624884</v>
      </c>
      <c r="E284" s="4" t="s">
        <v>171</v>
      </c>
      <c r="F284" t="s">
        <v>307</v>
      </c>
    </row>
    <row r="285" spans="2:8">
      <c r="F285"/>
    </row>
    <row r="286" spans="2:8">
      <c r="B286" s="9" t="s">
        <v>140</v>
      </c>
      <c r="C286" s="10"/>
      <c r="D286" s="10"/>
      <c r="E286" s="10"/>
      <c r="F286"/>
    </row>
    <row r="287" spans="2:8">
      <c r="B287" t="s">
        <v>212</v>
      </c>
      <c r="C287" t="s">
        <v>211</v>
      </c>
      <c r="D287" s="8">
        <f>(D284*D257)/1000</f>
        <v>2815.8098367918465</v>
      </c>
      <c r="E287" t="s">
        <v>189</v>
      </c>
      <c r="F287" t="s">
        <v>308</v>
      </c>
    </row>
    <row r="288" spans="2:8">
      <c r="C288" t="s">
        <v>202</v>
      </c>
      <c r="D288" s="8">
        <f>(D282-101.325)*D267</f>
        <v>-313.47059097599993</v>
      </c>
      <c r="E288" t="s">
        <v>189</v>
      </c>
      <c r="F288" t="s">
        <v>309</v>
      </c>
    </row>
    <row r="289" spans="1:7">
      <c r="C289" t="s">
        <v>203</v>
      </c>
      <c r="D289" s="8">
        <f>D287+D288</f>
        <v>2502.3392458158464</v>
      </c>
      <c r="E289" t="s">
        <v>189</v>
      </c>
      <c r="F289"/>
    </row>
    <row r="290" spans="1:7">
      <c r="C290" t="s">
        <v>191</v>
      </c>
      <c r="D290" s="22">
        <v>0.8</v>
      </c>
      <c r="E290" t="s">
        <v>190</v>
      </c>
      <c r="F290"/>
    </row>
    <row r="291" spans="1:7">
      <c r="C291" t="s">
        <v>204</v>
      </c>
      <c r="D291" s="8">
        <f>D289-(D289*(D290/100))</f>
        <v>2482.3205318493197</v>
      </c>
      <c r="E291" t="s">
        <v>189</v>
      </c>
      <c r="F291"/>
    </row>
    <row r="292" spans="1:7">
      <c r="F292"/>
    </row>
    <row r="293" spans="1:7">
      <c r="C293" t="s">
        <v>208</v>
      </c>
      <c r="D293" s="11">
        <f>(D291/((D252*1000)*D262))</f>
        <v>2.2362399391694789</v>
      </c>
      <c r="E293" s="4" t="s">
        <v>20</v>
      </c>
      <c r="F293" t="s">
        <v>313</v>
      </c>
    </row>
    <row r="294" spans="1:7">
      <c r="C294" t="s">
        <v>209</v>
      </c>
      <c r="D294" s="11">
        <f>(D287/((D252*1000)*D262))</f>
        <v>2.5366693532720799</v>
      </c>
      <c r="E294" s="4" t="s">
        <v>20</v>
      </c>
      <c r="F294"/>
    </row>
    <row r="295" spans="1:7">
      <c r="C295" t="s">
        <v>210</v>
      </c>
      <c r="D295" s="18">
        <f>D293/D294</f>
        <v>0.88156540239859271</v>
      </c>
      <c r="E295" s="4" t="s">
        <v>20</v>
      </c>
      <c r="F295"/>
    </row>
    <row r="296" spans="1:7">
      <c r="F296"/>
    </row>
    <row r="297" spans="1:7">
      <c r="C297" t="s">
        <v>205</v>
      </c>
      <c r="D297" s="11">
        <f>((D291*1000)/D257/9.81)</f>
        <v>542.96314713872925</v>
      </c>
      <c r="E297" t="s">
        <v>206</v>
      </c>
      <c r="F297" t="s">
        <v>310</v>
      </c>
      <c r="G297" s="32" t="s">
        <v>314</v>
      </c>
    </row>
    <row r="298" spans="1:7">
      <c r="F298"/>
    </row>
    <row r="299" spans="1:7">
      <c r="A299" s="33"/>
      <c r="B299" t="s">
        <v>213</v>
      </c>
      <c r="C299" t="s">
        <v>214</v>
      </c>
      <c r="D299" s="8">
        <f>D287</f>
        <v>2815.8098367918465</v>
      </c>
      <c r="E299" t="s">
        <v>189</v>
      </c>
      <c r="F299"/>
    </row>
    <row r="300" spans="1:7">
      <c r="C300" t="s">
        <v>215</v>
      </c>
      <c r="D300" s="8">
        <f>(D282)*D267</f>
        <v>108.76148121599999</v>
      </c>
      <c r="E300" t="s">
        <v>189</v>
      </c>
      <c r="F300"/>
    </row>
    <row r="301" spans="1:7">
      <c r="C301" t="s">
        <v>216</v>
      </c>
      <c r="D301" s="8">
        <f>D299+D300</f>
        <v>2924.5713180078465</v>
      </c>
      <c r="E301" t="s">
        <v>189</v>
      </c>
      <c r="F301"/>
    </row>
    <row r="302" spans="1:7">
      <c r="C302" t="s">
        <v>191</v>
      </c>
      <c r="D302" s="22">
        <v>0.8</v>
      </c>
      <c r="E302" t="s">
        <v>190</v>
      </c>
      <c r="F302"/>
    </row>
    <row r="303" spans="1:7">
      <c r="C303" t="s">
        <v>217</v>
      </c>
      <c r="D303" s="8">
        <f>D301-(D301*(D302/100))</f>
        <v>2901.1747474637837</v>
      </c>
      <c r="E303" t="s">
        <v>189</v>
      </c>
      <c r="F303"/>
    </row>
    <row r="304" spans="1:7">
      <c r="F304"/>
    </row>
    <row r="305" spans="3:6">
      <c r="C305" t="s">
        <v>218</v>
      </c>
      <c r="D305" s="11">
        <f>D303/((D252*1000)*D262)</f>
        <v>2.6135717597900663</v>
      </c>
      <c r="E305" s="4" t="s">
        <v>20</v>
      </c>
      <c r="F305" t="s">
        <v>313</v>
      </c>
    </row>
    <row r="306" spans="3:6">
      <c r="C306" t="s">
        <v>219</v>
      </c>
      <c r="D306" s="11">
        <f>D279*((2/(D279-1))*(2/(D279+1))^((D279+1)/(D279-1)))^0.5</f>
        <v>2.8429776913285068</v>
      </c>
      <c r="E306" s="4" t="s">
        <v>20</v>
      </c>
      <c r="F306" t="s">
        <v>311</v>
      </c>
    </row>
    <row r="307" spans="3:6">
      <c r="C307" t="s">
        <v>220</v>
      </c>
      <c r="D307" s="18">
        <f>D305/D306</f>
        <v>0.91930786786046137</v>
      </c>
      <c r="E307" s="4" t="s">
        <v>20</v>
      </c>
      <c r="F307"/>
    </row>
    <row r="308" spans="3:6">
      <c r="F308"/>
    </row>
    <row r="309" spans="3:6">
      <c r="C309" t="s">
        <v>207</v>
      </c>
      <c r="D309" s="11">
        <f>(D284+((D282*1000*D267)/D257))/9.81</f>
        <v>639.69758396760972</v>
      </c>
      <c r="E309" t="s">
        <v>206</v>
      </c>
      <c r="F309" t="s">
        <v>310</v>
      </c>
    </row>
    <row r="310" spans="3:6">
      <c r="F310"/>
    </row>
  </sheetData>
  <phoneticPr fontId="3" type="noConversion"/>
  <printOptions horizontalCentered="1" verticalCentered="1"/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Chandler Hutchens</cp:lastModifiedBy>
  <cp:lastPrinted>2022-12-06T19:16:40Z</cp:lastPrinted>
  <dcterms:created xsi:type="dcterms:W3CDTF">2022-10-16T18:53:38Z</dcterms:created>
  <dcterms:modified xsi:type="dcterms:W3CDTF">2023-11-28T19:54:37Z</dcterms:modified>
</cp:coreProperties>
</file>