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jithranekanayake/Documents/Anaerobic_Digestion/AD Paper 1/Supplementary Tables/"/>
    </mc:Choice>
  </mc:AlternateContent>
  <xr:revisionPtr revIDLastSave="0" documentId="13_ncr:1_{BAAD73E4-1089-B04C-A09C-E43CBDE3BDC3}" xr6:coauthVersionLast="47" xr6:coauthVersionMax="47" xr10:uidLastSave="{00000000-0000-0000-0000-000000000000}"/>
  <bookViews>
    <workbookView xWindow="0" yWindow="2360" windowWidth="36000" windowHeight="19860" activeTab="4" xr2:uid="{00000000-000D-0000-FFFF-FFFF00000000}"/>
  </bookViews>
  <sheets>
    <sheet name="PHB and Methane Yield" sheetId="1" r:id="rId1"/>
    <sheet name="ESM of Cultivation" sheetId="3" r:id="rId2"/>
    <sheet name="ESM of Anaerobic Digestion" sheetId="6" r:id="rId3"/>
    <sheet name="ESM of PHB Synthesis" sheetId="7" r:id="rId4"/>
    <sheet name="ESM per Loop Closure"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9" l="1"/>
  <c r="C5" i="9"/>
  <c r="B5" i="9"/>
  <c r="J23" i="6"/>
  <c r="J24" i="6"/>
  <c r="G27" i="6"/>
  <c r="I27" i="6" s="1"/>
  <c r="J27" i="6" s="1"/>
  <c r="L27" i="6" s="1"/>
  <c r="G26" i="6"/>
  <c r="I26" i="6" s="1"/>
  <c r="J26" i="6" s="1"/>
  <c r="L26" i="6" s="1"/>
  <c r="G25" i="6"/>
  <c r="I25" i="6" s="1"/>
  <c r="J25" i="6" s="1"/>
  <c r="L25" i="6" s="1"/>
  <c r="G24" i="6"/>
  <c r="I24" i="6" s="1"/>
  <c r="L24" i="6" s="1"/>
  <c r="G23" i="6"/>
  <c r="I23" i="6" s="1"/>
  <c r="L23" i="6" s="1"/>
  <c r="G22" i="6"/>
  <c r="I22" i="6" s="1"/>
  <c r="J22" i="6" s="1"/>
  <c r="L22" i="6" s="1"/>
  <c r="G21" i="6"/>
  <c r="I21" i="6" s="1"/>
  <c r="J21" i="6" s="1"/>
  <c r="L21" i="6" s="1"/>
  <c r="D5" i="9"/>
  <c r="A16" i="9" s="1"/>
  <c r="B18" i="7"/>
  <c r="B19" i="7" s="1"/>
  <c r="B21" i="7" s="1"/>
  <c r="R19" i="1"/>
  <c r="L19" i="1"/>
  <c r="P19" i="1"/>
  <c r="N19" i="1"/>
  <c r="M19" i="1"/>
  <c r="J19" i="1"/>
  <c r="P20" i="1"/>
  <c r="H21" i="3"/>
  <c r="I8" i="6"/>
  <c r="G8" i="6"/>
  <c r="E8" i="6"/>
  <c r="G21" i="3"/>
  <c r="F24" i="3"/>
  <c r="F21" i="3"/>
  <c r="F22" i="3"/>
  <c r="F23" i="3"/>
  <c r="F25" i="3"/>
  <c r="F26" i="3"/>
  <c r="E22" i="3"/>
  <c r="E23" i="3"/>
  <c r="E24" i="3"/>
  <c r="E25" i="3"/>
  <c r="E26" i="3"/>
  <c r="E21" i="3"/>
  <c r="M21" i="6" l="1"/>
  <c r="N21" i="6" s="1"/>
  <c r="O21" i="6" s="1"/>
  <c r="P21" i="6" s="1"/>
  <c r="Q21" i="6" s="1"/>
  <c r="C34" i="6" s="1"/>
  <c r="B22" i="7"/>
  <c r="D34" i="6" l="1"/>
  <c r="B34" i="6"/>
  <c r="A34" i="6"/>
  <c r="E34" i="6"/>
  <c r="F34" i="6"/>
  <c r="B27" i="7"/>
  <c r="C27" i="7"/>
  <c r="E27" i="7"/>
  <c r="A27" i="7"/>
  <c r="D27" i="7"/>
  <c r="C32" i="3"/>
  <c r="B32" i="3"/>
  <c r="A32" i="3"/>
  <c r="D32" i="3"/>
  <c r="F27" i="7" l="1"/>
  <c r="H8" i="3"/>
  <c r="E32" i="3" s="1"/>
  <c r="G23" i="1"/>
  <c r="I23" i="1" s="1"/>
  <c r="J23" i="1" s="1"/>
  <c r="L23" i="1" s="1"/>
  <c r="G22" i="1"/>
  <c r="I22" i="1" s="1"/>
  <c r="J22" i="1" s="1"/>
  <c r="L22" i="1" s="1"/>
  <c r="G21" i="1"/>
  <c r="I21" i="1" s="1"/>
  <c r="J21" i="1" s="1"/>
  <c r="L21" i="1" s="1"/>
  <c r="G20" i="1"/>
  <c r="I20" i="1" s="1"/>
  <c r="J20" i="1" s="1"/>
  <c r="L20" i="1" s="1"/>
  <c r="G19" i="1"/>
  <c r="I19" i="1" l="1"/>
  <c r="F32" i="3"/>
  <c r="G25" i="1"/>
  <c r="G24" i="1"/>
  <c r="I24" i="1" s="1"/>
  <c r="J24" i="1" s="1"/>
  <c r="L24" i="1" s="1"/>
  <c r="M23" i="1"/>
  <c r="N23" i="1" s="1"/>
  <c r="P23" i="1" s="1"/>
  <c r="I25" i="1" l="1"/>
  <c r="M24" i="1"/>
  <c r="N24" i="1" s="1"/>
  <c r="P24" i="1" s="1"/>
  <c r="M21" i="1"/>
  <c r="N21" i="1" s="1"/>
  <c r="P21" i="1" s="1"/>
  <c r="M20" i="1"/>
  <c r="N20" i="1" s="1"/>
  <c r="M22" i="1"/>
  <c r="N22" i="1" s="1"/>
  <c r="P22" i="1" s="1"/>
  <c r="J25" i="1" l="1"/>
  <c r="L25" i="1" s="1"/>
  <c r="M25" i="1" s="1"/>
  <c r="N25" i="1" s="1"/>
  <c r="P25" i="1" s="1"/>
  <c r="Q19" i="1"/>
</calcChain>
</file>

<file path=xl/sharedStrings.xml><?xml version="1.0" encoding="utf-8"?>
<sst xmlns="http://schemas.openxmlformats.org/spreadsheetml/2006/main" count="250" uniqueCount="139">
  <si>
    <t>Crop Symbol</t>
  </si>
  <si>
    <t>St</t>
  </si>
  <si>
    <t>Strawberries</t>
  </si>
  <si>
    <t>G</t>
  </si>
  <si>
    <t>Green Onions</t>
  </si>
  <si>
    <t>P</t>
  </si>
  <si>
    <t>Peanuts</t>
  </si>
  <si>
    <t>Pe</t>
  </si>
  <si>
    <t>Peas</t>
  </si>
  <si>
    <t>Carrots</t>
  </si>
  <si>
    <t>Sw</t>
  </si>
  <si>
    <t>Sweet Potatoes</t>
  </si>
  <si>
    <t>strawberry seeds</t>
  </si>
  <si>
    <t>whole onion</t>
  </si>
  <si>
    <t>sweet potato stem</t>
  </si>
  <si>
    <t>sweet potato leaf</t>
  </si>
  <si>
    <t>peanut shell</t>
  </si>
  <si>
    <t>pea shell</t>
  </si>
  <si>
    <t>whole carrot</t>
  </si>
  <si>
    <t>Inedible:Edible Biomass Ratio (Fresh)</t>
  </si>
  <si>
    <t>BVAD Crop</t>
  </si>
  <si>
    <t>Crop Waste Stream</t>
  </si>
  <si>
    <t>Crop Waste Stream Multiplier</t>
  </si>
  <si>
    <t>Ca</t>
  </si>
  <si>
    <t xml:space="preserve">No. of Astronauts </t>
  </si>
  <si>
    <t>g-PHB/g-methane</t>
  </si>
  <si>
    <t>g-methane/ml-methane</t>
  </si>
  <si>
    <t>Values and Assumptions</t>
  </si>
  <si>
    <t>Density of methane at 37 C</t>
  </si>
  <si>
    <t>1. Calculate the PHB yield from the VS (g) generated by 1 g of edible biomass</t>
  </si>
  <si>
    <t>2. Multiply that PHB yield by the total mass (g) of edible biomass.</t>
  </si>
  <si>
    <t>Method</t>
  </si>
  <si>
    <t>Yield of microbial conversion of methane to PHB</t>
  </si>
  <si>
    <t>Total Edible Biomass per Crop from Menu</t>
  </si>
  <si>
    <t>Example Calculation</t>
  </si>
  <si>
    <r>
      <rPr>
        <b/>
        <sz val="12"/>
        <color rgb="FF000000"/>
        <rFont val="Calibri"/>
        <family val="2"/>
        <scheme val="minor"/>
      </rPr>
      <t xml:space="preserve">Assumtion 1: </t>
    </r>
    <r>
      <rPr>
        <sz val="12"/>
        <color rgb="FF000000"/>
        <rFont val="Calibri"/>
        <family val="2"/>
        <scheme val="minor"/>
      </rPr>
      <t>100% of inedible mass of each BVAD crop is contained in the crop waste stream for which we have data.</t>
    </r>
  </si>
  <si>
    <r>
      <rPr>
        <b/>
        <sz val="12"/>
        <color rgb="FF000000"/>
        <rFont val="Calibri"/>
        <family val="2"/>
        <scheme val="minor"/>
      </rPr>
      <t xml:space="preserve">Assumption 2: </t>
    </r>
    <r>
      <rPr>
        <sz val="12"/>
        <color rgb="FF000000"/>
        <rFont val="Calibri"/>
        <family val="2"/>
        <scheme val="minor"/>
      </rPr>
      <t xml:space="preserve">If multiple waste streams are present, inedible biomass can be divided equally between them e.g., 50% each to sweet potatoes stem and leaf etc. </t>
    </r>
  </si>
  <si>
    <t>*This is always 1, unless the edible biomass is split between more than one waste streams. In that case, the multiplier is 1/[no. of waste streams] -- from Assumption 2, cell A16</t>
  </si>
  <si>
    <r>
      <rPr>
        <b/>
        <sz val="12"/>
        <color theme="1"/>
        <rFont val="Calibri"/>
        <family val="2"/>
        <scheme val="minor"/>
      </rPr>
      <t xml:space="preserve">Menu: </t>
    </r>
    <r>
      <rPr>
        <sz val="12"/>
        <color theme="1"/>
        <rFont val="Calibri"/>
        <family val="2"/>
        <scheme val="minor"/>
      </rPr>
      <t xml:space="preserve">Counter({'St': 2784, 'G': 754, 'P': 104, 'Pe': 44, 'C': 17, 'Sw': 7}) </t>
    </r>
  </si>
  <si>
    <t>From BVAD table 4-92.</t>
  </si>
  <si>
    <r>
      <rPr>
        <b/>
        <sz val="12"/>
        <color theme="1"/>
        <rFont val="Calibri"/>
        <family val="2"/>
        <scheme val="minor"/>
      </rPr>
      <t xml:space="preserve">Menu: </t>
    </r>
    <r>
      <rPr>
        <sz val="12"/>
        <color theme="1"/>
        <rFont val="Calibri"/>
        <family val="2"/>
        <scheme val="minor"/>
      </rPr>
      <t>Counter({'St': 2784, 'G': 754, 'P': 104, 'Pe': 44, 'C': 17, 'Sw': 7}) -- mutiplied in Column Q.</t>
    </r>
  </si>
  <si>
    <t>Edible Biomass Productivity -- Fresh Basis (g/m2/d)*</t>
  </si>
  <si>
    <r>
      <t>*</t>
    </r>
    <r>
      <rPr>
        <sz val="12"/>
        <color theme="1"/>
        <rFont val="Calibri (Body)"/>
      </rPr>
      <t>BVAD Table 4-90</t>
    </r>
  </si>
  <si>
    <t>Mass Equivalency Factor (kg/kg)</t>
  </si>
  <si>
    <t>Volume Equivalency Factor (kg/m3)</t>
  </si>
  <si>
    <t>Power Equivalency Factor (kg/kW)</t>
  </si>
  <si>
    <t>Thermal Control Equivalency Factor (kg/kW)</t>
  </si>
  <si>
    <t>Crew Time Equivalency Factor (kg/CM-h)</t>
  </si>
  <si>
    <t>BVAD Table 3-7</t>
  </si>
  <si>
    <t>BVAD Table 3-16</t>
  </si>
  <si>
    <t>BVAD Table 3-19</t>
  </si>
  <si>
    <t>BVAD Table 3-4</t>
  </si>
  <si>
    <t>All values from BVAD Table 4-88. CM-h was 13.1 h/m2 per year, so 1 h/day assumed when calculating monthly CM-h: (13.1/365)*30</t>
  </si>
  <si>
    <t>BVAD Table 3-12 (added 0.21 to 1 kg, assuming 1 kg secondary structure needed for 1 kg/equipment)</t>
  </si>
  <si>
    <t>Mass Required per Unit Area of Growth Chamber (kg)</t>
  </si>
  <si>
    <t>Volume Required per Unit Area of Growth Chamber (m3)</t>
  </si>
  <si>
    <t>Power Required per Unit Area of Growth Chamber (kW)</t>
  </si>
  <si>
    <t>Thermal Control Required per Unit Area of Growth Chamber (kW)</t>
  </si>
  <si>
    <t>Crew Time Required per Unit Area of of Growth Chamber (CM-h)</t>
  </si>
  <si>
    <t>**This must be an integer, so the value in E7 is always rounded up</t>
  </si>
  <si>
    <t>2. Multiply the no. of growth chambers by their operating costs and equivancy factors.</t>
  </si>
  <si>
    <t>1. Calculate no. of growth chambers needed (1 m2 growing area per chamber).</t>
  </si>
  <si>
    <t>EQUIVALENCY FACTORS</t>
  </si>
  <si>
    <t>OPERATING COSTS FOR A SINGLE GROWTH CHAMBER WITH 1 m2 GROWING AREA</t>
  </si>
  <si>
    <t>Volume ESM (kg)</t>
  </si>
  <si>
    <t>Thermal Control ESM (kg)</t>
  </si>
  <si>
    <t>Crew Time ESM (kg)</t>
  </si>
  <si>
    <t>Total ESM of Cultivation (kg)</t>
  </si>
  <si>
    <t>Total No. of 1 m2 Growth Chambers Needed Each Day**</t>
  </si>
  <si>
    <t>Daily Growth Chamber Area Needed for Cultivating Each Crop (m2)*</t>
  </si>
  <si>
    <t>Total Daily Growth Chamber Area Needed (m2)</t>
  </si>
  <si>
    <t>No. of Astronauts</t>
  </si>
  <si>
    <t>*This is calculated by dividing the total daily edible mass (g/day) by the productivity (g/m2/day)</t>
  </si>
  <si>
    <t>The no. of growth chambers needed for the monthly now simply multiplied by the mass, power, volume, thermal control and crew time operating costs and equivalency factors:</t>
  </si>
  <si>
    <t>1. Calculate no. of digesters needed (1 m3 digester volume per chamber).</t>
  </si>
  <si>
    <t>2. Multiply the no. of digesters by their operating costs and equivancy factors.</t>
  </si>
  <si>
    <t>AD Parameter</t>
  </si>
  <si>
    <t>Organic Load</t>
  </si>
  <si>
    <t>Value</t>
  </si>
  <si>
    <t>Units</t>
  </si>
  <si>
    <t>g-VS/L</t>
  </si>
  <si>
    <t>d</t>
  </si>
  <si>
    <t>The no. of anaerobic digesters needed for the daily VS fed simply multiplied by the mass, power, volume, thermal control and crew time operating costs and equivalency factors:</t>
  </si>
  <si>
    <t>Reactor Volume (L)</t>
  </si>
  <si>
    <t>Reactor Volume (m3)</t>
  </si>
  <si>
    <t>Total No. of 1 m3 Reactors Required</t>
  </si>
  <si>
    <t xml:space="preserve"> Zhang X, Ylikorpi T, Pepe G, Halme A, Pipoli T. Biomass-based fuel cells for space exploration. European Space Agency Report: Ariadna AO/1-4532/03/NL/MV; 2005.</t>
  </si>
  <si>
    <t>OPERATING COSTS FOR A SINGLE ANAEROBIC DIGESTER WITH 1 m3 VOLUME</t>
  </si>
  <si>
    <t>Total Daily VS from All Astronauts (g-VS/d)*</t>
  </si>
  <si>
    <t>From Supplementary Table 3.</t>
  </si>
  <si>
    <t xml:space="preserve">*We anticipate using a continuous anaerobic digester, with the total daily VS added each day. This means that the ESM of AD has to be calculated based on reactor volume capable of managing the total daily VS each day, over a period of 30 d. Therefore, rather than multiplying the total daily VS by 30, we calculate the reactor volume (flow rate * HRT) needed for a 30 d HRT involving each menus total daily waste VS.  </t>
  </si>
  <si>
    <t xml:space="preserve">Hydraulic Retention Time </t>
  </si>
  <si>
    <t>Flow Rate (L/d)**</t>
  </si>
  <si>
    <r>
      <rPr>
        <b/>
        <sz val="11"/>
        <color theme="1"/>
        <rFont val="Calibri"/>
        <family val="2"/>
        <scheme val="minor"/>
      </rPr>
      <t>**</t>
    </r>
    <r>
      <rPr>
        <sz val="11"/>
        <color theme="1"/>
        <rFont val="Calibri"/>
        <family val="2"/>
        <scheme val="minor"/>
      </rPr>
      <t>Reactor volume rate is by multipling the flow rate (L/d) by the HRT (d)</t>
    </r>
  </si>
  <si>
    <r>
      <rPr>
        <b/>
        <sz val="11"/>
        <color theme="1"/>
        <rFont val="Calibri"/>
        <family val="2"/>
        <scheme val="minor"/>
      </rPr>
      <t>**</t>
    </r>
    <r>
      <rPr>
        <sz val="11"/>
        <color theme="1"/>
        <rFont val="Calibri"/>
        <family val="2"/>
        <scheme val="minor"/>
      </rPr>
      <t>Flow rate is calculated by dividing total daily VS (g-VS/d) by the organic load (g-VS/L)</t>
    </r>
  </si>
  <si>
    <t>Total Daily Edible Mass (g/d)</t>
  </si>
  <si>
    <t>Daily Edible Mass per Astronaut (g/d)</t>
  </si>
  <si>
    <t>PHB Synthesis Parameter</t>
  </si>
  <si>
    <t>(must be integer, so always rounds up)</t>
  </si>
  <si>
    <t>Mass ESM (kg)</t>
  </si>
  <si>
    <t xml:space="preserve"> Power ESM (kg)</t>
  </si>
  <si>
    <t>Total ESM of Anaerobic Digestion (kg)</t>
  </si>
  <si>
    <t>Total ESM of PHB Synthesis (kg)</t>
  </si>
  <si>
    <t>Total no. of 1 m3 bioreactors needed:</t>
  </si>
  <si>
    <t>Total bioreactor volume needed:</t>
  </si>
  <si>
    <t>(mass of PHB produced each day/daily bacterial productivity)</t>
  </si>
  <si>
    <t>Menezes, A.A., Cumbers, J., Hogan, J.A. and Arkin, A.P., 2015. Towards synthetic biological approaches to resource utilization on space missions. Journal of the Royal Society interface, 12(102), p.20140715.</t>
  </si>
  <si>
    <t>Yield of microbial conversion of methane to PHB (cell B8) is from: Liu LY, Xie GJ, Xing DF, Liu BF, Ding J, Ren NQ. Biological conversion of methane to polyhydroxyalkanoates: Current advances, challenges, and perspectives. Environmental Science and Ecotechnology. 2020;2:100029. Available from: https://www.sciencedirect.com/science/article/pii/S2666498420300211.</t>
  </si>
  <si>
    <t>Mass of Crop In Menu (g)</t>
  </si>
  <si>
    <t>Mass of Fresh Inedible Waste per 1 g Edible Biomass (g)</t>
  </si>
  <si>
    <t>Mass of Inedible VS per 1 g Edible Biomass (g)</t>
  </si>
  <si>
    <t>Daily Mass of Inedible VS per Daily Edible Biomass in Menu (g)</t>
  </si>
  <si>
    <t>30 day Cumulative Methane Yield per 1 g Inedible VS (mL/g-VS) *</t>
  </si>
  <si>
    <t>*From Supplementary Table 3</t>
  </si>
  <si>
    <t>VS (%) *</t>
  </si>
  <si>
    <t>*We assume the digester has reached steady state, where each day yields the CMY from the VS fed 30 days prior.</t>
  </si>
  <si>
    <t>Daily PHB Yield per Daily Mass of Inedible VS (g-PHB/g-daily VS) *</t>
  </si>
  <si>
    <r>
      <t>Daily Collectible Mass of Methane Yield per Daily Mass of Inedible VS (g-CH</t>
    </r>
    <r>
      <rPr>
        <b/>
        <vertAlign val="subscript"/>
        <sz val="11"/>
        <color theme="1"/>
        <rFont val="Calibri (Body)"/>
      </rPr>
      <t>4</t>
    </r>
    <r>
      <rPr>
        <b/>
        <sz val="11"/>
        <color theme="1"/>
        <rFont val="Calibri"/>
        <family val="2"/>
        <scheme val="minor"/>
      </rPr>
      <t>/g-daily VS at steady state)</t>
    </r>
  </si>
  <si>
    <r>
      <t>Daily Collectible Volume of Methane per Daily Mass of Inedible VS (mL-CH</t>
    </r>
    <r>
      <rPr>
        <b/>
        <vertAlign val="subscript"/>
        <sz val="11"/>
        <color theme="1"/>
        <rFont val="Calibri (Body)"/>
      </rPr>
      <t>4</t>
    </r>
    <r>
      <rPr>
        <b/>
        <sz val="11"/>
        <color theme="1"/>
        <rFont val="Calibri"/>
        <family val="2"/>
        <scheme val="minor"/>
      </rPr>
      <t>/g-daily VS at steady state) *</t>
    </r>
  </si>
  <si>
    <t>*Daily mission PHB demand = 200 g-PHB/day</t>
  </si>
  <si>
    <t xml:space="preserve">Daily PHB Yield per 1 d Inedible VS from Six Astronauts (g-PHB/g-daily VS) </t>
  </si>
  <si>
    <t xml:space="preserve">Daily PHB Yield per per 1 d Inedible VS from Six Astronauts (g-PHB/g-daily VS) </t>
  </si>
  <si>
    <t>Daily Loop Closure per 1 d Inedible VS from Six Astronauts (%) *</t>
  </si>
  <si>
    <t xml:space="preserve">Daily Mass of PHB Produced (g/d): </t>
  </si>
  <si>
    <t xml:space="preserve">Daily Mass of PHB Oroduced (kg/30 d): </t>
  </si>
  <si>
    <t>Total PHB Produced Each Month*</t>
  </si>
  <si>
    <t>Bacterial Productivity**</t>
  </si>
  <si>
    <t>kg-PHB/d/m3</t>
  </si>
  <si>
    <t>g-PHB</t>
  </si>
  <si>
    <t>**Rodríguez, Y., García, S., Lebrero, R. and Muñoz, R., 2023. Continuous polyhydroxybutyrate production from biogas in an innovative two‐stage bioreactor configuration. Biotechnology and Bioengineering, 120(11), pp.3224-3233.</t>
  </si>
  <si>
    <t>*sheet "PHB and Methane Yield", cell Q19.</t>
  </si>
  <si>
    <t>Overall ESM</t>
  </si>
  <si>
    <t>From previous sheets:</t>
  </si>
  <si>
    <t>Total Overall ESM (kg)</t>
  </si>
  <si>
    <t>From first sheet:</t>
  </si>
  <si>
    <t xml:space="preserve">Daily Loop Closure per 1 d Inedible VS from Six Astronauts (%) </t>
  </si>
  <si>
    <t>ESM per Loop Closure</t>
  </si>
  <si>
    <t>ESM per Loop Closure (kg/%)</t>
  </si>
  <si>
    <t>Daily Mass of Inedible VS from All Astronauts (g-VS/d)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</si>
</sst>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font>
    <font>
      <b/>
      <sz val="11"/>
      <color theme="1"/>
      <name val="Calibri"/>
      <family val="2"/>
      <scheme val="minor"/>
    </font>
    <font>
      <sz val="11"/>
      <color rgb="FFFF0000"/>
      <name val="Calibri"/>
      <family val="2"/>
    </font>
    <font>
      <sz val="12"/>
      <color rgb="FF000000"/>
      <name val="Calibri"/>
      <family val="2"/>
      <scheme val="minor"/>
    </font>
    <font>
      <b/>
      <sz val="14"/>
      <color theme="1"/>
      <name val="Calibri"/>
      <family val="2"/>
      <scheme val="minor"/>
    </font>
    <font>
      <b/>
      <sz val="12"/>
      <color theme="1"/>
      <name val="Calibri (Body)"/>
    </font>
    <font>
      <b/>
      <sz val="12"/>
      <color rgb="FFFF0000"/>
      <name val="Calibri (Body)"/>
    </font>
    <font>
      <sz val="12"/>
      <color rgb="FFFF0000"/>
      <name val="Calibri"/>
      <family val="2"/>
      <scheme val="minor"/>
    </font>
    <font>
      <b/>
      <sz val="12"/>
      <color theme="1"/>
      <name val="Calibri"/>
      <family val="2"/>
      <scheme val="minor"/>
    </font>
    <font>
      <b/>
      <sz val="12"/>
      <color rgb="FF000000"/>
      <name val="Calibri"/>
      <family val="2"/>
      <scheme val="minor"/>
    </font>
    <font>
      <sz val="11"/>
      <color rgb="FFFF0000"/>
      <name val="Calibri"/>
      <family val="2"/>
      <scheme val="minor"/>
    </font>
    <font>
      <sz val="12"/>
      <color theme="1"/>
      <name val="Calibri (Body)"/>
    </font>
    <font>
      <sz val="14"/>
      <color rgb="FF000000"/>
      <name val="Calibri"/>
      <family val="2"/>
      <charset val="1"/>
    </font>
    <font>
      <sz val="12"/>
      <color rgb="FF000000"/>
      <name val="Calibri"/>
      <family val="2"/>
      <charset val="1"/>
    </font>
    <font>
      <sz val="12"/>
      <color theme="1"/>
      <name val="Calibri"/>
      <family val="2"/>
    </font>
    <font>
      <b/>
      <vertAlign val="subscript"/>
      <sz val="11"/>
      <color theme="1"/>
      <name val="Calibri (Body)"/>
    </font>
    <font>
      <b/>
      <sz val="11"/>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128">
    <xf numFmtId="0" fontId="0" fillId="0" borderId="0" xfId="0"/>
    <xf numFmtId="2" fontId="9" fillId="0" borderId="1" xfId="0" applyNumberFormat="1" applyFont="1" applyBorder="1" applyAlignment="1">
      <alignment horizontal="right" vertical="center"/>
    </xf>
    <xf numFmtId="0" fontId="7" fillId="0" borderId="1" xfId="0" applyFont="1" applyBorder="1" applyAlignment="1">
      <alignment horizontal="left" vertical="center" wrapText="1"/>
    </xf>
    <xf numFmtId="2" fontId="7" fillId="0" borderId="1" xfId="0" applyNumberFormat="1" applyFont="1" applyBorder="1" applyAlignment="1">
      <alignment horizontal="right" vertical="center"/>
    </xf>
    <xf numFmtId="0" fontId="7" fillId="0" borderId="2" xfId="0" applyFont="1" applyBorder="1" applyAlignment="1">
      <alignment horizontal="left" vertical="center" wrapText="1"/>
    </xf>
    <xf numFmtId="2" fontId="9" fillId="0" borderId="2" xfId="0" applyNumberFormat="1" applyFont="1" applyBorder="1" applyAlignment="1">
      <alignment horizontal="right" vertical="center"/>
    </xf>
    <xf numFmtId="2" fontId="7" fillId="0" borderId="2" xfId="0" applyNumberFormat="1" applyFont="1" applyBorder="1" applyAlignment="1">
      <alignment horizontal="right" vertical="center"/>
    </xf>
    <xf numFmtId="0" fontId="7" fillId="0" borderId="3" xfId="0" applyFont="1" applyBorder="1" applyAlignment="1">
      <alignment horizontal="left" vertical="center" wrapText="1"/>
    </xf>
    <xf numFmtId="2" fontId="9" fillId="0" borderId="3" xfId="0" applyNumberFormat="1" applyFont="1" applyBorder="1" applyAlignment="1">
      <alignment horizontal="right" vertical="center"/>
    </xf>
    <xf numFmtId="2" fontId="7" fillId="0" borderId="3" xfId="0" applyNumberFormat="1" applyFont="1" applyBorder="1" applyAlignment="1">
      <alignment horizontal="right" vertical="center"/>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7" fillId="0" borderId="6" xfId="0" applyFont="1" applyBorder="1" applyAlignment="1">
      <alignment horizontal="left" vertical="center" wrapText="1"/>
    </xf>
    <xf numFmtId="2" fontId="7" fillId="0" borderId="6" xfId="0" applyNumberFormat="1" applyFont="1" applyBorder="1" applyAlignment="1">
      <alignment horizontal="right" vertical="center"/>
    </xf>
    <xf numFmtId="2" fontId="9" fillId="0" borderId="6" xfId="0" applyNumberFormat="1" applyFont="1" applyBorder="1" applyAlignment="1">
      <alignment horizontal="right" vertical="center"/>
    </xf>
    <xf numFmtId="0" fontId="7" fillId="0" borderId="9" xfId="0" applyFont="1" applyBorder="1" applyAlignment="1">
      <alignment horizontal="left" vertical="center" wrapText="1"/>
    </xf>
    <xf numFmtId="2" fontId="7" fillId="0" borderId="9" xfId="0" applyNumberFormat="1" applyFont="1" applyBorder="1" applyAlignment="1">
      <alignment horizontal="right" vertical="center"/>
    </xf>
    <xf numFmtId="2" fontId="9" fillId="0" borderId="9" xfId="0" applyNumberFormat="1" applyFont="1" applyBorder="1" applyAlignment="1">
      <alignment horizontal="right" vertical="center"/>
    </xf>
    <xf numFmtId="0" fontId="0" fillId="2" borderId="8" xfId="0" applyFill="1" applyBorder="1" applyAlignment="1">
      <alignment vertical="center"/>
    </xf>
    <xf numFmtId="0" fontId="7" fillId="2" borderId="9" xfId="0" applyFont="1" applyFill="1" applyBorder="1" applyAlignment="1">
      <alignment horizontal="left" vertical="center" wrapText="1"/>
    </xf>
    <xf numFmtId="1" fontId="7" fillId="0" borderId="1" xfId="0" applyNumberFormat="1" applyFont="1" applyBorder="1" applyAlignment="1">
      <alignment horizontal="right" vertical="center"/>
    </xf>
    <xf numFmtId="1" fontId="7" fillId="0" borderId="2" xfId="0" applyNumberFormat="1" applyFont="1" applyBorder="1" applyAlignment="1">
      <alignment horizontal="right" vertical="center"/>
    </xf>
    <xf numFmtId="1" fontId="7" fillId="0" borderId="6" xfId="0" applyNumberFormat="1" applyFont="1" applyBorder="1" applyAlignment="1">
      <alignment horizontal="right" vertical="center"/>
    </xf>
    <xf numFmtId="1" fontId="7" fillId="0" borderId="9" xfId="0" applyNumberFormat="1" applyFont="1" applyBorder="1" applyAlignment="1">
      <alignment horizontal="right" vertical="center"/>
    </xf>
    <xf numFmtId="1" fontId="7" fillId="0" borderId="3" xfId="0" applyNumberFormat="1" applyFont="1" applyBorder="1" applyAlignment="1">
      <alignment horizontal="right" vertical="center"/>
    </xf>
    <xf numFmtId="0" fontId="8" fillId="0" borderId="0" xfId="0" applyFont="1" applyAlignment="1">
      <alignment vertical="center"/>
    </xf>
    <xf numFmtId="0" fontId="10" fillId="0" borderId="0" xfId="0" applyFont="1"/>
    <xf numFmtId="0" fontId="11" fillId="0" borderId="0" xfId="0" applyFont="1" applyAlignment="1">
      <alignment vertical="center"/>
    </xf>
    <xf numFmtId="0" fontId="12" fillId="0" borderId="1" xfId="0" applyFont="1" applyBorder="1" applyAlignment="1">
      <alignment vertical="center" wrapText="1"/>
    </xf>
    <xf numFmtId="0" fontId="12" fillId="0" borderId="1" xfId="0" applyFont="1" applyBorder="1" applyAlignment="1">
      <alignment horizontal="left" vertical="center" wrapText="1"/>
    </xf>
    <xf numFmtId="2" fontId="7" fillId="0" borderId="1" xfId="0" applyNumberFormat="1" applyFont="1" applyBorder="1" applyAlignment="1">
      <alignment vertical="center"/>
    </xf>
    <xf numFmtId="2" fontId="7" fillId="0" borderId="3" xfId="0" applyNumberFormat="1" applyFont="1" applyBorder="1" applyAlignment="1">
      <alignment vertical="center"/>
    </xf>
    <xf numFmtId="2" fontId="7" fillId="0" borderId="9" xfId="0" applyNumberFormat="1" applyFont="1" applyBorder="1" applyAlignment="1">
      <alignment vertical="center"/>
    </xf>
    <xf numFmtId="2" fontId="7" fillId="0" borderId="6" xfId="0" applyNumberFormat="1" applyFont="1" applyBorder="1" applyAlignment="1">
      <alignment vertical="center"/>
    </xf>
    <xf numFmtId="2" fontId="7" fillId="0" borderId="2" xfId="0" applyNumberFormat="1" applyFont="1" applyBorder="1" applyAlignment="1">
      <alignment vertical="center"/>
    </xf>
    <xf numFmtId="0" fontId="0" fillId="0" borderId="0" xfId="0" applyAlignment="1">
      <alignment vertical="center" wrapText="1"/>
    </xf>
    <xf numFmtId="0" fontId="10" fillId="0" borderId="1" xfId="0" applyFont="1" applyBorder="1"/>
    <xf numFmtId="0" fontId="15" fillId="0" borderId="1" xfId="0" applyFont="1" applyBorder="1" applyAlignment="1">
      <alignment vertical="center" wrapText="1"/>
    </xf>
    <xf numFmtId="0" fontId="6" fillId="0" borderId="0" xfId="0" applyFont="1" applyAlignment="1">
      <alignment vertical="center"/>
    </xf>
    <xf numFmtId="0" fontId="6" fillId="0" borderId="0" xfId="0" applyFont="1"/>
    <xf numFmtId="0" fontId="8" fillId="0" borderId="1" xfId="0" applyFont="1" applyBorder="1" applyAlignment="1">
      <alignment vertical="center" wrapText="1"/>
    </xf>
    <xf numFmtId="0" fontId="0" fillId="0" borderId="6" xfId="0" applyBorder="1" applyAlignment="1">
      <alignment vertical="center"/>
    </xf>
    <xf numFmtId="0" fontId="0" fillId="0" borderId="9" xfId="0" applyBorder="1" applyAlignment="1">
      <alignment vertical="center"/>
    </xf>
    <xf numFmtId="0" fontId="10" fillId="0" borderId="1" xfId="0" applyFont="1" applyBorder="1" applyAlignment="1">
      <alignment wrapText="1"/>
    </xf>
    <xf numFmtId="0" fontId="8" fillId="3" borderId="1" xfId="0" applyFont="1" applyFill="1" applyBorder="1" applyAlignment="1">
      <alignment vertical="center" wrapText="1"/>
    </xf>
    <xf numFmtId="0" fontId="0" fillId="3" borderId="1" xfId="0" applyFill="1" applyBorder="1" applyAlignment="1">
      <alignment vertical="center"/>
    </xf>
    <xf numFmtId="0" fontId="0" fillId="3" borderId="2" xfId="0" applyFill="1" applyBorder="1" applyAlignment="1">
      <alignment vertical="center"/>
    </xf>
    <xf numFmtId="0" fontId="0" fillId="3" borderId="6" xfId="0" applyFill="1" applyBorder="1" applyAlignment="1">
      <alignment vertical="center"/>
    </xf>
    <xf numFmtId="0" fontId="0" fillId="3" borderId="9" xfId="0" applyFill="1" applyBorder="1" applyAlignment="1">
      <alignment vertical="center"/>
    </xf>
    <xf numFmtId="0" fontId="0" fillId="3" borderId="3" xfId="0" applyFill="1" applyBorder="1" applyAlignment="1">
      <alignment vertical="center"/>
    </xf>
    <xf numFmtId="0" fontId="6" fillId="3" borderId="0" xfId="0" applyFont="1" applyFill="1"/>
    <xf numFmtId="0" fontId="0" fillId="3" borderId="0" xfId="0" applyFill="1" applyAlignment="1">
      <alignment vertical="center"/>
    </xf>
    <xf numFmtId="0" fontId="6" fillId="0" borderId="0" xfId="0" applyFont="1" applyAlignment="1">
      <alignment vertical="center" wrapText="1"/>
    </xf>
    <xf numFmtId="0" fontId="14" fillId="0" borderId="0" xfId="0" applyFont="1" applyAlignment="1">
      <alignment vertical="center" wrapText="1"/>
    </xf>
    <xf numFmtId="0" fontId="17" fillId="0" borderId="0" xfId="0" applyFont="1" applyAlignment="1">
      <alignment vertical="center" wrapText="1"/>
    </xf>
    <xf numFmtId="0" fontId="18" fillId="0" borderId="11" xfId="0" applyFont="1" applyBorder="1" applyAlignment="1">
      <alignment horizontal="left" vertical="center" wrapText="1"/>
    </xf>
    <xf numFmtId="0" fontId="18" fillId="0" borderId="12" xfId="0" applyFont="1" applyBorder="1" applyAlignment="1">
      <alignment horizontal="left" vertical="center" wrapText="1"/>
    </xf>
    <xf numFmtId="0" fontId="15" fillId="0" borderId="0" xfId="0" applyFont="1" applyAlignment="1">
      <alignment wrapText="1"/>
    </xf>
    <xf numFmtId="0" fontId="18" fillId="0" borderId="1" xfId="0" applyFont="1" applyBorder="1" applyAlignment="1">
      <alignment vertical="center"/>
    </xf>
    <xf numFmtId="0" fontId="19" fillId="0" borderId="8" xfId="0" applyFont="1" applyBorder="1" applyAlignment="1">
      <alignment vertical="center" wrapText="1"/>
    </xf>
    <xf numFmtId="0" fontId="19" fillId="0" borderId="9" xfId="0" applyFont="1" applyBorder="1" applyAlignment="1">
      <alignment vertical="center"/>
    </xf>
    <xf numFmtId="0" fontId="19" fillId="0" borderId="10" xfId="0" applyFont="1" applyBorder="1" applyAlignment="1">
      <alignment vertical="center"/>
    </xf>
    <xf numFmtId="0" fontId="18" fillId="0" borderId="0" xfId="0" applyFont="1" applyAlignment="1">
      <alignment vertical="center"/>
    </xf>
    <xf numFmtId="0" fontId="12" fillId="0" borderId="0" xfId="0" applyFont="1" applyAlignment="1">
      <alignment vertical="center"/>
    </xf>
    <xf numFmtId="0" fontId="12" fillId="0" borderId="11" xfId="0" applyFont="1" applyBorder="1" applyAlignment="1">
      <alignment horizontal="center" vertical="center" wrapText="1"/>
    </xf>
    <xf numFmtId="0" fontId="12" fillId="0" borderId="1" xfId="0" applyFont="1" applyBorder="1" applyAlignment="1">
      <alignment horizontal="center" vertical="center" wrapText="1"/>
    </xf>
    <xf numFmtId="0" fontId="0" fillId="0" borderId="0" xfId="0" applyAlignment="1">
      <alignment horizontal="center" vertical="center"/>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9" fillId="0" borderId="13" xfId="0" applyFont="1" applyBorder="1" applyAlignment="1">
      <alignment vertical="center"/>
    </xf>
    <xf numFmtId="0" fontId="19" fillId="0" borderId="1" xfId="0" applyFont="1" applyBorder="1" applyAlignment="1">
      <alignment vertical="center"/>
    </xf>
    <xf numFmtId="0" fontId="19" fillId="0" borderId="14" xfId="0" applyFont="1" applyBorder="1" applyAlignment="1">
      <alignment vertical="center"/>
    </xf>
    <xf numFmtId="0" fontId="8" fillId="0" borderId="1" xfId="0" applyFont="1" applyBorder="1" applyAlignment="1">
      <alignment vertical="center"/>
    </xf>
    <xf numFmtId="0" fontId="6" fillId="3" borderId="0" xfId="0" applyFont="1" applyFill="1" applyAlignment="1">
      <alignment vertical="center"/>
    </xf>
    <xf numFmtId="0" fontId="15" fillId="3" borderId="1" xfId="0" applyFont="1" applyFill="1" applyBorder="1" applyAlignment="1">
      <alignment vertical="center" wrapText="1"/>
    </xf>
    <xf numFmtId="0" fontId="6" fillId="0" borderId="1" xfId="0" applyFont="1" applyBorder="1" applyAlignment="1">
      <alignment vertical="center"/>
    </xf>
    <xf numFmtId="0" fontId="21" fillId="0" borderId="1" xfId="0" applyFont="1" applyBorder="1" applyAlignment="1">
      <alignment horizontal="left" vertical="center" wrapText="1"/>
    </xf>
    <xf numFmtId="0" fontId="6" fillId="3" borderId="1" xfId="0" applyFont="1" applyFill="1" applyBorder="1" applyAlignment="1">
      <alignment vertical="center"/>
    </xf>
    <xf numFmtId="0" fontId="8" fillId="0" borderId="1" xfId="0" applyFont="1" applyBorder="1" applyAlignment="1">
      <alignment horizontal="center" vertical="center"/>
    </xf>
    <xf numFmtId="0" fontId="18" fillId="0" borderId="0" xfId="0" applyFont="1" applyAlignment="1">
      <alignment horizontal="left" vertical="center" wrapText="1"/>
    </xf>
    <xf numFmtId="0" fontId="18" fillId="0" borderId="1" xfId="0" applyFont="1" applyBorder="1" applyAlignment="1">
      <alignment horizontal="left" vertical="center" wrapText="1"/>
    </xf>
    <xf numFmtId="0" fontId="8" fillId="0" borderId="1" xfId="0" applyFont="1" applyBorder="1" applyAlignment="1">
      <alignment horizontal="center" vertical="center" wrapText="1"/>
    </xf>
    <xf numFmtId="0" fontId="19" fillId="0" borderId="1" xfId="0" applyFont="1" applyBorder="1"/>
    <xf numFmtId="0" fontId="19" fillId="0" borderId="13" xfId="0" applyFont="1" applyBorder="1"/>
    <xf numFmtId="0" fontId="19" fillId="0" borderId="14" xfId="0" applyFont="1" applyBorder="1"/>
    <xf numFmtId="0" fontId="15" fillId="0" borderId="18"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9" xfId="0" applyFont="1" applyBorder="1" applyAlignment="1">
      <alignment horizontal="center" vertical="center" wrapText="1"/>
    </xf>
    <xf numFmtId="0" fontId="14" fillId="0" borderId="0" xfId="0" applyFont="1" applyAlignment="1">
      <alignment vertical="center"/>
    </xf>
    <xf numFmtId="0" fontId="16" fillId="0" borderId="1" xfId="0" applyFont="1" applyBorder="1" applyAlignment="1">
      <alignment vertical="center" wrapText="1"/>
    </xf>
    <xf numFmtId="0" fontId="16" fillId="0" borderId="4" xfId="0" applyFont="1" applyBorder="1" applyAlignment="1">
      <alignment vertical="center" wrapText="1"/>
    </xf>
    <xf numFmtId="0" fontId="15" fillId="0" borderId="0" xfId="0" applyFont="1" applyAlignment="1">
      <alignment vertical="center" wrapText="1"/>
    </xf>
    <xf numFmtId="0" fontId="6" fillId="0" borderId="0" xfId="0" applyFont="1" applyAlignment="1">
      <alignment horizontal="left" vertical="center" wrapText="1"/>
    </xf>
    <xf numFmtId="0" fontId="20" fillId="0" borderId="8"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xf>
    <xf numFmtId="0" fontId="13"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4" fillId="0" borderId="0" xfId="0" applyFont="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0" borderId="0" xfId="0" applyFont="1" applyAlignment="1">
      <alignment vertical="center" wrapText="1"/>
    </xf>
    <xf numFmtId="0" fontId="8" fillId="0" borderId="0" xfId="0" applyFont="1"/>
    <xf numFmtId="0" fontId="11" fillId="0" borderId="0" xfId="0" applyFont="1"/>
    <xf numFmtId="0" fontId="2" fillId="0" borderId="0" xfId="0" applyFont="1"/>
    <xf numFmtId="0" fontId="8" fillId="0" borderId="0" xfId="0" applyFont="1" applyAlignment="1">
      <alignment vertical="center" wrapText="1"/>
    </xf>
    <xf numFmtId="0" fontId="8" fillId="0" borderId="0" xfId="0" applyFont="1" applyAlignment="1">
      <alignment wrapText="1"/>
    </xf>
    <xf numFmtId="0" fontId="23" fillId="0" borderId="0" xfId="0" applyFont="1" applyAlignment="1">
      <alignment wrapText="1"/>
    </xf>
    <xf numFmtId="0" fontId="0" fillId="0" borderId="7" xfId="0" applyBorder="1" applyAlignment="1">
      <alignment vertical="center"/>
    </xf>
    <xf numFmtId="0" fontId="0" fillId="0" borderId="10" xfId="0" applyBorder="1" applyAlignment="1">
      <alignment vertical="center"/>
    </xf>
    <xf numFmtId="2" fontId="8" fillId="0" borderId="4" xfId="0" applyNumberFormat="1" applyFont="1" applyBorder="1" applyAlignment="1">
      <alignment horizontal="center" vertical="center"/>
    </xf>
    <xf numFmtId="0" fontId="5" fillId="0" borderId="20" xfId="0" applyFont="1" applyBorder="1" applyAlignment="1">
      <alignment horizontal="left" vertical="center" wrapText="1"/>
    </xf>
    <xf numFmtId="0" fontId="6" fillId="0" borderId="0" xfId="0" applyFont="1" applyAlignment="1">
      <alignment horizontal="left" vertical="center" wrapText="1"/>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6" fillId="0" borderId="1" xfId="0" applyFont="1" applyBorder="1" applyAlignment="1">
      <alignment horizontal="center" vertical="center"/>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10" xfId="0" applyFont="1" applyBorder="1" applyAlignment="1">
      <alignment horizontal="center" vertical="center" wrapText="1"/>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
  <sheetViews>
    <sheetView topLeftCell="F15" zoomScale="144" workbookViewId="0">
      <selection activeCell="E18" sqref="E18:J25"/>
    </sheetView>
  </sheetViews>
  <sheetFormatPr baseColWidth="10" defaultColWidth="8.83203125" defaultRowHeight="15" x14ac:dyDescent="0.2"/>
  <cols>
    <col min="1" max="1" width="15.83203125" style="10" customWidth="1"/>
    <col min="2" max="3" width="12" style="10" customWidth="1"/>
    <col min="4" max="4" width="14.1640625" style="10" customWidth="1"/>
    <col min="5" max="5" width="15.83203125" style="10" customWidth="1"/>
    <col min="6" max="6" width="19.83203125" style="10" customWidth="1"/>
    <col min="7" max="7" width="20.1640625" style="10" bestFit="1" customWidth="1"/>
    <col min="8" max="8" width="18" style="10" customWidth="1"/>
    <col min="9" max="9" width="15.1640625" style="10" customWidth="1"/>
    <col min="10" max="10" width="18" style="10" customWidth="1"/>
    <col min="11" max="11" width="17.1640625" style="10" customWidth="1"/>
    <col min="12" max="12" width="23.6640625" style="10" bestFit="1" customWidth="1"/>
    <col min="13" max="13" width="24.33203125" style="10" bestFit="1" customWidth="1"/>
    <col min="14" max="14" width="21.1640625" style="10" customWidth="1"/>
    <col min="15" max="15" width="13.33203125" style="10" customWidth="1"/>
    <col min="16" max="16" width="19.33203125" style="10" customWidth="1"/>
    <col min="17" max="17" width="25.1640625" style="10" customWidth="1"/>
    <col min="18" max="18" width="23.1640625" style="10" customWidth="1"/>
    <col min="19" max="16384" width="8.83203125" style="10"/>
  </cols>
  <sheetData>
    <row r="1" spans="1:11" customFormat="1" ht="19" x14ac:dyDescent="0.2">
      <c r="A1" s="30" t="s">
        <v>31</v>
      </c>
    </row>
    <row r="2" spans="1:11" customFormat="1" ht="19" x14ac:dyDescent="0.2">
      <c r="A2" s="30"/>
    </row>
    <row r="3" spans="1:11" customFormat="1" ht="16" x14ac:dyDescent="0.2">
      <c r="A3" s="41" t="s">
        <v>29</v>
      </c>
    </row>
    <row r="4" spans="1:11" customFormat="1" ht="16" x14ac:dyDescent="0.2">
      <c r="A4" s="41" t="s">
        <v>30</v>
      </c>
    </row>
    <row r="5" spans="1:11" customFormat="1" x14ac:dyDescent="0.2"/>
    <row r="6" spans="1:11" customFormat="1" ht="19" x14ac:dyDescent="0.2">
      <c r="A6" s="30" t="s">
        <v>27</v>
      </c>
    </row>
    <row r="7" spans="1:11" customFormat="1" x14ac:dyDescent="0.2"/>
    <row r="8" spans="1:11" customFormat="1" ht="66" customHeight="1" x14ac:dyDescent="0.2">
      <c r="A8" s="40" t="s">
        <v>32</v>
      </c>
      <c r="B8" s="39">
        <v>0.38500000000000001</v>
      </c>
      <c r="C8" s="46" t="s">
        <v>25</v>
      </c>
      <c r="D8" s="115" t="s">
        <v>107</v>
      </c>
      <c r="E8" s="116"/>
      <c r="F8" s="116"/>
      <c r="G8" s="116"/>
      <c r="H8" s="116"/>
      <c r="I8" s="116"/>
      <c r="J8" s="96"/>
      <c r="K8" s="10"/>
    </row>
    <row r="9" spans="1:11" customFormat="1" ht="51" x14ac:dyDescent="0.2">
      <c r="A9" s="40" t="s">
        <v>28</v>
      </c>
      <c r="B9" s="39">
        <v>6.2299999999999996E-4</v>
      </c>
      <c r="C9" s="46" t="s">
        <v>26</v>
      </c>
      <c r="D9" s="10"/>
      <c r="E9" s="42"/>
      <c r="F9" s="42"/>
      <c r="G9" s="42"/>
      <c r="H9" s="42"/>
    </row>
    <row r="10" spans="1:11" customFormat="1" ht="16" x14ac:dyDescent="0.2">
      <c r="A10" s="42"/>
      <c r="B10" s="42"/>
      <c r="C10" s="42"/>
      <c r="D10" s="42"/>
      <c r="E10" s="42"/>
      <c r="F10" s="42"/>
      <c r="G10" s="42"/>
      <c r="H10" s="42"/>
    </row>
    <row r="11" spans="1:11" customFormat="1" ht="16" x14ac:dyDescent="0.2">
      <c r="A11" s="29" t="s">
        <v>35</v>
      </c>
      <c r="B11" s="42"/>
      <c r="C11" s="42"/>
      <c r="D11" s="42"/>
      <c r="E11" s="42"/>
      <c r="F11" s="42"/>
      <c r="G11" s="42"/>
      <c r="H11" s="42"/>
    </row>
    <row r="12" spans="1:11" customFormat="1" ht="16" x14ac:dyDescent="0.2">
      <c r="A12" s="29" t="s">
        <v>36</v>
      </c>
      <c r="B12" s="42"/>
      <c r="C12" s="42"/>
      <c r="D12" s="42"/>
      <c r="E12" s="42"/>
      <c r="F12" s="42"/>
      <c r="G12" s="42"/>
      <c r="H12" s="42"/>
    </row>
    <row r="13" spans="1:11" customFormat="1" ht="16" x14ac:dyDescent="0.2">
      <c r="A13" s="10"/>
      <c r="B13" s="42"/>
      <c r="C13" s="42"/>
      <c r="D13" s="29"/>
      <c r="E13" s="41"/>
      <c r="F13" s="42"/>
      <c r="G13" s="42"/>
      <c r="H13" s="42"/>
    </row>
    <row r="14" spans="1:11" ht="19" x14ac:dyDescent="0.2">
      <c r="A14" s="30" t="s">
        <v>34</v>
      </c>
    </row>
    <row r="16" spans="1:11" ht="16" x14ac:dyDescent="0.2">
      <c r="A16" s="53" t="s">
        <v>40</v>
      </c>
      <c r="B16" s="54"/>
      <c r="C16" s="54"/>
      <c r="D16" s="54"/>
      <c r="E16" s="54"/>
      <c r="F16" s="54"/>
    </row>
    <row r="18" spans="1:18" ht="85" x14ac:dyDescent="0.2">
      <c r="A18" s="68" t="s">
        <v>0</v>
      </c>
      <c r="B18" s="68" t="s">
        <v>20</v>
      </c>
      <c r="C18" s="68" t="s">
        <v>108</v>
      </c>
      <c r="D18" s="68" t="s">
        <v>21</v>
      </c>
      <c r="E18" s="100" t="s">
        <v>19</v>
      </c>
      <c r="F18" s="68" t="s">
        <v>22</v>
      </c>
      <c r="G18" s="68" t="s">
        <v>109</v>
      </c>
      <c r="H18" s="100" t="s">
        <v>114</v>
      </c>
      <c r="I18" s="68" t="s">
        <v>110</v>
      </c>
      <c r="J18" s="68" t="s">
        <v>111</v>
      </c>
      <c r="K18" s="100" t="s">
        <v>112</v>
      </c>
      <c r="L18" s="85" t="s">
        <v>118</v>
      </c>
      <c r="M18" s="85" t="s">
        <v>117</v>
      </c>
      <c r="N18" s="85" t="s">
        <v>116</v>
      </c>
      <c r="O18" s="68" t="s">
        <v>24</v>
      </c>
      <c r="P18" s="85" t="s">
        <v>120</v>
      </c>
      <c r="Q18" s="101" t="s">
        <v>121</v>
      </c>
      <c r="R18" s="101" t="s">
        <v>122</v>
      </c>
    </row>
    <row r="19" spans="1:18" ht="16" x14ac:dyDescent="0.2">
      <c r="A19" s="11" t="s">
        <v>1</v>
      </c>
      <c r="B19" s="2" t="s">
        <v>2</v>
      </c>
      <c r="C19" s="2">
        <v>2784</v>
      </c>
      <c r="D19" s="2" t="s">
        <v>12</v>
      </c>
      <c r="E19" s="1">
        <v>1.8549049820236301</v>
      </c>
      <c r="F19" s="3">
        <v>1</v>
      </c>
      <c r="G19" s="3">
        <f t="shared" ref="G19:G25" si="0">F19*E19</f>
        <v>1.8549049820236301</v>
      </c>
      <c r="H19" s="1">
        <v>29.09</v>
      </c>
      <c r="I19" s="3">
        <f>(H19/100)*G19</f>
        <v>0.53959185927067399</v>
      </c>
      <c r="J19" s="3">
        <f>I19*C19</f>
        <v>1502.2237362095564</v>
      </c>
      <c r="K19" s="1">
        <v>136.72999999999999</v>
      </c>
      <c r="L19" s="11">
        <f>K19*J19</f>
        <v>205399.05145193264</v>
      </c>
      <c r="M19" s="11">
        <f>L19*0.000623</f>
        <v>127.96360905455403</v>
      </c>
      <c r="N19" s="33">
        <f>M19*0.385</f>
        <v>49.265989486003299</v>
      </c>
      <c r="O19" s="23">
        <v>6</v>
      </c>
      <c r="P19" s="33">
        <f>N19*O19</f>
        <v>295.59593691601981</v>
      </c>
      <c r="Q19" s="114">
        <f>SUM(P19:P25)</f>
        <v>415.97904124857013</v>
      </c>
      <c r="R19" s="114">
        <f>(Q19/200)*100</f>
        <v>207.98952062428509</v>
      </c>
    </row>
    <row r="20" spans="1:18" ht="17" thickBot="1" x14ac:dyDescent="0.25">
      <c r="A20" s="12" t="s">
        <v>3</v>
      </c>
      <c r="B20" s="4" t="s">
        <v>4</v>
      </c>
      <c r="C20" s="4">
        <v>754</v>
      </c>
      <c r="D20" s="4" t="s">
        <v>13</v>
      </c>
      <c r="E20" s="5">
        <v>0.12221950623319483</v>
      </c>
      <c r="F20" s="6">
        <v>1</v>
      </c>
      <c r="G20" s="6">
        <f t="shared" si="0"/>
        <v>0.12221950623319483</v>
      </c>
      <c r="H20" s="5">
        <v>8.41</v>
      </c>
      <c r="I20" s="3">
        <f t="shared" ref="I20:I24" si="1">(H20/100)*G20</f>
        <v>1.0278660474211686E-2</v>
      </c>
      <c r="J20" s="3">
        <f>I20*C20</f>
        <v>7.7501099975556107</v>
      </c>
      <c r="K20" s="5">
        <v>207.69</v>
      </c>
      <c r="L20" s="11">
        <f t="shared" ref="L20:L24" si="2">K20*J20</f>
        <v>1609.6203453923247</v>
      </c>
      <c r="M20" s="12">
        <f t="shared" ref="M20:M25" si="3">L20*0.000623</f>
        <v>1.0027934751794183</v>
      </c>
      <c r="N20" s="37">
        <f t="shared" ref="N20:N25" si="4">M20*0.385</f>
        <v>0.38607548794407603</v>
      </c>
      <c r="O20" s="24">
        <v>6</v>
      </c>
      <c r="P20" s="33">
        <f t="shared" ref="P20:P25" si="5">N20*O20</f>
        <v>2.3164529276644563</v>
      </c>
      <c r="Q20" s="114"/>
      <c r="R20" s="114"/>
    </row>
    <row r="21" spans="1:18" ht="32" x14ac:dyDescent="0.2">
      <c r="A21" s="14" t="s">
        <v>10</v>
      </c>
      <c r="B21" s="15" t="s">
        <v>11</v>
      </c>
      <c r="C21" s="117">
        <v>7</v>
      </c>
      <c r="D21" s="15" t="s">
        <v>15</v>
      </c>
      <c r="E21" s="17">
        <v>4.3503480278422275</v>
      </c>
      <c r="F21" s="16">
        <v>0.5</v>
      </c>
      <c r="G21" s="16">
        <f t="shared" si="0"/>
        <v>2.1751740139211138</v>
      </c>
      <c r="H21" s="17">
        <v>12.41</v>
      </c>
      <c r="I21" s="3">
        <f t="shared" si="1"/>
        <v>0.26993909512761022</v>
      </c>
      <c r="J21" s="3">
        <f>I21*C21</f>
        <v>1.8895736658932716</v>
      </c>
      <c r="K21" s="17">
        <v>221.15</v>
      </c>
      <c r="L21" s="11">
        <f t="shared" si="2"/>
        <v>417.87921621229702</v>
      </c>
      <c r="M21" s="44">
        <f t="shared" si="3"/>
        <v>0.26033875170026105</v>
      </c>
      <c r="N21" s="36">
        <f t="shared" si="4"/>
        <v>0.10023041940460051</v>
      </c>
      <c r="O21" s="25">
        <v>6</v>
      </c>
      <c r="P21" s="33">
        <f t="shared" si="5"/>
        <v>0.60138251642760299</v>
      </c>
      <c r="Q21" s="114"/>
      <c r="R21" s="114"/>
    </row>
    <row r="22" spans="1:18" ht="33" thickBot="1" x14ac:dyDescent="0.25">
      <c r="A22" s="21"/>
      <c r="B22" s="22"/>
      <c r="C22" s="118"/>
      <c r="D22" s="18" t="s">
        <v>14</v>
      </c>
      <c r="E22" s="20">
        <v>4.3503480278422275</v>
      </c>
      <c r="F22" s="19">
        <v>0.5</v>
      </c>
      <c r="G22" s="19">
        <f t="shared" si="0"/>
        <v>2.1751740139211138</v>
      </c>
      <c r="H22" s="20">
        <v>5.2</v>
      </c>
      <c r="I22" s="3">
        <f>(H22/100)*G22</f>
        <v>0.11310904872389793</v>
      </c>
      <c r="J22" s="3">
        <f>I22*C21</f>
        <v>0.79176334106728552</v>
      </c>
      <c r="K22" s="20">
        <v>195.46</v>
      </c>
      <c r="L22" s="11">
        <f t="shared" si="2"/>
        <v>154.75806264501162</v>
      </c>
      <c r="M22" s="45">
        <f t="shared" si="3"/>
        <v>9.6414273027842237E-2</v>
      </c>
      <c r="N22" s="35">
        <f t="shared" si="4"/>
        <v>3.7119495115719263E-2</v>
      </c>
      <c r="O22" s="26">
        <v>6</v>
      </c>
      <c r="P22" s="33">
        <f t="shared" si="5"/>
        <v>0.22271697069431556</v>
      </c>
      <c r="Q22" s="114"/>
      <c r="R22" s="114"/>
    </row>
    <row r="23" spans="1:18" ht="51" customHeight="1" x14ac:dyDescent="0.2">
      <c r="A23" s="13" t="s">
        <v>5</v>
      </c>
      <c r="B23" s="7" t="s">
        <v>6</v>
      </c>
      <c r="C23" s="7">
        <v>104</v>
      </c>
      <c r="D23" s="7" t="s">
        <v>16</v>
      </c>
      <c r="E23" s="8">
        <v>28.3137583892617</v>
      </c>
      <c r="F23" s="9">
        <v>1</v>
      </c>
      <c r="G23" s="9">
        <f t="shared" si="0"/>
        <v>28.3137583892617</v>
      </c>
      <c r="H23" s="8">
        <v>14.92</v>
      </c>
      <c r="I23" s="3">
        <f t="shared" si="1"/>
        <v>4.2244127516778454</v>
      </c>
      <c r="J23" s="3">
        <f>I23*C23</f>
        <v>439.3389261744959</v>
      </c>
      <c r="K23" s="8">
        <v>143.65</v>
      </c>
      <c r="L23" s="11">
        <f t="shared" si="2"/>
        <v>63111.036744966339</v>
      </c>
      <c r="M23" s="13">
        <f t="shared" si="3"/>
        <v>39.318175892114027</v>
      </c>
      <c r="N23" s="34">
        <f t="shared" si="4"/>
        <v>15.137497718463901</v>
      </c>
      <c r="O23" s="27">
        <v>6</v>
      </c>
      <c r="P23" s="33">
        <f t="shared" si="5"/>
        <v>90.824986310783402</v>
      </c>
      <c r="Q23" s="114"/>
      <c r="R23" s="114"/>
    </row>
    <row r="24" spans="1:18" ht="16" x14ac:dyDescent="0.2">
      <c r="A24" s="11" t="s">
        <v>7</v>
      </c>
      <c r="B24" s="2" t="s">
        <v>8</v>
      </c>
      <c r="C24" s="2">
        <v>44</v>
      </c>
      <c r="D24" s="2" t="s">
        <v>17</v>
      </c>
      <c r="E24" s="1">
        <v>13.196721311475411</v>
      </c>
      <c r="F24" s="3">
        <v>1</v>
      </c>
      <c r="G24" s="3">
        <f t="shared" si="0"/>
        <v>13.196721311475411</v>
      </c>
      <c r="H24" s="1">
        <v>14.36</v>
      </c>
      <c r="I24" s="3">
        <f t="shared" si="1"/>
        <v>1.8950491803278691</v>
      </c>
      <c r="J24" s="3">
        <f>I24*C24</f>
        <v>83.382163934426245</v>
      </c>
      <c r="K24" s="1">
        <v>216.35</v>
      </c>
      <c r="L24" s="11">
        <f t="shared" si="2"/>
        <v>18039.731167213118</v>
      </c>
      <c r="M24" s="11">
        <f t="shared" si="3"/>
        <v>11.238752517173772</v>
      </c>
      <c r="N24" s="33">
        <f t="shared" si="4"/>
        <v>4.3269197191119027</v>
      </c>
      <c r="O24" s="23">
        <v>6</v>
      </c>
      <c r="P24" s="33">
        <f t="shared" si="5"/>
        <v>25.961518314671416</v>
      </c>
      <c r="Q24" s="114"/>
      <c r="R24" s="114"/>
    </row>
    <row r="25" spans="1:18" ht="16" x14ac:dyDescent="0.2">
      <c r="A25" s="11" t="s">
        <v>23</v>
      </c>
      <c r="B25" s="2" t="s">
        <v>9</v>
      </c>
      <c r="C25" s="2">
        <v>17</v>
      </c>
      <c r="D25" s="2" t="s">
        <v>18</v>
      </c>
      <c r="E25" s="1">
        <v>0.80008018174528905</v>
      </c>
      <c r="F25" s="3">
        <v>1</v>
      </c>
      <c r="G25" s="3">
        <f t="shared" si="0"/>
        <v>0.80008018174528905</v>
      </c>
      <c r="H25" s="1">
        <v>11.27</v>
      </c>
      <c r="I25" s="3">
        <f>(H25/100)*G25</f>
        <v>9.0169036482694073E-2</v>
      </c>
      <c r="J25" s="3">
        <f>I25*C25</f>
        <v>1.5328736202057993</v>
      </c>
      <c r="K25" s="1">
        <v>206.73</v>
      </c>
      <c r="L25" s="11">
        <f>K25*J25</f>
        <v>316.8909635051449</v>
      </c>
      <c r="M25" s="11">
        <f t="shared" si="3"/>
        <v>0.19742307026370526</v>
      </c>
      <c r="N25" s="33">
        <f t="shared" si="4"/>
        <v>7.6007882051526532E-2</v>
      </c>
      <c r="O25" s="23">
        <v>6</v>
      </c>
      <c r="P25" s="33">
        <f t="shared" si="5"/>
        <v>0.45604729230915919</v>
      </c>
      <c r="Q25" s="114"/>
      <c r="R25" s="114"/>
    </row>
    <row r="26" spans="1:18" ht="128" x14ac:dyDescent="0.2">
      <c r="E26" s="56" t="s">
        <v>39</v>
      </c>
      <c r="F26" s="38" t="s">
        <v>37</v>
      </c>
      <c r="H26" s="57" t="s">
        <v>113</v>
      </c>
      <c r="K26" s="57" t="s">
        <v>113</v>
      </c>
      <c r="L26" s="38" t="s">
        <v>115</v>
      </c>
      <c r="M26" s="38"/>
      <c r="N26" s="38"/>
      <c r="P26" s="38"/>
      <c r="R26" s="38" t="s">
        <v>119</v>
      </c>
    </row>
    <row r="27" spans="1:18" x14ac:dyDescent="0.2">
      <c r="A27" s="28"/>
    </row>
    <row r="29" spans="1:18" x14ac:dyDescent="0.2">
      <c r="A29" s="28"/>
    </row>
    <row r="30" spans="1:18" ht="16" x14ac:dyDescent="0.2">
      <c r="B30" s="42"/>
      <c r="C30" s="42"/>
    </row>
  </sheetData>
  <mergeCells count="4">
    <mergeCell ref="Q19:Q25"/>
    <mergeCell ref="D8:I8"/>
    <mergeCell ref="C21:C22"/>
    <mergeCell ref="R19:R25"/>
  </mergeCells>
  <pageMargins left="0.75" right="0.75" top="1" bottom="1" header="0.5" footer="0.5"/>
  <ignoredErrors>
    <ignoredError sqref="J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B6E8-5FA7-994A-941D-8160331ECDE3}">
  <dimension ref="A1:H33"/>
  <sheetViews>
    <sheetView topLeftCell="A14" zoomScale="107" workbookViewId="0">
      <selection activeCell="F31" sqref="F31:F32"/>
    </sheetView>
  </sheetViews>
  <sheetFormatPr baseColWidth="10" defaultRowHeight="15" x14ac:dyDescent="0.2"/>
  <cols>
    <col min="1" max="1" width="10.83203125" style="10" customWidth="1"/>
    <col min="2" max="2" width="18" style="10" bestFit="1" customWidth="1"/>
    <col min="3" max="3" width="13.1640625" style="10" customWidth="1"/>
    <col min="4" max="4" width="30.83203125" style="10" customWidth="1"/>
    <col min="5" max="5" width="19.6640625" style="10" customWidth="1"/>
    <col min="6" max="6" width="18.1640625" style="10" customWidth="1"/>
    <col min="7" max="7" width="22.1640625" style="10" customWidth="1"/>
    <col min="8" max="8" width="22" style="10" customWidth="1"/>
    <col min="9" max="9" width="10.83203125" style="10" customWidth="1"/>
    <col min="10" max="10" width="48.33203125" style="10" bestFit="1" customWidth="1"/>
    <col min="11" max="11" width="15.83203125" style="10" customWidth="1"/>
    <col min="12" max="13" width="17.1640625" style="10" bestFit="1" customWidth="1"/>
    <col min="14" max="14" width="16.83203125" style="10" bestFit="1" customWidth="1"/>
    <col min="15" max="16384" width="10.83203125" style="10"/>
  </cols>
  <sheetData>
    <row r="1" spans="1:8" ht="19" x14ac:dyDescent="0.2">
      <c r="A1" s="30" t="s">
        <v>31</v>
      </c>
    </row>
    <row r="2" spans="1:8" x14ac:dyDescent="0.2">
      <c r="A2" s="10" t="s">
        <v>61</v>
      </c>
    </row>
    <row r="3" spans="1:8" x14ac:dyDescent="0.2">
      <c r="A3" s="10" t="s">
        <v>60</v>
      </c>
    </row>
    <row r="5" spans="1:8" ht="20" thickBot="1" x14ac:dyDescent="0.25">
      <c r="A5" s="30" t="s">
        <v>27</v>
      </c>
    </row>
    <row r="6" spans="1:8" ht="17" thickBot="1" x14ac:dyDescent="0.25">
      <c r="D6" s="123" t="s">
        <v>63</v>
      </c>
      <c r="E6" s="124"/>
      <c r="F6" s="124"/>
      <c r="G6" s="124"/>
      <c r="H6" s="125"/>
    </row>
    <row r="7" spans="1:8" ht="68" x14ac:dyDescent="0.2">
      <c r="A7" s="67" t="s">
        <v>20</v>
      </c>
      <c r="B7" s="68" t="s">
        <v>41</v>
      </c>
      <c r="C7" s="69"/>
      <c r="D7" s="70" t="s">
        <v>54</v>
      </c>
      <c r="E7" s="71" t="s">
        <v>55</v>
      </c>
      <c r="F7" s="71" t="s">
        <v>56</v>
      </c>
      <c r="G7" s="71" t="s">
        <v>57</v>
      </c>
      <c r="H7" s="72" t="s">
        <v>58</v>
      </c>
    </row>
    <row r="8" spans="1:8" ht="34" x14ac:dyDescent="0.2">
      <c r="A8" s="58" t="s">
        <v>2</v>
      </c>
      <c r="B8" s="61">
        <v>77.88</v>
      </c>
      <c r="D8" s="73">
        <v>101.5</v>
      </c>
      <c r="E8" s="74">
        <v>1.03</v>
      </c>
      <c r="F8" s="74">
        <v>2.6</v>
      </c>
      <c r="G8" s="74">
        <v>2.6</v>
      </c>
      <c r="H8" s="75">
        <f>(13.1/365)*30</f>
        <v>1.0767123287671232</v>
      </c>
    </row>
    <row r="9" spans="1:8" ht="33" customHeight="1" thickBot="1" x14ac:dyDescent="0.25">
      <c r="A9" s="59" t="s">
        <v>4</v>
      </c>
      <c r="B9" s="61">
        <v>81.819999999999993</v>
      </c>
      <c r="D9" s="120" t="s">
        <v>52</v>
      </c>
      <c r="E9" s="121"/>
      <c r="F9" s="121"/>
      <c r="G9" s="121"/>
      <c r="H9" s="122"/>
    </row>
    <row r="10" spans="1:8" ht="18" thickBot="1" x14ac:dyDescent="0.25">
      <c r="A10" s="58" t="s">
        <v>6</v>
      </c>
      <c r="B10" s="61">
        <v>5.96</v>
      </c>
    </row>
    <row r="11" spans="1:8" ht="18" thickBot="1" x14ac:dyDescent="0.25">
      <c r="A11" s="58" t="s">
        <v>8</v>
      </c>
      <c r="B11" s="61">
        <v>12.2</v>
      </c>
      <c r="D11" s="123" t="s">
        <v>62</v>
      </c>
      <c r="E11" s="124"/>
      <c r="F11" s="124"/>
      <c r="G11" s="124"/>
      <c r="H11" s="125"/>
    </row>
    <row r="12" spans="1:8" ht="51" x14ac:dyDescent="0.2">
      <c r="A12" s="58" t="s">
        <v>9</v>
      </c>
      <c r="B12" s="61">
        <v>74.83</v>
      </c>
      <c r="D12" s="70" t="s">
        <v>43</v>
      </c>
      <c r="E12" s="71" t="s">
        <v>44</v>
      </c>
      <c r="F12" s="71" t="s">
        <v>45</v>
      </c>
      <c r="G12" s="71" t="s">
        <v>46</v>
      </c>
      <c r="H12" s="72" t="s">
        <v>47</v>
      </c>
    </row>
    <row r="13" spans="1:8" ht="34" x14ac:dyDescent="0.2">
      <c r="A13" s="58" t="s">
        <v>11</v>
      </c>
      <c r="B13" s="61">
        <v>51.72</v>
      </c>
      <c r="D13" s="73">
        <v>1.21</v>
      </c>
      <c r="E13" s="74">
        <v>9.16</v>
      </c>
      <c r="F13" s="74">
        <v>54</v>
      </c>
      <c r="G13" s="74">
        <v>145</v>
      </c>
      <c r="H13" s="75">
        <v>0.94</v>
      </c>
    </row>
    <row r="14" spans="1:8" ht="81" thickBot="1" x14ac:dyDescent="0.25">
      <c r="B14" s="66" t="s">
        <v>42</v>
      </c>
      <c r="D14" s="62" t="s">
        <v>53</v>
      </c>
      <c r="E14" s="63" t="s">
        <v>48</v>
      </c>
      <c r="F14" s="63" t="s">
        <v>49</v>
      </c>
      <c r="G14" s="63" t="s">
        <v>50</v>
      </c>
      <c r="H14" s="64" t="s">
        <v>51</v>
      </c>
    </row>
    <row r="16" spans="1:8" ht="19" x14ac:dyDescent="0.2">
      <c r="A16" s="30" t="s">
        <v>34</v>
      </c>
    </row>
    <row r="18" spans="1:8" ht="16" x14ac:dyDescent="0.2">
      <c r="A18" s="53" t="s">
        <v>38</v>
      </c>
      <c r="B18" s="77"/>
      <c r="C18" s="77"/>
      <c r="D18" s="77"/>
      <c r="E18" s="41"/>
      <c r="F18" s="41"/>
    </row>
    <row r="19" spans="1:8" ht="16" x14ac:dyDescent="0.2">
      <c r="A19" s="41"/>
      <c r="B19" s="41"/>
      <c r="C19" s="41"/>
      <c r="D19" s="41"/>
      <c r="E19" s="41"/>
      <c r="F19" s="41"/>
    </row>
    <row r="20" spans="1:8" ht="85" x14ac:dyDescent="0.2">
      <c r="A20" s="31" t="s">
        <v>0</v>
      </c>
      <c r="B20" s="32" t="s">
        <v>20</v>
      </c>
      <c r="C20" s="78" t="s">
        <v>96</v>
      </c>
      <c r="D20" s="76" t="s">
        <v>71</v>
      </c>
      <c r="E20" s="43" t="s">
        <v>95</v>
      </c>
      <c r="F20" s="40" t="s">
        <v>69</v>
      </c>
      <c r="G20" s="40" t="s">
        <v>70</v>
      </c>
      <c r="H20" s="40" t="s">
        <v>68</v>
      </c>
    </row>
    <row r="21" spans="1:8" ht="17" x14ac:dyDescent="0.2">
      <c r="A21" s="79" t="s">
        <v>1</v>
      </c>
      <c r="B21" s="80" t="s">
        <v>2</v>
      </c>
      <c r="C21" s="81">
        <v>2784</v>
      </c>
      <c r="D21" s="11">
        <v>6</v>
      </c>
      <c r="E21" s="11">
        <f>C21*D21</f>
        <v>16704</v>
      </c>
      <c r="F21" s="79">
        <f>E21/B8</f>
        <v>214.4838212634823</v>
      </c>
      <c r="G21" s="119">
        <f>SUM(F21:F26)</f>
        <v>398.28841135797165</v>
      </c>
      <c r="H21" s="119">
        <f>_xlfn.CEILING.MATH(G21)</f>
        <v>399</v>
      </c>
    </row>
    <row r="22" spans="1:8" ht="17" x14ac:dyDescent="0.2">
      <c r="A22" s="79" t="s">
        <v>3</v>
      </c>
      <c r="B22" s="80" t="s">
        <v>4</v>
      </c>
      <c r="C22" s="81">
        <v>754</v>
      </c>
      <c r="D22" s="11">
        <v>6</v>
      </c>
      <c r="E22" s="11">
        <f t="shared" ref="E22:E26" si="0">C22*D22</f>
        <v>4524</v>
      </c>
      <c r="F22" s="79">
        <f t="shared" ref="F22:F26" si="1">E22/B9</f>
        <v>55.292104619897337</v>
      </c>
      <c r="G22" s="119"/>
      <c r="H22" s="119"/>
    </row>
    <row r="23" spans="1:8" ht="17" x14ac:dyDescent="0.2">
      <c r="A23" s="79" t="s">
        <v>5</v>
      </c>
      <c r="B23" s="80" t="s">
        <v>6</v>
      </c>
      <c r="C23" s="81">
        <v>104</v>
      </c>
      <c r="D23" s="11">
        <v>6</v>
      </c>
      <c r="E23" s="11">
        <f t="shared" si="0"/>
        <v>624</v>
      </c>
      <c r="F23" s="79">
        <f t="shared" si="1"/>
        <v>104.69798657718121</v>
      </c>
      <c r="G23" s="119"/>
      <c r="H23" s="119"/>
    </row>
    <row r="24" spans="1:8" ht="17" x14ac:dyDescent="0.2">
      <c r="A24" s="79" t="s">
        <v>7</v>
      </c>
      <c r="B24" s="80" t="s">
        <v>8</v>
      </c>
      <c r="C24" s="81">
        <v>44</v>
      </c>
      <c r="D24" s="11">
        <v>6</v>
      </c>
      <c r="E24" s="11">
        <f t="shared" si="0"/>
        <v>264</v>
      </c>
      <c r="F24" s="79">
        <f>E24/B11</f>
        <v>21.639344262295083</v>
      </c>
      <c r="G24" s="119"/>
      <c r="H24" s="119"/>
    </row>
    <row r="25" spans="1:8" ht="17" x14ac:dyDescent="0.2">
      <c r="A25" s="79" t="s">
        <v>23</v>
      </c>
      <c r="B25" s="80" t="s">
        <v>9</v>
      </c>
      <c r="C25" s="81">
        <v>17</v>
      </c>
      <c r="D25" s="11">
        <v>6</v>
      </c>
      <c r="E25" s="11">
        <f t="shared" si="0"/>
        <v>102</v>
      </c>
      <c r="F25" s="79">
        <f t="shared" si="1"/>
        <v>1.363089669918482</v>
      </c>
      <c r="G25" s="119"/>
      <c r="H25" s="119"/>
    </row>
    <row r="26" spans="1:8" ht="17" x14ac:dyDescent="0.2">
      <c r="A26" s="79" t="s">
        <v>10</v>
      </c>
      <c r="B26" s="80" t="s">
        <v>11</v>
      </c>
      <c r="C26" s="81">
        <v>7</v>
      </c>
      <c r="D26" s="11">
        <v>6</v>
      </c>
      <c r="E26" s="11">
        <f t="shared" si="0"/>
        <v>42</v>
      </c>
      <c r="F26" s="79">
        <f t="shared" si="1"/>
        <v>0.81206496519721583</v>
      </c>
      <c r="G26" s="119"/>
      <c r="H26" s="119"/>
    </row>
    <row r="27" spans="1:8" ht="102" x14ac:dyDescent="0.2">
      <c r="A27" s="41"/>
      <c r="B27" s="41"/>
      <c r="C27" s="41"/>
      <c r="F27" s="55" t="s">
        <v>72</v>
      </c>
      <c r="G27" s="41"/>
      <c r="H27" s="55" t="s">
        <v>59</v>
      </c>
    </row>
    <row r="28" spans="1:8" ht="16" x14ac:dyDescent="0.2">
      <c r="A28" s="41"/>
      <c r="B28" s="41"/>
      <c r="C28" s="41"/>
      <c r="D28" s="41"/>
      <c r="E28" s="41"/>
      <c r="F28" s="41"/>
    </row>
    <row r="29" spans="1:8" ht="16" x14ac:dyDescent="0.2">
      <c r="A29" s="102" t="s">
        <v>73</v>
      </c>
      <c r="B29" s="41"/>
      <c r="C29" s="41"/>
      <c r="D29" s="41"/>
      <c r="E29" s="41"/>
      <c r="F29" s="41"/>
    </row>
    <row r="30" spans="1:8" ht="16" x14ac:dyDescent="0.2">
      <c r="A30" s="41"/>
      <c r="B30" s="41"/>
      <c r="C30" s="41"/>
      <c r="D30" s="41"/>
      <c r="E30" s="41"/>
      <c r="F30" s="41"/>
    </row>
    <row r="31" spans="1:8" ht="34" x14ac:dyDescent="0.2">
      <c r="A31" s="40" t="s">
        <v>99</v>
      </c>
      <c r="B31" s="40" t="s">
        <v>64</v>
      </c>
      <c r="C31" s="40" t="s">
        <v>100</v>
      </c>
      <c r="D31" s="40" t="s">
        <v>65</v>
      </c>
      <c r="E31" s="40" t="s">
        <v>66</v>
      </c>
      <c r="F31" s="40" t="s">
        <v>67</v>
      </c>
    </row>
    <row r="32" spans="1:8" ht="16" x14ac:dyDescent="0.2">
      <c r="A32" s="79">
        <f>$H$21*D8*D13</f>
        <v>49003.184999999998</v>
      </c>
      <c r="B32" s="79">
        <f>$H$21*E8*E13</f>
        <v>3764.4852000000005</v>
      </c>
      <c r="C32" s="79">
        <f>$H$21*F8*F13</f>
        <v>56019.600000000006</v>
      </c>
      <c r="D32" s="79">
        <f>$H$21*G8*G13</f>
        <v>150423</v>
      </c>
      <c r="E32" s="79">
        <f>$H$21*H8*H13</f>
        <v>403.83172602739722</v>
      </c>
      <c r="F32" s="79">
        <f>SUM(A32:E32)</f>
        <v>259614.10192602739</v>
      </c>
    </row>
    <row r="33" spans="1:1" ht="16" x14ac:dyDescent="0.2">
      <c r="A33" s="65"/>
    </row>
  </sheetData>
  <mergeCells count="5">
    <mergeCell ref="G21:G26"/>
    <mergeCell ref="H21:H26"/>
    <mergeCell ref="D9:H9"/>
    <mergeCell ref="D11:H11"/>
    <mergeCell ref="D6: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E2644-1F6F-6C46-A8D7-A0366F15114A}">
  <dimension ref="A1:Q35"/>
  <sheetViews>
    <sheetView topLeftCell="A12" zoomScale="107" workbookViewId="0">
      <selection activeCell="L28" sqref="L28"/>
    </sheetView>
  </sheetViews>
  <sheetFormatPr baseColWidth="10" defaultRowHeight="15" x14ac:dyDescent="0.2"/>
  <cols>
    <col min="1" max="1" width="10.83203125" style="10" customWidth="1"/>
    <col min="2" max="2" width="18" style="10" bestFit="1" customWidth="1"/>
    <col min="3" max="3" width="13.1640625" style="10" customWidth="1"/>
    <col min="4" max="4" width="30.83203125" style="10" customWidth="1"/>
    <col min="5" max="5" width="19.6640625" style="10" customWidth="1"/>
    <col min="6" max="6" width="18.1640625" style="10" customWidth="1"/>
    <col min="7" max="7" width="23.33203125" style="10" customWidth="1"/>
    <col min="8" max="8" width="22" style="10" customWidth="1"/>
    <col min="9" max="9" width="22.83203125" style="10" customWidth="1"/>
    <col min="10" max="10" width="25.1640625" style="10" customWidth="1"/>
    <col min="11" max="11" width="15.83203125" style="10" customWidth="1"/>
    <col min="12" max="12" width="17.1640625" style="10" bestFit="1" customWidth="1"/>
    <col min="13" max="13" width="54.1640625" style="10" customWidth="1"/>
    <col min="14" max="14" width="16.83203125" style="10" bestFit="1" customWidth="1"/>
    <col min="15" max="15" width="19.5" style="10" customWidth="1"/>
    <col min="16" max="16384" width="10.83203125" style="10"/>
  </cols>
  <sheetData>
    <row r="1" spans="1:9" ht="19" x14ac:dyDescent="0.2">
      <c r="A1" s="30" t="s">
        <v>31</v>
      </c>
    </row>
    <row r="2" spans="1:9" x14ac:dyDescent="0.2">
      <c r="A2" s="10" t="s">
        <v>74</v>
      </c>
    </row>
    <row r="3" spans="1:9" x14ac:dyDescent="0.2">
      <c r="A3" s="10" t="s">
        <v>75</v>
      </c>
    </row>
    <row r="5" spans="1:9" ht="20" thickBot="1" x14ac:dyDescent="0.25">
      <c r="A5" s="30" t="s">
        <v>27</v>
      </c>
    </row>
    <row r="6" spans="1:9" ht="17" thickBot="1" x14ac:dyDescent="0.25">
      <c r="E6" s="123" t="s">
        <v>87</v>
      </c>
      <c r="F6" s="124"/>
      <c r="G6" s="124"/>
      <c r="H6" s="124"/>
      <c r="I6" s="125"/>
    </row>
    <row r="7" spans="1:9" ht="68" x14ac:dyDescent="0.2">
      <c r="A7" s="68" t="s">
        <v>76</v>
      </c>
      <c r="B7" s="68" t="s">
        <v>78</v>
      </c>
      <c r="C7" s="82" t="s">
        <v>79</v>
      </c>
      <c r="E7" s="70" t="s">
        <v>54</v>
      </c>
      <c r="F7" s="71" t="s">
        <v>55</v>
      </c>
      <c r="G7" s="71" t="s">
        <v>56</v>
      </c>
      <c r="H7" s="71" t="s">
        <v>57</v>
      </c>
      <c r="I7" s="72" t="s">
        <v>58</v>
      </c>
    </row>
    <row r="8" spans="1:9" ht="34" x14ac:dyDescent="0.25">
      <c r="A8" s="84" t="s">
        <v>77</v>
      </c>
      <c r="B8" s="61">
        <v>30</v>
      </c>
      <c r="C8" s="11" t="s">
        <v>80</v>
      </c>
      <c r="E8" s="87">
        <f>181/2</f>
        <v>90.5</v>
      </c>
      <c r="F8" s="86">
        <v>1</v>
      </c>
      <c r="G8" s="86">
        <f>0.368/2</f>
        <v>0.184</v>
      </c>
      <c r="H8" s="86">
        <v>0</v>
      </c>
      <c r="I8" s="88">
        <f>0.29/(2*7*24)</f>
        <v>8.63095238095238E-4</v>
      </c>
    </row>
    <row r="9" spans="1:9" ht="52" thickBot="1" x14ac:dyDescent="0.25">
      <c r="A9" s="84" t="s">
        <v>91</v>
      </c>
      <c r="B9" s="61">
        <v>30</v>
      </c>
      <c r="C9" s="11" t="s">
        <v>81</v>
      </c>
      <c r="E9" s="120" t="s">
        <v>86</v>
      </c>
      <c r="F9" s="121"/>
      <c r="G9" s="121"/>
      <c r="H9" s="121"/>
      <c r="I9" s="122"/>
    </row>
    <row r="10" spans="1:9" ht="17" thickBot="1" x14ac:dyDescent="0.25">
      <c r="A10" s="83"/>
      <c r="B10" s="65"/>
    </row>
    <row r="11" spans="1:9" ht="17" thickBot="1" x14ac:dyDescent="0.25">
      <c r="A11" s="83"/>
      <c r="B11" s="65"/>
      <c r="E11" s="123" t="s">
        <v>62</v>
      </c>
      <c r="F11" s="124"/>
      <c r="G11" s="124"/>
      <c r="H11" s="124"/>
      <c r="I11" s="125"/>
    </row>
    <row r="12" spans="1:9" ht="51" x14ac:dyDescent="0.2">
      <c r="A12" s="83"/>
      <c r="B12" s="65"/>
      <c r="E12" s="89" t="s">
        <v>43</v>
      </c>
      <c r="F12" s="90" t="s">
        <v>44</v>
      </c>
      <c r="G12" s="90" t="s">
        <v>45</v>
      </c>
      <c r="H12" s="90" t="s">
        <v>46</v>
      </c>
      <c r="I12" s="91" t="s">
        <v>47</v>
      </c>
    </row>
    <row r="13" spans="1:9" ht="19" x14ac:dyDescent="0.25">
      <c r="A13" s="83"/>
      <c r="B13" s="65"/>
      <c r="E13" s="87">
        <v>1</v>
      </c>
      <c r="F13" s="86">
        <v>2.08</v>
      </c>
      <c r="G13" s="86">
        <v>320</v>
      </c>
      <c r="H13" s="86">
        <v>0</v>
      </c>
      <c r="I13" s="88">
        <v>4911</v>
      </c>
    </row>
    <row r="14" spans="1:9" ht="34" customHeight="1" thickBot="1" x14ac:dyDescent="0.25">
      <c r="B14" s="66"/>
      <c r="E14" s="120" t="s">
        <v>86</v>
      </c>
      <c r="F14" s="121"/>
      <c r="G14" s="121"/>
      <c r="H14" s="121"/>
      <c r="I14" s="122"/>
    </row>
    <row r="16" spans="1:9" ht="19" x14ac:dyDescent="0.2">
      <c r="A16" s="30" t="s">
        <v>34</v>
      </c>
    </row>
    <row r="18" spans="1:17" ht="16" x14ac:dyDescent="0.2">
      <c r="A18" s="53" t="s">
        <v>38</v>
      </c>
      <c r="B18" s="77"/>
      <c r="C18" s="77"/>
      <c r="D18" s="77"/>
      <c r="E18" s="41"/>
      <c r="F18" s="41"/>
    </row>
    <row r="19" spans="1:17" ht="16" x14ac:dyDescent="0.2">
      <c r="A19" s="41"/>
      <c r="B19" s="41"/>
      <c r="C19" s="41"/>
      <c r="D19" s="41"/>
      <c r="E19" s="41"/>
      <c r="F19" s="41"/>
    </row>
    <row r="20" spans="1:17" ht="64" x14ac:dyDescent="0.2">
      <c r="A20" s="31" t="s">
        <v>0</v>
      </c>
      <c r="B20" s="32" t="s">
        <v>20</v>
      </c>
      <c r="C20" s="47" t="s">
        <v>33</v>
      </c>
      <c r="D20" s="32" t="s">
        <v>21</v>
      </c>
      <c r="E20" s="100" t="s">
        <v>19</v>
      </c>
      <c r="F20" s="68" t="s">
        <v>22</v>
      </c>
      <c r="G20" s="68" t="s">
        <v>109</v>
      </c>
      <c r="H20" s="100" t="s">
        <v>114</v>
      </c>
      <c r="I20" s="68" t="s">
        <v>110</v>
      </c>
      <c r="J20" s="68" t="s">
        <v>111</v>
      </c>
      <c r="K20" s="76" t="s">
        <v>71</v>
      </c>
      <c r="L20" s="43" t="s">
        <v>138</v>
      </c>
      <c r="M20" s="43" t="s">
        <v>88</v>
      </c>
      <c r="N20" s="76" t="s">
        <v>92</v>
      </c>
      <c r="O20" s="85" t="s">
        <v>83</v>
      </c>
      <c r="P20" s="85" t="s">
        <v>84</v>
      </c>
      <c r="Q20" s="43" t="s">
        <v>85</v>
      </c>
    </row>
    <row r="21" spans="1:17" ht="16" x14ac:dyDescent="0.2">
      <c r="A21" s="11" t="s">
        <v>1</v>
      </c>
      <c r="B21" s="2" t="s">
        <v>2</v>
      </c>
      <c r="C21" s="48">
        <v>2784</v>
      </c>
      <c r="D21" s="2" t="s">
        <v>12</v>
      </c>
      <c r="E21" s="1">
        <v>1.8549049820236301</v>
      </c>
      <c r="F21" s="3">
        <v>1</v>
      </c>
      <c r="G21" s="3">
        <f t="shared" ref="G21:G27" si="0">F21*E21</f>
        <v>1.8549049820236301</v>
      </c>
      <c r="H21" s="1">
        <v>29.09</v>
      </c>
      <c r="I21" s="3">
        <f>(H21/100)*G21</f>
        <v>0.53959185927067399</v>
      </c>
      <c r="J21" s="3">
        <f>I21*C21</f>
        <v>1502.2237362095564</v>
      </c>
      <c r="K21" s="11">
        <v>6</v>
      </c>
      <c r="L21" s="11">
        <f>K21*J21</f>
        <v>9013.3424172573377</v>
      </c>
      <c r="M21" s="126">
        <f>SUM(L21:L27)</f>
        <v>12221.454881659201</v>
      </c>
      <c r="N21" s="126">
        <f>M21/B8</f>
        <v>407.38182938864003</v>
      </c>
      <c r="O21" s="126">
        <f>N21*B9</f>
        <v>12221.454881659201</v>
      </c>
      <c r="P21" s="126">
        <f>O21/1000</f>
        <v>12.221454881659202</v>
      </c>
      <c r="Q21" s="126">
        <f>_xlfn.CEILING.MATH(P21)</f>
        <v>13</v>
      </c>
    </row>
    <row r="22" spans="1:17" ht="17" thickBot="1" x14ac:dyDescent="0.25">
      <c r="A22" s="12" t="s">
        <v>3</v>
      </c>
      <c r="B22" s="4" t="s">
        <v>4</v>
      </c>
      <c r="C22" s="49">
        <v>754</v>
      </c>
      <c r="D22" s="4" t="s">
        <v>13</v>
      </c>
      <c r="E22" s="5">
        <v>0.12221950623319483</v>
      </c>
      <c r="F22" s="6">
        <v>1</v>
      </c>
      <c r="G22" s="6">
        <f t="shared" si="0"/>
        <v>0.12221950623319483</v>
      </c>
      <c r="H22" s="5">
        <v>8.41</v>
      </c>
      <c r="I22" s="6">
        <f t="shared" ref="I22:I26" si="1">(H22/100)*G22</f>
        <v>1.0278660474211686E-2</v>
      </c>
      <c r="J22" s="6">
        <f>I22*C22</f>
        <v>7.7501099975556107</v>
      </c>
      <c r="K22" s="12">
        <v>6</v>
      </c>
      <c r="L22" s="12">
        <f t="shared" ref="L22:L27" si="2">K22*J22</f>
        <v>46.500659985333662</v>
      </c>
      <c r="M22" s="126"/>
      <c r="N22" s="126"/>
      <c r="O22" s="126"/>
      <c r="P22" s="126"/>
      <c r="Q22" s="126"/>
    </row>
    <row r="23" spans="1:17" ht="16" x14ac:dyDescent="0.2">
      <c r="A23" s="14" t="s">
        <v>10</v>
      </c>
      <c r="B23" s="15" t="s">
        <v>11</v>
      </c>
      <c r="C23" s="50">
        <v>7</v>
      </c>
      <c r="D23" s="15" t="s">
        <v>15</v>
      </c>
      <c r="E23" s="17">
        <v>4.3503480278422275</v>
      </c>
      <c r="F23" s="16">
        <v>0.5</v>
      </c>
      <c r="G23" s="16">
        <f t="shared" si="0"/>
        <v>2.1751740139211138</v>
      </c>
      <c r="H23" s="17">
        <v>12.41</v>
      </c>
      <c r="I23" s="16">
        <f t="shared" si="1"/>
        <v>0.26993909512761022</v>
      </c>
      <c r="J23" s="16">
        <f>I23*C23</f>
        <v>1.8895736658932716</v>
      </c>
      <c r="K23" s="44">
        <v>6</v>
      </c>
      <c r="L23" s="112">
        <f t="shared" si="2"/>
        <v>11.337441995359629</v>
      </c>
      <c r="M23" s="127"/>
      <c r="N23" s="126"/>
      <c r="O23" s="126"/>
      <c r="P23" s="126"/>
      <c r="Q23" s="126"/>
    </row>
    <row r="24" spans="1:17" ht="17" thickBot="1" x14ac:dyDescent="0.25">
      <c r="A24" s="21"/>
      <c r="B24" s="22"/>
      <c r="C24" s="51"/>
      <c r="D24" s="18" t="s">
        <v>14</v>
      </c>
      <c r="E24" s="20">
        <v>4.3503480278422275</v>
      </c>
      <c r="F24" s="19">
        <v>0.5</v>
      </c>
      <c r="G24" s="19">
        <f t="shared" si="0"/>
        <v>2.1751740139211138</v>
      </c>
      <c r="H24" s="20">
        <v>5.2</v>
      </c>
      <c r="I24" s="19">
        <f>(H24/100)*G24</f>
        <v>0.11310904872389793</v>
      </c>
      <c r="J24" s="19">
        <f>I24*C23</f>
        <v>0.79176334106728552</v>
      </c>
      <c r="K24" s="45">
        <v>6</v>
      </c>
      <c r="L24" s="113">
        <f t="shared" si="2"/>
        <v>4.7505800464037131</v>
      </c>
      <c r="M24" s="127"/>
      <c r="N24" s="126"/>
      <c r="O24" s="126"/>
      <c r="P24" s="126"/>
      <c r="Q24" s="126"/>
    </row>
    <row r="25" spans="1:17" ht="16" x14ac:dyDescent="0.2">
      <c r="A25" s="13" t="s">
        <v>5</v>
      </c>
      <c r="B25" s="7" t="s">
        <v>6</v>
      </c>
      <c r="C25" s="52">
        <v>104</v>
      </c>
      <c r="D25" s="7" t="s">
        <v>16</v>
      </c>
      <c r="E25" s="8">
        <v>28.3137583892617</v>
      </c>
      <c r="F25" s="9">
        <v>1</v>
      </c>
      <c r="G25" s="9">
        <f t="shared" si="0"/>
        <v>28.3137583892617</v>
      </c>
      <c r="H25" s="8">
        <v>14.92</v>
      </c>
      <c r="I25" s="9">
        <f t="shared" si="1"/>
        <v>4.2244127516778454</v>
      </c>
      <c r="J25" s="9">
        <f>I25*C25</f>
        <v>439.3389261744959</v>
      </c>
      <c r="K25" s="13">
        <v>6</v>
      </c>
      <c r="L25" s="13">
        <f t="shared" si="2"/>
        <v>2636.0335570469751</v>
      </c>
      <c r="M25" s="126"/>
      <c r="N25" s="126"/>
      <c r="O25" s="126"/>
      <c r="P25" s="126"/>
      <c r="Q25" s="126"/>
    </row>
    <row r="26" spans="1:17" ht="16" x14ac:dyDescent="0.2">
      <c r="A26" s="11" t="s">
        <v>7</v>
      </c>
      <c r="B26" s="2" t="s">
        <v>8</v>
      </c>
      <c r="C26" s="48">
        <v>44</v>
      </c>
      <c r="D26" s="2" t="s">
        <v>17</v>
      </c>
      <c r="E26" s="1">
        <v>13.196721311475411</v>
      </c>
      <c r="F26" s="3">
        <v>1</v>
      </c>
      <c r="G26" s="3">
        <f t="shared" si="0"/>
        <v>13.196721311475411</v>
      </c>
      <c r="H26" s="1">
        <v>14.36</v>
      </c>
      <c r="I26" s="3">
        <f t="shared" si="1"/>
        <v>1.8950491803278691</v>
      </c>
      <c r="J26" s="3">
        <f>I26*C26</f>
        <v>83.382163934426245</v>
      </c>
      <c r="K26" s="11">
        <v>6</v>
      </c>
      <c r="L26" s="11">
        <f t="shared" si="2"/>
        <v>500.29298360655747</v>
      </c>
      <c r="M26" s="126"/>
      <c r="N26" s="126"/>
      <c r="O26" s="126"/>
      <c r="P26" s="126"/>
      <c r="Q26" s="126"/>
    </row>
    <row r="27" spans="1:17" ht="16" x14ac:dyDescent="0.2">
      <c r="A27" s="11" t="s">
        <v>23</v>
      </c>
      <c r="B27" s="2" t="s">
        <v>9</v>
      </c>
      <c r="C27" s="48">
        <v>17</v>
      </c>
      <c r="D27" s="2" t="s">
        <v>18</v>
      </c>
      <c r="E27" s="1">
        <v>0.80008018174528905</v>
      </c>
      <c r="F27" s="3">
        <v>1</v>
      </c>
      <c r="G27" s="3">
        <f t="shared" si="0"/>
        <v>0.80008018174528905</v>
      </c>
      <c r="H27" s="1">
        <v>11.27</v>
      </c>
      <c r="I27" s="3">
        <f>(H27/100)*G27</f>
        <v>9.0169036482694073E-2</v>
      </c>
      <c r="J27" s="3">
        <f>I27*C27</f>
        <v>1.5328736202057993</v>
      </c>
      <c r="K27" s="11">
        <v>6</v>
      </c>
      <c r="L27" s="11">
        <f t="shared" si="2"/>
        <v>9.1972417212347963</v>
      </c>
      <c r="M27" s="126"/>
      <c r="N27" s="126"/>
      <c r="O27" s="126"/>
      <c r="P27" s="126"/>
      <c r="Q27" s="126"/>
    </row>
    <row r="28" spans="1:17" ht="112" x14ac:dyDescent="0.2">
      <c r="A28" s="41"/>
      <c r="B28" s="41"/>
      <c r="C28" s="41"/>
      <c r="D28" s="41"/>
      <c r="E28" s="92" t="s">
        <v>39</v>
      </c>
      <c r="H28" s="57" t="s">
        <v>89</v>
      </c>
      <c r="I28" s="57" t="s">
        <v>89</v>
      </c>
      <c r="M28" s="38" t="s">
        <v>90</v>
      </c>
      <c r="N28" s="38" t="s">
        <v>94</v>
      </c>
      <c r="O28" s="38" t="s">
        <v>93</v>
      </c>
    </row>
    <row r="29" spans="1:17" ht="16" x14ac:dyDescent="0.2">
      <c r="A29" s="41"/>
      <c r="B29" s="41"/>
      <c r="C29" s="41"/>
      <c r="D29" s="41"/>
      <c r="E29" s="41"/>
      <c r="F29" s="41"/>
    </row>
    <row r="30" spans="1:17" ht="16" x14ac:dyDescent="0.2">
      <c r="A30" s="41"/>
      <c r="B30" s="41"/>
      <c r="C30" s="41"/>
      <c r="D30" s="41"/>
      <c r="E30" s="41"/>
      <c r="F30" s="41"/>
    </row>
    <row r="31" spans="1:17" ht="16" x14ac:dyDescent="0.2">
      <c r="A31" s="41" t="s">
        <v>82</v>
      </c>
      <c r="B31" s="41"/>
      <c r="C31" s="41"/>
      <c r="D31" s="41"/>
      <c r="E31" s="41"/>
      <c r="F31" s="41"/>
    </row>
    <row r="32" spans="1:17" ht="16" x14ac:dyDescent="0.2">
      <c r="A32" s="41"/>
      <c r="B32" s="41"/>
      <c r="C32" s="41"/>
      <c r="D32" s="41"/>
      <c r="E32" s="41"/>
      <c r="F32" s="41"/>
    </row>
    <row r="33" spans="1:6" ht="51" x14ac:dyDescent="0.2">
      <c r="A33" s="40" t="s">
        <v>99</v>
      </c>
      <c r="B33" s="40" t="s">
        <v>64</v>
      </c>
      <c r="C33" s="40" t="s">
        <v>100</v>
      </c>
      <c r="D33" s="40" t="s">
        <v>65</v>
      </c>
      <c r="E33" s="40" t="s">
        <v>66</v>
      </c>
      <c r="F33" s="40" t="s">
        <v>101</v>
      </c>
    </row>
    <row r="34" spans="1:6" ht="16" x14ac:dyDescent="0.2">
      <c r="A34" s="79">
        <f>$Q$21*E8*E13</f>
        <v>1176.5</v>
      </c>
      <c r="B34" s="79">
        <f>$Q$21*F8*F13</f>
        <v>27.04</v>
      </c>
      <c r="C34" s="79">
        <f>$Q$21*G8*G13</f>
        <v>765.43999999999994</v>
      </c>
      <c r="D34" s="79">
        <f t="shared" ref="D34:E34" si="3">$Q$21*H8*H13</f>
        <v>0</v>
      </c>
      <c r="E34" s="79">
        <f t="shared" si="3"/>
        <v>55.102589285714281</v>
      </c>
      <c r="F34" s="79">
        <f>SUM(A34:E34)</f>
        <v>2024.0825892857142</v>
      </c>
    </row>
    <row r="35" spans="1:6" ht="16" x14ac:dyDescent="0.2">
      <c r="A35" s="65"/>
    </row>
  </sheetData>
  <mergeCells count="9">
    <mergeCell ref="O21:O27"/>
    <mergeCell ref="P21:P27"/>
    <mergeCell ref="Q21:Q27"/>
    <mergeCell ref="E14:I14"/>
    <mergeCell ref="E6:I6"/>
    <mergeCell ref="E9:I9"/>
    <mergeCell ref="E11:I11"/>
    <mergeCell ref="M21:M27"/>
    <mergeCell ref="N21:N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1E5A-55E8-E245-9B3A-62ADBD5ADC48}">
  <dimension ref="A1:J28"/>
  <sheetViews>
    <sheetView topLeftCell="A7" zoomScale="107" workbookViewId="0">
      <selection activeCell="F26" sqref="F26:F27"/>
    </sheetView>
  </sheetViews>
  <sheetFormatPr baseColWidth="10" defaultRowHeight="15" x14ac:dyDescent="0.2"/>
  <cols>
    <col min="1" max="1" width="23.6640625" style="10" customWidth="1"/>
    <col min="2" max="2" width="18" style="10" bestFit="1" customWidth="1"/>
    <col min="3" max="3" width="13.1640625" style="10" customWidth="1"/>
    <col min="4" max="4" width="57.83203125" style="10" customWidth="1"/>
    <col min="5" max="5" width="30.83203125" style="10" customWidth="1"/>
    <col min="6" max="6" width="29.33203125" style="10" customWidth="1"/>
    <col min="7" max="7" width="18.1640625" style="10" customWidth="1"/>
    <col min="8" max="8" width="23.33203125" style="10" customWidth="1"/>
    <col min="9" max="9" width="22" style="10" customWidth="1"/>
    <col min="10" max="10" width="22.83203125" style="10" customWidth="1"/>
    <col min="11" max="11" width="25.1640625" style="10" customWidth="1"/>
    <col min="12" max="12" width="15.83203125" style="10" customWidth="1"/>
    <col min="13" max="13" width="17.1640625" style="10" bestFit="1" customWidth="1"/>
    <col min="14" max="14" width="54.1640625" style="10" customWidth="1"/>
    <col min="15" max="15" width="16.83203125" style="10" bestFit="1" customWidth="1"/>
    <col min="16" max="16" width="19.5" style="10" customWidth="1"/>
    <col min="17" max="16384" width="10.83203125" style="10"/>
  </cols>
  <sheetData>
    <row r="1" spans="1:10" ht="19" x14ac:dyDescent="0.2">
      <c r="A1" s="30" t="s">
        <v>31</v>
      </c>
    </row>
    <row r="2" spans="1:10" x14ac:dyDescent="0.2">
      <c r="A2" s="10" t="s">
        <v>74</v>
      </c>
    </row>
    <row r="3" spans="1:10" x14ac:dyDescent="0.2">
      <c r="A3" s="10" t="s">
        <v>75</v>
      </c>
    </row>
    <row r="5" spans="1:10" ht="20" thickBot="1" x14ac:dyDescent="0.25">
      <c r="A5" s="30" t="s">
        <v>27</v>
      </c>
    </row>
    <row r="6" spans="1:10" ht="17" thickBot="1" x14ac:dyDescent="0.25">
      <c r="F6" s="123" t="s">
        <v>87</v>
      </c>
      <c r="G6" s="124"/>
      <c r="H6" s="124"/>
      <c r="I6" s="124"/>
      <c r="J6" s="125"/>
    </row>
    <row r="7" spans="1:10" ht="68" x14ac:dyDescent="0.2">
      <c r="A7" s="68" t="s">
        <v>97</v>
      </c>
      <c r="B7" s="68" t="s">
        <v>78</v>
      </c>
      <c r="C7" s="82" t="s">
        <v>79</v>
      </c>
      <c r="F7" s="70" t="s">
        <v>54</v>
      </c>
      <c r="G7" s="71" t="s">
        <v>55</v>
      </c>
      <c r="H7" s="71" t="s">
        <v>56</v>
      </c>
      <c r="I7" s="71" t="s">
        <v>57</v>
      </c>
      <c r="J7" s="72" t="s">
        <v>58</v>
      </c>
    </row>
    <row r="8" spans="1:10" ht="34" x14ac:dyDescent="0.25">
      <c r="A8" s="84" t="s">
        <v>125</v>
      </c>
      <c r="B8" s="61">
        <v>415.98</v>
      </c>
      <c r="C8" s="11" t="s">
        <v>128</v>
      </c>
      <c r="D8" s="105" t="s">
        <v>130</v>
      </c>
      <c r="F8" s="87">
        <v>446</v>
      </c>
      <c r="G8" s="86">
        <v>1</v>
      </c>
      <c r="H8" s="86">
        <v>3.24</v>
      </c>
      <c r="I8" s="86">
        <v>3.24</v>
      </c>
      <c r="J8" s="88">
        <v>0.10767123000000001</v>
      </c>
    </row>
    <row r="9" spans="1:10" ht="69" thickBot="1" x14ac:dyDescent="0.25">
      <c r="A9" s="104" t="s">
        <v>126</v>
      </c>
      <c r="B9" s="39">
        <v>5.1999999999999998E-2</v>
      </c>
      <c r="C9" s="46" t="s">
        <v>127</v>
      </c>
      <c r="D9" s="105" t="s">
        <v>129</v>
      </c>
      <c r="F9" s="120" t="s">
        <v>106</v>
      </c>
      <c r="G9" s="121"/>
      <c r="H9" s="121"/>
      <c r="I9" s="121"/>
      <c r="J9" s="122"/>
    </row>
    <row r="10" spans="1:10" ht="17" thickBot="1" x14ac:dyDescent="0.25">
      <c r="A10" s="83"/>
      <c r="B10" s="65"/>
    </row>
    <row r="11" spans="1:10" ht="17" thickBot="1" x14ac:dyDescent="0.25">
      <c r="A11" s="83"/>
      <c r="B11" s="65"/>
      <c r="F11" s="123" t="s">
        <v>62</v>
      </c>
      <c r="G11" s="124"/>
      <c r="H11" s="124"/>
      <c r="I11" s="124"/>
      <c r="J11" s="125"/>
    </row>
    <row r="12" spans="1:10" ht="51" x14ac:dyDescent="0.2">
      <c r="A12" s="83"/>
      <c r="B12" s="65"/>
      <c r="F12" s="89" t="s">
        <v>43</v>
      </c>
      <c r="G12" s="90" t="s">
        <v>44</v>
      </c>
      <c r="H12" s="90" t="s">
        <v>45</v>
      </c>
      <c r="I12" s="90" t="s">
        <v>46</v>
      </c>
      <c r="J12" s="91" t="s">
        <v>47</v>
      </c>
    </row>
    <row r="13" spans="1:10" ht="19" x14ac:dyDescent="0.25">
      <c r="A13" s="83"/>
      <c r="B13" s="65"/>
      <c r="F13" s="87">
        <v>1.21</v>
      </c>
      <c r="G13" s="86">
        <v>9.16</v>
      </c>
      <c r="H13" s="86">
        <v>54</v>
      </c>
      <c r="I13" s="86">
        <v>145</v>
      </c>
      <c r="J13" s="88">
        <v>0.94</v>
      </c>
    </row>
    <row r="14" spans="1:10" ht="69" thickBot="1" x14ac:dyDescent="0.25">
      <c r="B14" s="66"/>
      <c r="F14" s="97" t="s">
        <v>53</v>
      </c>
      <c r="G14" s="98" t="s">
        <v>48</v>
      </c>
      <c r="H14" s="98" t="s">
        <v>49</v>
      </c>
      <c r="I14" s="98" t="s">
        <v>50</v>
      </c>
      <c r="J14" s="99" t="s">
        <v>51</v>
      </c>
    </row>
    <row r="16" spans="1:10" ht="19" x14ac:dyDescent="0.2">
      <c r="A16" s="30" t="s">
        <v>34</v>
      </c>
    </row>
    <row r="18" spans="1:8" ht="34" x14ac:dyDescent="0.2">
      <c r="A18" s="95" t="s">
        <v>123</v>
      </c>
      <c r="B18" s="41">
        <f>B8</f>
        <v>415.98</v>
      </c>
      <c r="C18" s="103"/>
      <c r="G18" s="41"/>
      <c r="H18" s="41"/>
    </row>
    <row r="19" spans="1:8" ht="34" x14ac:dyDescent="0.2">
      <c r="A19" s="95" t="s">
        <v>124</v>
      </c>
      <c r="B19" s="41">
        <f>B18/1000</f>
        <v>0.41598000000000002</v>
      </c>
      <c r="C19" s="41"/>
      <c r="G19" s="41"/>
      <c r="H19" s="41"/>
    </row>
    <row r="20" spans="1:8" ht="16" x14ac:dyDescent="0.2">
      <c r="A20" s="41"/>
      <c r="B20" s="41"/>
      <c r="C20" s="41"/>
      <c r="D20" s="41"/>
      <c r="E20" s="41"/>
      <c r="F20" s="41"/>
      <c r="G20" s="41"/>
      <c r="H20" s="41"/>
    </row>
    <row r="21" spans="1:8" ht="35" customHeight="1" x14ac:dyDescent="0.2">
      <c r="A21" s="60" t="s">
        <v>104</v>
      </c>
      <c r="B21" s="41">
        <f>B19/B9</f>
        <v>7.9996153846153852</v>
      </c>
      <c r="C21" s="41" t="s">
        <v>105</v>
      </c>
      <c r="D21" s="41"/>
      <c r="E21" s="41"/>
      <c r="F21" s="41"/>
      <c r="G21" s="41"/>
      <c r="H21" s="41"/>
    </row>
    <row r="22" spans="1:8" ht="34" x14ac:dyDescent="0.2">
      <c r="A22" s="95" t="s">
        <v>103</v>
      </c>
      <c r="B22" s="41">
        <f>_xlfn.CEILING.MATH(B21)</f>
        <v>8</v>
      </c>
      <c r="C22" s="41" t="s">
        <v>98</v>
      </c>
      <c r="G22" s="41"/>
      <c r="H22" s="41"/>
    </row>
    <row r="23" spans="1:8" ht="16" x14ac:dyDescent="0.2">
      <c r="A23" s="41"/>
      <c r="B23" s="41"/>
      <c r="C23" s="41"/>
      <c r="D23" s="41"/>
      <c r="E23" s="41"/>
      <c r="F23" s="41"/>
      <c r="G23" s="41"/>
      <c r="H23" s="41"/>
    </row>
    <row r="24" spans="1:8" ht="16" x14ac:dyDescent="0.2">
      <c r="A24" s="41" t="s">
        <v>82</v>
      </c>
      <c r="B24" s="41"/>
      <c r="C24" s="41"/>
      <c r="D24" s="41"/>
      <c r="E24" s="41"/>
      <c r="F24" s="41"/>
      <c r="G24" s="41"/>
      <c r="H24" s="41"/>
    </row>
    <row r="25" spans="1:8" ht="16" x14ac:dyDescent="0.2">
      <c r="A25" s="41"/>
      <c r="B25" s="41"/>
      <c r="C25" s="41"/>
      <c r="D25" s="41"/>
      <c r="E25" s="41"/>
      <c r="F25" s="41"/>
      <c r="G25" s="41"/>
      <c r="H25" s="41"/>
    </row>
    <row r="26" spans="1:8" ht="34" x14ac:dyDescent="0.2">
      <c r="A26" s="93" t="s">
        <v>99</v>
      </c>
      <c r="B26" s="94" t="s">
        <v>64</v>
      </c>
      <c r="C26" s="94" t="s">
        <v>100</v>
      </c>
      <c r="D26" s="94" t="s">
        <v>65</v>
      </c>
      <c r="E26" s="94" t="s">
        <v>66</v>
      </c>
      <c r="F26" s="40" t="s">
        <v>102</v>
      </c>
      <c r="H26" s="41"/>
    </row>
    <row r="27" spans="1:8" ht="16" x14ac:dyDescent="0.2">
      <c r="A27" s="79">
        <f>$B$22*F8*F13</f>
        <v>4317.28</v>
      </c>
      <c r="B27" s="79">
        <f>$B$22*G8*G13</f>
        <v>73.28</v>
      </c>
      <c r="C27" s="79">
        <f>$B$22*H8*H13</f>
        <v>1399.68</v>
      </c>
      <c r="D27" s="79">
        <f>$B$22*I8*I13</f>
        <v>3758.4</v>
      </c>
      <c r="E27" s="79">
        <f>$B$22*J8*J13</f>
        <v>0.80968764960000006</v>
      </c>
      <c r="F27" s="79">
        <f>SUM(A27:E27)</f>
        <v>9549.4496876495996</v>
      </c>
      <c r="H27" s="41"/>
    </row>
    <row r="28" spans="1:8" ht="16" x14ac:dyDescent="0.2">
      <c r="A28" s="65"/>
      <c r="B28" s="41"/>
      <c r="C28" s="41"/>
      <c r="D28" s="41"/>
      <c r="E28" s="41"/>
      <c r="F28" s="41"/>
      <c r="G28" s="41"/>
      <c r="H28" s="41"/>
    </row>
  </sheetData>
  <mergeCells count="3">
    <mergeCell ref="F6:J6"/>
    <mergeCell ref="F9:J9"/>
    <mergeCell ref="F11:J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7435-BD95-2241-B334-FE8CF90CD84B}">
  <dimension ref="A1:D16"/>
  <sheetViews>
    <sheetView tabSelected="1" workbookViewId="0">
      <selection activeCell="A6" sqref="A6"/>
    </sheetView>
  </sheetViews>
  <sheetFormatPr baseColWidth="10" defaultRowHeight="15" x14ac:dyDescent="0.2"/>
  <cols>
    <col min="1" max="1" width="18.83203125" customWidth="1"/>
    <col min="2" max="2" width="21" customWidth="1"/>
    <col min="3" max="3" width="21.6640625" customWidth="1"/>
  </cols>
  <sheetData>
    <row r="1" spans="1:4" ht="19" x14ac:dyDescent="0.25">
      <c r="A1" s="107" t="s">
        <v>131</v>
      </c>
    </row>
    <row r="2" spans="1:4" ht="19" x14ac:dyDescent="0.25">
      <c r="A2" s="107"/>
    </row>
    <row r="3" spans="1:4" ht="16" x14ac:dyDescent="0.2">
      <c r="A3" s="108" t="s">
        <v>132</v>
      </c>
      <c r="B3" s="108"/>
      <c r="C3" s="108"/>
    </row>
    <row r="4" spans="1:4" s="38" customFormat="1" ht="34" x14ac:dyDescent="0.2">
      <c r="A4" s="95" t="s">
        <v>67</v>
      </c>
      <c r="B4" s="95" t="s">
        <v>101</v>
      </c>
      <c r="C4" s="95" t="s">
        <v>102</v>
      </c>
      <c r="D4" s="109" t="s">
        <v>133</v>
      </c>
    </row>
    <row r="5" spans="1:4" ht="16" x14ac:dyDescent="0.2">
      <c r="A5" s="108">
        <f>'ESM of Cultivation'!F32</f>
        <v>259614.10192602739</v>
      </c>
      <c r="B5" s="108">
        <f>'ESM of Anaerobic Digestion'!F34</f>
        <v>2024.0825892857142</v>
      </c>
      <c r="C5" s="108">
        <f>'ESM of PHB Synthesis'!F27</f>
        <v>9549.4496876495996</v>
      </c>
      <c r="D5">
        <f>SUM(A5:C5)</f>
        <v>271187.63420296268</v>
      </c>
    </row>
    <row r="7" spans="1:4" x14ac:dyDescent="0.2">
      <c r="A7" s="106"/>
    </row>
    <row r="8" spans="1:4" ht="19" x14ac:dyDescent="0.25">
      <c r="A8" s="107" t="s">
        <v>136</v>
      </c>
    </row>
    <row r="9" spans="1:4" x14ac:dyDescent="0.2">
      <c r="A9" s="106"/>
    </row>
    <row r="10" spans="1:4" ht="16" x14ac:dyDescent="0.2">
      <c r="A10" s="108" t="s">
        <v>134</v>
      </c>
    </row>
    <row r="11" spans="1:4" ht="64" x14ac:dyDescent="0.2">
      <c r="A11" s="110" t="s">
        <v>121</v>
      </c>
      <c r="B11" s="110" t="s">
        <v>135</v>
      </c>
    </row>
    <row r="12" spans="1:4" x14ac:dyDescent="0.2">
      <c r="A12">
        <v>415.97904124857013</v>
      </c>
      <c r="B12">
        <v>207.98952062428509</v>
      </c>
    </row>
    <row r="14" spans="1:4" x14ac:dyDescent="0.2">
      <c r="A14" s="106"/>
    </row>
    <row r="15" spans="1:4" ht="32" x14ac:dyDescent="0.2">
      <c r="A15" s="111" t="s">
        <v>137</v>
      </c>
    </row>
    <row r="16" spans="1:4" x14ac:dyDescent="0.2">
      <c r="A16">
        <f>D5/B12</f>
        <v>1303.8523930868587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PHB and Methane Yield</vt:lpstr>
      <vt:lpstr>ESM of Cultivation</vt:lpstr>
      <vt:lpstr>ESM of Anaerobic Digestion</vt:lpstr>
      <vt:lpstr>ESM of PHB Synthesis</vt:lpstr>
      <vt:lpstr>ESM per Loop Closure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Ekanayake, Jithran</cp:lastModifiedBy>
  <dcterms:created xsi:type="dcterms:W3CDTF">2025-04-23T22:46:36Z</dcterms:created>
  <dcterms:modified xsi:type="dcterms:W3CDTF">2025-05-05T17:27:43Z</dcterms:modified>
</cp:coreProperties>
</file>