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Отбор на IPhO 2017" sheetId="1" r:id="rId1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2" i="1" l="1"/>
  <c r="I12" i="1"/>
  <c r="H12" i="1"/>
  <c r="G12" i="1"/>
  <c r="F12" i="1"/>
  <c r="E12" i="1"/>
  <c r="D12" i="1"/>
  <c r="C12" i="1"/>
  <c r="L12" i="1" s="1"/>
  <c r="B12" i="1"/>
  <c r="J11" i="1"/>
  <c r="I11" i="1"/>
  <c r="H11" i="1"/>
  <c r="G11" i="1"/>
  <c r="F11" i="1"/>
  <c r="E11" i="1"/>
  <c r="D11" i="1"/>
  <c r="C11" i="1"/>
  <c r="B11" i="1"/>
  <c r="L11" i="1" s="1"/>
  <c r="J10" i="1"/>
  <c r="I10" i="1"/>
  <c r="H10" i="1"/>
  <c r="G10" i="1"/>
  <c r="F10" i="1"/>
  <c r="E10" i="1"/>
  <c r="D10" i="1"/>
  <c r="C10" i="1"/>
  <c r="B10" i="1"/>
  <c r="L10" i="1" s="1"/>
  <c r="J9" i="1"/>
  <c r="I9" i="1"/>
  <c r="H9" i="1"/>
  <c r="G9" i="1"/>
  <c r="F9" i="1"/>
  <c r="E9" i="1"/>
  <c r="D9" i="1"/>
  <c r="L9" i="1" s="1"/>
  <c r="C9" i="1"/>
  <c r="B9" i="1"/>
  <c r="J8" i="1"/>
  <c r="I8" i="1"/>
  <c r="H8" i="1"/>
  <c r="G8" i="1"/>
  <c r="F8" i="1"/>
  <c r="E8" i="1"/>
  <c r="D8" i="1"/>
  <c r="C8" i="1"/>
  <c r="L8" i="1" s="1"/>
  <c r="B8" i="1"/>
  <c r="J7" i="1"/>
  <c r="I7" i="1"/>
  <c r="H7" i="1"/>
  <c r="G7" i="1"/>
  <c r="F7" i="1"/>
  <c r="E7" i="1"/>
  <c r="D7" i="1"/>
  <c r="C7" i="1"/>
  <c r="B7" i="1"/>
  <c r="L7" i="1" s="1"/>
  <c r="J6" i="1"/>
  <c r="I6" i="1"/>
  <c r="H6" i="1"/>
  <c r="G6" i="1"/>
  <c r="F6" i="1"/>
  <c r="E6" i="1"/>
  <c r="D6" i="1"/>
  <c r="C6" i="1"/>
  <c r="B6" i="1"/>
  <c r="L6" i="1" s="1"/>
  <c r="J5" i="1"/>
  <c r="I5" i="1"/>
  <c r="H5" i="1"/>
  <c r="H13" i="1" s="1"/>
  <c r="G5" i="1"/>
  <c r="F5" i="1"/>
  <c r="E5" i="1"/>
  <c r="D5" i="1"/>
  <c r="D13" i="1" s="1"/>
  <c r="C5" i="1"/>
  <c r="B5" i="1"/>
  <c r="J4" i="1"/>
  <c r="I4" i="1"/>
  <c r="H4" i="1"/>
  <c r="G4" i="1"/>
  <c r="F4" i="1"/>
  <c r="E4" i="1"/>
  <c r="D4" i="1"/>
  <c r="C4" i="1"/>
  <c r="L4" i="1" s="1"/>
  <c r="B4" i="1"/>
  <c r="J3" i="1"/>
  <c r="J13" i="1" s="1"/>
  <c r="I3" i="1"/>
  <c r="I13" i="1" s="1"/>
  <c r="H3" i="1"/>
  <c r="G3" i="1"/>
  <c r="G13" i="1" s="1"/>
  <c r="F3" i="1"/>
  <c r="F13" i="1" s="1"/>
  <c r="E3" i="1"/>
  <c r="E13" i="1" s="1"/>
  <c r="D3" i="1"/>
  <c r="C3" i="1"/>
  <c r="C13" i="1" s="1"/>
  <c r="B3" i="1"/>
  <c r="B13" i="1" s="1"/>
  <c r="L2" i="1"/>
  <c r="L5" i="1" l="1"/>
  <c r="L3" i="1"/>
  <c r="K3" i="1" s="1"/>
  <c r="K8" i="1" l="1"/>
  <c r="K6" i="1"/>
  <c r="K5" i="1"/>
  <c r="K11" i="1"/>
  <c r="L13" i="1"/>
  <c r="K9" i="1"/>
  <c r="K12" i="1"/>
  <c r="K4" i="1"/>
  <c r="K7" i="1"/>
  <c r="K10" i="1"/>
</calcChain>
</file>

<file path=xl/sharedStrings.xml><?xml version="1.0" encoding="utf-8"?>
<sst xmlns="http://schemas.openxmlformats.org/spreadsheetml/2006/main" count="37" uniqueCount="25">
  <si>
    <t>Final</t>
  </si>
  <si>
    <t>Всеукр</t>
  </si>
  <si>
    <t>Анисимов</t>
  </si>
  <si>
    <t>Орлянский</t>
  </si>
  <si>
    <t>Пасихов</t>
  </si>
  <si>
    <t>Дмитрук</t>
  </si>
  <si>
    <t>Соколов</t>
  </si>
  <si>
    <t>Кельник</t>
  </si>
  <si>
    <t>Пашко</t>
  </si>
  <si>
    <t>Сохацкий</t>
  </si>
  <si>
    <t>Место</t>
  </si>
  <si>
    <t>Сумма</t>
  </si>
  <si>
    <t>Участник</t>
  </si>
  <si>
    <t>Евфросинья</t>
  </si>
  <si>
    <t>Солецкий</t>
  </si>
  <si>
    <t>Крыгин</t>
  </si>
  <si>
    <t>Хасай</t>
  </si>
  <si>
    <t>Ковалева</t>
  </si>
  <si>
    <t>Совайло</t>
  </si>
  <si>
    <t>Щерба</t>
  </si>
  <si>
    <t>Войтович</t>
  </si>
  <si>
    <t>Кашко</t>
  </si>
  <si>
    <t>Томаш</t>
  </si>
  <si>
    <t>Благий</t>
  </si>
  <si>
    <t>Девиатор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</si>
</sst>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i/>
      <sz val="10"/>
      <color rgb="FF00CC00"/>
      <name val="Arial"/>
      <family val="2"/>
      <charset val="204"/>
    </font>
    <font>
      <b/>
      <sz val="10"/>
      <color rgb="FFFF3333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9FF66"/>
        <bgColor rgb="FF99FF99"/>
      </patternFill>
    </fill>
    <fill>
      <patternFill patternType="solid">
        <fgColor rgb="FFFF9999"/>
        <bgColor rgb="FFFF8080"/>
      </patternFill>
    </fill>
    <fill>
      <patternFill patternType="solid">
        <fgColor rgb="FF99FF99"/>
        <bgColor rgb="FF99FF66"/>
      </patternFill>
    </fill>
    <fill>
      <patternFill patternType="solid">
        <fgColor rgb="FFFF0000"/>
        <bgColor rgb="FFFF3333"/>
      </patternFill>
    </fill>
    <fill>
      <patternFill patternType="solid">
        <fgColor rgb="FFFFFF99"/>
        <bgColor rgb="FFFFFF66"/>
      </patternFill>
    </fill>
    <fill>
      <patternFill patternType="solid">
        <fgColor rgb="FFFFFF00"/>
        <bgColor rgb="FFFFFF00"/>
      </patternFill>
    </fill>
    <fill>
      <patternFill patternType="solid">
        <fgColor rgb="FFFFFF66"/>
        <bgColor rgb="FFFFFF99"/>
      </patternFill>
    </fill>
    <fill>
      <patternFill patternType="solid">
        <fgColor rgb="FFB2B2B2"/>
        <bgColor rgb="FF999999"/>
      </patternFill>
    </fill>
    <fill>
      <patternFill patternType="solid">
        <fgColor rgb="FF00CC00"/>
        <bgColor rgb="FF008000"/>
      </patternFill>
    </fill>
    <fill>
      <patternFill patternType="solid">
        <fgColor rgb="FFCCCCCC"/>
        <bgColor rgb="FFCCCCFF"/>
      </patternFill>
    </fill>
    <fill>
      <patternFill patternType="solid">
        <fgColor rgb="FF999999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 applyAlignment="1">
      <alignment horizontal="right"/>
    </xf>
    <xf numFmtId="0" fontId="0" fillId="0" borderId="0" xfId="0" applyFont="1"/>
    <xf numFmtId="2" fontId="2" fillId="0" borderId="0" xfId="0" applyNumberFormat="1" applyFont="1"/>
    <xf numFmtId="0" fontId="0" fillId="2" borderId="0" xfId="0" applyFont="1" applyFill="1"/>
    <xf numFmtId="2" fontId="0" fillId="3" borderId="0" xfId="0" applyNumberFormat="1" applyFont="1" applyFill="1"/>
    <xf numFmtId="2" fontId="0" fillId="4" borderId="0" xfId="0" applyNumberFormat="1" applyFill="1"/>
    <xf numFmtId="2" fontId="0" fillId="3" borderId="0" xfId="0" applyNumberFormat="1" applyFill="1"/>
    <xf numFmtId="2" fontId="0" fillId="0" borderId="0" xfId="0" applyNumberFormat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0" fontId="0" fillId="8" borderId="0" xfId="0" applyFont="1" applyFill="1"/>
    <xf numFmtId="2" fontId="0" fillId="9" borderId="0" xfId="0" applyNumberFormat="1" applyFill="1"/>
    <xf numFmtId="2" fontId="0" fillId="10" borderId="0" xfId="0" applyNumberFormat="1" applyFill="1"/>
    <xf numFmtId="2" fontId="0" fillId="4" borderId="0" xfId="0" applyNumberFormat="1" applyFont="1" applyFill="1"/>
    <xf numFmtId="0" fontId="0" fillId="3" borderId="0" xfId="0" applyFont="1" applyFill="1"/>
    <xf numFmtId="2" fontId="0" fillId="11" borderId="0" xfId="0" applyNumberFormat="1" applyFill="1"/>
    <xf numFmtId="2" fontId="0" fillId="0" borderId="0" xfId="0" applyNumberFormat="1" applyFont="1"/>
    <xf numFmtId="2" fontId="0" fillId="12" borderId="0" xfId="0" applyNumberFormat="1" applyFont="1" applyFill="1"/>
    <xf numFmtId="2" fontId="0" fillId="1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99"/>
      <rgbColor rgb="FFCC99FF"/>
      <rgbColor rgb="FFFFCC99"/>
      <rgbColor rgb="FF3366FF"/>
      <rgbColor rgb="FF33CCCC"/>
      <rgbColor rgb="FF99FF66"/>
      <rgbColor rgb="FFFFCC00"/>
      <rgbColor rgb="FFFF9900"/>
      <rgbColor rgb="FFFF3333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M13"/>
  <sheetViews>
    <sheetView tabSelected="1" zoomScaleNormal="100" workbookViewId="0">
      <selection activeCell="E5" sqref="E5"/>
    </sheetView>
  </sheetViews>
  <sheetFormatPr defaultRowHeight="12.75" x14ac:dyDescent="0.2"/>
  <cols>
    <col min="1" max="1" width="13.7109375"/>
    <col min="2" max="2" width="11.140625"/>
    <col min="3" max="6" width="11"/>
    <col min="7" max="7" width="11.28515625"/>
    <col min="8" max="8" width="10.85546875"/>
    <col min="9" max="9" width="11"/>
    <col min="10" max="10" width="10.85546875"/>
    <col min="11" max="11" width="10.5703125"/>
    <col min="12" max="12" width="13.42578125"/>
    <col min="13" max="13" width="13.5703125"/>
    <col min="14" max="14" width="8.28515625"/>
    <col min="15" max="1025" width="8.5703125"/>
  </cols>
  <sheetData>
    <row r="1" spans="1:1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</row>
    <row r="2" spans="1:13" x14ac:dyDescent="0.2">
      <c r="A2" t="s">
        <v>13</v>
      </c>
      <c r="B2" s="4">
        <v>10</v>
      </c>
      <c r="C2" s="4">
        <v>10</v>
      </c>
      <c r="D2" s="4">
        <v>10</v>
      </c>
      <c r="E2" s="4">
        <v>10</v>
      </c>
      <c r="F2" s="4">
        <v>20</v>
      </c>
      <c r="G2" s="4">
        <v>20</v>
      </c>
      <c r="H2" s="4">
        <v>10</v>
      </c>
      <c r="I2" s="4">
        <v>10</v>
      </c>
      <c r="J2" s="4">
        <v>30</v>
      </c>
      <c r="K2" s="3">
        <v>0</v>
      </c>
      <c r="L2" s="4">
        <f t="shared" ref="L2:L12" si="0">SUM(B2:J2)</f>
        <v>130</v>
      </c>
      <c r="M2" t="s">
        <v>13</v>
      </c>
    </row>
    <row r="3" spans="1:13" x14ac:dyDescent="0.2">
      <c r="A3" s="5" t="s">
        <v>14</v>
      </c>
      <c r="B3" s="6">
        <f>37.3/45*B2</f>
        <v>8.2888888888888879</v>
      </c>
      <c r="C3" s="7">
        <f>14.6/30*C2</f>
        <v>4.8666666666666663</v>
      </c>
      <c r="D3" s="8">
        <f>7/10*D2</f>
        <v>7</v>
      </c>
      <c r="E3" s="8">
        <f>8.15/10*E2</f>
        <v>8.15</v>
      </c>
      <c r="F3" s="8">
        <f>16.5/20*F2</f>
        <v>16.5</v>
      </c>
      <c r="G3" s="7">
        <f>14.5/20*G2</f>
        <v>14.5</v>
      </c>
      <c r="H3" s="9">
        <f>8.2/10*H2</f>
        <v>8.1999999999999993</v>
      </c>
      <c r="I3" s="9">
        <f>25/40*I2</f>
        <v>6.25</v>
      </c>
      <c r="J3" s="9">
        <f>26.67/30*J2</f>
        <v>26.67</v>
      </c>
      <c r="K3" s="3">
        <f t="shared" ref="K3:K12" si="1">RANK(L3,L$3:L$12)</f>
        <v>1</v>
      </c>
      <c r="L3" s="10">
        <f t="shared" si="0"/>
        <v>100.42555555555556</v>
      </c>
      <c r="M3" s="5" t="s">
        <v>14</v>
      </c>
    </row>
    <row r="4" spans="1:13" x14ac:dyDescent="0.2">
      <c r="A4" s="5" t="s">
        <v>15</v>
      </c>
      <c r="B4" s="7">
        <f>28.9/45*B2</f>
        <v>6.4222222222222216</v>
      </c>
      <c r="C4" s="9">
        <f>14.45/30*C2</f>
        <v>4.8166666666666664</v>
      </c>
      <c r="D4" s="9">
        <f>5.5/10*D2</f>
        <v>5.5</v>
      </c>
      <c r="E4" s="9">
        <f>6.75/10*E2</f>
        <v>6.75</v>
      </c>
      <c r="F4" s="9">
        <f>13/20*F2</f>
        <v>13</v>
      </c>
      <c r="G4" s="8">
        <f>18.2/20*G2</f>
        <v>18.2</v>
      </c>
      <c r="H4" s="11">
        <f>9/10*H2</f>
        <v>9</v>
      </c>
      <c r="I4" s="11">
        <f>7/10*I2</f>
        <v>7</v>
      </c>
      <c r="J4" s="9">
        <f>27/30*J2</f>
        <v>27</v>
      </c>
      <c r="K4" s="3">
        <f t="shared" si="1"/>
        <v>2</v>
      </c>
      <c r="L4" s="12">
        <f t="shared" si="0"/>
        <v>97.688888888888883</v>
      </c>
      <c r="M4" s="5" t="s">
        <v>15</v>
      </c>
    </row>
    <row r="5" spans="1:13" x14ac:dyDescent="0.2">
      <c r="A5" s="5" t="s">
        <v>16</v>
      </c>
      <c r="B5" s="9">
        <f>26.8/45*B2</f>
        <v>5.9555555555555557</v>
      </c>
      <c r="C5" s="11">
        <f>15.5/30*C2</f>
        <v>5.166666666666667</v>
      </c>
      <c r="D5" s="8">
        <f>7/10*D2</f>
        <v>7</v>
      </c>
      <c r="E5" s="7">
        <f>7.25/10*E2</f>
        <v>7.25</v>
      </c>
      <c r="F5" s="9">
        <f>12.5/20*F2</f>
        <v>12.5</v>
      </c>
      <c r="G5" s="11">
        <f>16/20*G2</f>
        <v>16</v>
      </c>
      <c r="H5" s="8">
        <f>9.5/10*H2</f>
        <v>9.5</v>
      </c>
      <c r="I5" s="7">
        <f>6.5/10*I2</f>
        <v>6.5</v>
      </c>
      <c r="J5" s="9">
        <f>24.5/30*J2</f>
        <v>24.5</v>
      </c>
      <c r="K5" s="3">
        <f t="shared" si="1"/>
        <v>3</v>
      </c>
      <c r="L5" s="12">
        <f t="shared" si="0"/>
        <v>94.37222222222222</v>
      </c>
      <c r="M5" s="5" t="s">
        <v>16</v>
      </c>
    </row>
    <row r="6" spans="1:13" x14ac:dyDescent="0.2">
      <c r="A6" s="13" t="s">
        <v>17</v>
      </c>
      <c r="B6" s="14">
        <f>23.6/45*B2</f>
        <v>5.2444444444444454</v>
      </c>
      <c r="C6" s="9">
        <f>8.95/30*C2</f>
        <v>2.9833333333333329</v>
      </c>
      <c r="D6" s="9">
        <f>4.5/10*D2</f>
        <v>4.5</v>
      </c>
      <c r="E6" s="9">
        <f>6.2/10*E2</f>
        <v>6.2</v>
      </c>
      <c r="F6" s="11">
        <f>16/20*F2</f>
        <v>16</v>
      </c>
      <c r="G6" s="7">
        <f>14.5/20*G2</f>
        <v>14.5</v>
      </c>
      <c r="H6" s="7">
        <f>8.5/10*H2</f>
        <v>8.5</v>
      </c>
      <c r="I6" s="9">
        <f>22/40*I2</f>
        <v>5.5</v>
      </c>
      <c r="J6" s="9">
        <f>27.17/30*J2</f>
        <v>27.17</v>
      </c>
      <c r="K6" s="3">
        <f t="shared" si="1"/>
        <v>4</v>
      </c>
      <c r="L6" s="15">
        <f t="shared" si="0"/>
        <v>90.597777777777779</v>
      </c>
      <c r="M6" s="13" t="s">
        <v>17</v>
      </c>
    </row>
    <row r="7" spans="1:13" x14ac:dyDescent="0.2">
      <c r="A7" s="13" t="s">
        <v>18</v>
      </c>
      <c r="B7" s="11">
        <f>31/45*B2</f>
        <v>6.8888888888888893</v>
      </c>
      <c r="C7" s="9">
        <f>9.6/30*C2</f>
        <v>3.2</v>
      </c>
      <c r="D7" s="9">
        <f>5.5/10*D2</f>
        <v>5.5</v>
      </c>
      <c r="E7" s="11">
        <f>7.6/10*E2</f>
        <v>7.6</v>
      </c>
      <c r="F7" s="9">
        <f>14/20*F2</f>
        <v>14</v>
      </c>
      <c r="G7" s="9">
        <f>12.7/20*G2</f>
        <v>12.7</v>
      </c>
      <c r="H7" s="9">
        <f>8/10*H2</f>
        <v>8</v>
      </c>
      <c r="I7" s="9">
        <f>20/40*I2</f>
        <v>5</v>
      </c>
      <c r="J7" s="9">
        <f>27.5/30*J2</f>
        <v>27.5</v>
      </c>
      <c r="K7" s="3">
        <f t="shared" si="1"/>
        <v>5</v>
      </c>
      <c r="L7" s="15">
        <f t="shared" si="0"/>
        <v>90.388888888888886</v>
      </c>
      <c r="M7" s="13" t="s">
        <v>18</v>
      </c>
    </row>
    <row r="8" spans="1:13" x14ac:dyDescent="0.2">
      <c r="A8" s="13" t="s">
        <v>19</v>
      </c>
      <c r="B8" s="9">
        <f>28/45*B2</f>
        <v>6.2222222222222223</v>
      </c>
      <c r="C8" s="8">
        <f>16.65/30*C2</f>
        <v>5.5499999999999989</v>
      </c>
      <c r="D8" s="7">
        <f>6/10*D2</f>
        <v>6</v>
      </c>
      <c r="E8" s="9">
        <f>6.85/10*E2</f>
        <v>6.85</v>
      </c>
      <c r="F8" s="9">
        <f>12.5/20*F2</f>
        <v>12.5</v>
      </c>
      <c r="G8" s="9">
        <f>13.8/20*G2</f>
        <v>13.8</v>
      </c>
      <c r="H8" s="9">
        <f>6.5/10*H2</f>
        <v>6.5</v>
      </c>
      <c r="I8" s="8">
        <f>7.25/10*I2</f>
        <v>7.25</v>
      </c>
      <c r="J8" s="9">
        <f>24.67/30*J2</f>
        <v>24.67</v>
      </c>
      <c r="K8" s="3">
        <f t="shared" si="1"/>
        <v>6</v>
      </c>
      <c r="L8" s="16">
        <f t="shared" si="0"/>
        <v>89.342222222222219</v>
      </c>
      <c r="M8" s="13" t="s">
        <v>19</v>
      </c>
    </row>
    <row r="9" spans="1:13" x14ac:dyDescent="0.2">
      <c r="A9" s="13" t="s">
        <v>20</v>
      </c>
      <c r="B9" s="7">
        <f>28.9/45*B2</f>
        <v>6.4222222222222216</v>
      </c>
      <c r="C9" s="9">
        <f>10.5/30*C2</f>
        <v>3.5</v>
      </c>
      <c r="D9" s="9">
        <f>4/10*D2</f>
        <v>4</v>
      </c>
      <c r="E9" s="9">
        <f>6.5/10*E2</f>
        <v>6.5</v>
      </c>
      <c r="F9" s="9">
        <f>12.5/20*F2</f>
        <v>12.5</v>
      </c>
      <c r="G9" s="9">
        <f>12.5/20*G2</f>
        <v>12.5</v>
      </c>
      <c r="H9" s="9">
        <f>7.5/10*H2</f>
        <v>7.5</v>
      </c>
      <c r="I9" s="9">
        <f>22/40*I2</f>
        <v>5.5</v>
      </c>
      <c r="J9" s="8">
        <f>28.5/30*J2</f>
        <v>28.5</v>
      </c>
      <c r="K9" s="3">
        <f t="shared" si="1"/>
        <v>7</v>
      </c>
      <c r="L9" s="16">
        <f t="shared" si="0"/>
        <v>86.922222222222217</v>
      </c>
      <c r="M9" s="13" t="s">
        <v>20</v>
      </c>
    </row>
    <row r="10" spans="1:13" x14ac:dyDescent="0.2">
      <c r="A10" s="17" t="s">
        <v>21</v>
      </c>
      <c r="B10" s="9">
        <f>23.8/45*B2</f>
        <v>5.2888888888888888</v>
      </c>
      <c r="C10" s="9">
        <f>10.35/30*C2</f>
        <v>3.4499999999999997</v>
      </c>
      <c r="D10" s="9">
        <f>2.5/10*D2</f>
        <v>2.5</v>
      </c>
      <c r="E10" s="9">
        <f>3.35/10*E2</f>
        <v>3.35</v>
      </c>
      <c r="F10" s="11">
        <f>16/20*F2</f>
        <v>16</v>
      </c>
      <c r="G10" s="14">
        <f>10.2/20*G2</f>
        <v>10.199999999999999</v>
      </c>
      <c r="H10" s="9">
        <f>6.5/10*H2</f>
        <v>6.5</v>
      </c>
      <c r="I10" s="9">
        <f>18/40*I2</f>
        <v>4.5</v>
      </c>
      <c r="J10" s="7">
        <f>27.67/30*J2</f>
        <v>27.67</v>
      </c>
      <c r="K10" s="3">
        <f t="shared" si="1"/>
        <v>8</v>
      </c>
      <c r="L10" s="18">
        <f t="shared" si="0"/>
        <v>79.458888888888893</v>
      </c>
      <c r="M10" s="17" t="s">
        <v>21</v>
      </c>
    </row>
    <row r="11" spans="1:13" x14ac:dyDescent="0.2">
      <c r="A11" s="17" t="s">
        <v>22</v>
      </c>
      <c r="B11" s="19">
        <f>25/45*B2</f>
        <v>5.5555555555555554</v>
      </c>
      <c r="C11" s="14">
        <f>7.05/30*C2</f>
        <v>2.3499999999999996</v>
      </c>
      <c r="D11" s="14">
        <f>2/10*D2</f>
        <v>2</v>
      </c>
      <c r="E11" s="14">
        <f>2.05/10*E2</f>
        <v>2.0499999999999998</v>
      </c>
      <c r="F11" s="19">
        <f>14/20*F2</f>
        <v>14</v>
      </c>
      <c r="G11" s="9">
        <f>10.5/20*G2</f>
        <v>10.5</v>
      </c>
      <c r="H11" s="14">
        <f>4/10*H2</f>
        <v>4</v>
      </c>
      <c r="I11" s="9">
        <f>15/40*I2</f>
        <v>3.75</v>
      </c>
      <c r="J11" s="11">
        <f>28.33/30*J2</f>
        <v>28.33</v>
      </c>
      <c r="K11" s="3">
        <f t="shared" si="1"/>
        <v>9</v>
      </c>
      <c r="L11" s="20">
        <f t="shared" si="0"/>
        <v>72.535555555555561</v>
      </c>
      <c r="M11" s="17" t="s">
        <v>22</v>
      </c>
    </row>
    <row r="12" spans="1:13" x14ac:dyDescent="0.2">
      <c r="A12" s="17" t="s">
        <v>23</v>
      </c>
      <c r="B12" s="9">
        <f>23.9/45*B2</f>
        <v>5.3111111111111109</v>
      </c>
      <c r="C12" s="9">
        <f>7.15/30*C2</f>
        <v>2.3833333333333333</v>
      </c>
      <c r="D12" s="14">
        <f>2/10*D2</f>
        <v>2</v>
      </c>
      <c r="E12" s="9">
        <f>5.25/10*E2</f>
        <v>5.25</v>
      </c>
      <c r="F12" s="14">
        <f>9.5/20*F2</f>
        <v>9.5</v>
      </c>
      <c r="G12" s="9">
        <f>13/20*G2</f>
        <v>13</v>
      </c>
      <c r="H12" s="9">
        <f>7.5/10*H2</f>
        <v>7.5</v>
      </c>
      <c r="I12" s="14">
        <f>3/10*I2</f>
        <v>3</v>
      </c>
      <c r="J12" s="14">
        <f>23.83/30*J2</f>
        <v>23.83</v>
      </c>
      <c r="K12" s="3">
        <f t="shared" si="1"/>
        <v>10</v>
      </c>
      <c r="L12" s="21">
        <f t="shared" si="0"/>
        <v>71.774444444444441</v>
      </c>
      <c r="M12" s="17" t="s">
        <v>23</v>
      </c>
    </row>
    <row r="13" spans="1:13" x14ac:dyDescent="0.2">
      <c r="A13" t="s">
        <v>24</v>
      </c>
      <c r="B13" s="9">
        <f t="shared" ref="B13:J13" si="2">100*_xlfn.STDEV.S(B3:B12)/B2</f>
        <v>9.386561914866272</v>
      </c>
      <c r="C13" s="9">
        <f t="shared" si="2"/>
        <v>11.758422250759651</v>
      </c>
      <c r="D13" s="9">
        <f t="shared" si="2"/>
        <v>19.264244369066521</v>
      </c>
      <c r="E13" s="9">
        <f t="shared" si="2"/>
        <v>19.295149073738155</v>
      </c>
      <c r="F13" s="9">
        <f t="shared" si="2"/>
        <v>10.675126853266596</v>
      </c>
      <c r="G13" s="9">
        <f t="shared" si="2"/>
        <v>12.033402585211613</v>
      </c>
      <c r="H13" s="9">
        <f t="shared" si="2"/>
        <v>15.718354451616914</v>
      </c>
      <c r="I13" s="9">
        <f t="shared" si="2"/>
        <v>13.896942109687306</v>
      </c>
      <c r="J13" s="9">
        <f t="shared" si="2"/>
        <v>5.5391803110675619</v>
      </c>
      <c r="K13" s="9"/>
      <c r="L13" s="9">
        <f>100*_xlfn.STDEV.S(L3:L12)/L2</f>
        <v>7.58664418718653</v>
      </c>
      <c r="M13" t="s">
        <v>24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9677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Отбор на IPhO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12</cp:revision>
  <cp:lastPrinted>2015-05-20T22:32:03Z</cp:lastPrinted>
  <dcterms:created xsi:type="dcterms:W3CDTF">2015-05-18T13:25:29Z</dcterms:created>
  <dcterms:modified xsi:type="dcterms:W3CDTF">2018-05-21T08:46:13Z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