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Отбор на IPhO 2018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" i="1" l="1"/>
  <c r="I5" i="1"/>
  <c r="H10" i="1"/>
  <c r="M10" i="1"/>
  <c r="M9" i="1"/>
  <c r="M8" i="1"/>
  <c r="M7" i="1"/>
  <c r="M5" i="1"/>
  <c r="M6" i="1"/>
  <c r="M4" i="1"/>
  <c r="M3" i="1"/>
  <c r="L10" i="1"/>
  <c r="L9" i="1"/>
  <c r="L8" i="1"/>
  <c r="L7" i="1"/>
  <c r="L5" i="1"/>
  <c r="L6" i="1"/>
  <c r="L4" i="1"/>
  <c r="L3" i="1"/>
  <c r="K10" i="1"/>
  <c r="K9" i="1"/>
  <c r="K8" i="1"/>
  <c r="K7" i="1"/>
  <c r="K5" i="1"/>
  <c r="K6" i="1"/>
  <c r="K4" i="1"/>
  <c r="K3" i="1"/>
  <c r="J10" i="1"/>
  <c r="J9" i="1"/>
  <c r="J8" i="1"/>
  <c r="J7" i="1"/>
  <c r="J6" i="1"/>
  <c r="J4" i="1"/>
  <c r="J3" i="1"/>
  <c r="I10" i="1"/>
  <c r="I9" i="1"/>
  <c r="I8" i="1"/>
  <c r="I7" i="1"/>
  <c r="I6" i="1"/>
  <c r="I4" i="1"/>
  <c r="I3" i="1"/>
  <c r="O2" i="1"/>
  <c r="H9" i="1"/>
  <c r="H8" i="1"/>
  <c r="H5" i="1"/>
  <c r="H6" i="1"/>
  <c r="H4" i="1"/>
  <c r="H3" i="1"/>
  <c r="G10" i="1"/>
  <c r="G9" i="1"/>
  <c r="G8" i="1"/>
  <c r="G7" i="1"/>
  <c r="G5" i="1"/>
  <c r="G6" i="1"/>
  <c r="G4" i="1"/>
  <c r="G3" i="1"/>
  <c r="F10" i="1"/>
  <c r="F9" i="1"/>
  <c r="F8" i="1"/>
  <c r="F7" i="1"/>
  <c r="F5" i="1"/>
  <c r="F6" i="1"/>
  <c r="F4" i="1"/>
  <c r="F3" i="1"/>
  <c r="E10" i="1"/>
  <c r="E9" i="1"/>
  <c r="E8" i="1"/>
  <c r="E7" i="1"/>
  <c r="E5" i="1"/>
  <c r="E6" i="1"/>
  <c r="E4" i="1"/>
  <c r="E3" i="1"/>
  <c r="D10" i="1"/>
  <c r="D9" i="1"/>
  <c r="D7" i="1"/>
  <c r="D5" i="1"/>
  <c r="D6" i="1"/>
  <c r="D4" i="1"/>
  <c r="D3" i="1"/>
  <c r="C10" i="1"/>
  <c r="C9" i="1"/>
  <c r="C8" i="1"/>
  <c r="C7" i="1"/>
  <c r="C5" i="1"/>
  <c r="C6" i="1"/>
  <c r="C4" i="1"/>
  <c r="C3" i="1"/>
  <c r="B12" i="1"/>
  <c r="O12" i="1" s="1"/>
  <c r="B11" i="1"/>
  <c r="O11" i="1" s="1"/>
  <c r="B10" i="1"/>
  <c r="B9" i="1"/>
  <c r="B8" i="1"/>
  <c r="B7" i="1"/>
  <c r="B5" i="1"/>
  <c r="B6" i="1"/>
  <c r="B4" i="1"/>
  <c r="B3" i="1"/>
  <c r="D8" i="1"/>
  <c r="H7" i="1"/>
  <c r="B13" i="1" l="1"/>
  <c r="L13" i="1"/>
  <c r="D13" i="1"/>
  <c r="O7" i="1"/>
  <c r="C13" i="1"/>
  <c r="O8" i="1"/>
  <c r="M13" i="1"/>
  <c r="O9" i="1"/>
  <c r="O5" i="1"/>
  <c r="O3" i="1"/>
  <c r="O10" i="1"/>
  <c r="K13" i="1"/>
  <c r="O4" i="1"/>
  <c r="J13" i="1"/>
  <c r="O6" i="1"/>
  <c r="I13" i="1"/>
  <c r="H13" i="1"/>
  <c r="G13" i="1"/>
  <c r="F13" i="1"/>
  <c r="E13" i="1"/>
  <c r="O13" i="1" l="1"/>
  <c r="N3" i="1"/>
  <c r="N4" i="1"/>
  <c r="N11" i="1"/>
  <c r="N12" i="1"/>
  <c r="N10" i="1"/>
  <c r="N7" i="1"/>
  <c r="N8" i="1"/>
  <c r="N9" i="1"/>
  <c r="N5" i="1"/>
  <c r="N6" i="1"/>
</calcChain>
</file>

<file path=xl/sharedStrings.xml><?xml version="1.0" encoding="utf-8"?>
<sst xmlns="http://schemas.openxmlformats.org/spreadsheetml/2006/main" count="40" uniqueCount="28">
  <si>
    <t>Final</t>
  </si>
  <si>
    <t>Всеукр</t>
  </si>
  <si>
    <t>Анисимов</t>
  </si>
  <si>
    <t>Орлянский</t>
  </si>
  <si>
    <t>Пасихов</t>
  </si>
  <si>
    <t>Дмитрук</t>
  </si>
  <si>
    <t>Кельник</t>
  </si>
  <si>
    <t>Место</t>
  </si>
  <si>
    <t>Сумма</t>
  </si>
  <si>
    <t>Участник</t>
  </si>
  <si>
    <t>Крыгин</t>
  </si>
  <si>
    <t>Девиатор</t>
  </si>
  <si>
    <t>Ридкокаша</t>
  </si>
  <si>
    <t>Фортуна</t>
  </si>
  <si>
    <t>Сулима</t>
  </si>
  <si>
    <t>Кузик</t>
  </si>
  <si>
    <t>Дигдалович</t>
  </si>
  <si>
    <t>Марецкий</t>
  </si>
  <si>
    <t>Сайтарли</t>
  </si>
  <si>
    <t>Кришталь</t>
  </si>
  <si>
    <t>Колупаев</t>
  </si>
  <si>
    <t>Соколов 1</t>
  </si>
  <si>
    <t>Соколов 2</t>
  </si>
  <si>
    <t>Вильчинский 1</t>
  </si>
  <si>
    <t>Вильчинский 2</t>
  </si>
  <si>
    <t>Сохацкий 1</t>
  </si>
  <si>
    <t>Сохацкий 2</t>
  </si>
  <si>
    <t>Иннокентий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</si>
</sst>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i/>
      <sz val="10"/>
      <color rgb="FF00CC00"/>
      <name val="Arial"/>
      <family val="2"/>
      <charset val="204"/>
    </font>
    <font>
      <b/>
      <sz val="10"/>
      <color rgb="FFFF3333"/>
      <name val="Arial"/>
      <family val="2"/>
      <charset val="1"/>
    </font>
    <font>
      <sz val="10"/>
      <color theme="0" tint="-0.249977111117893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rgb="FF99FF66"/>
      </patternFill>
    </fill>
    <fill>
      <patternFill patternType="solid">
        <fgColor rgb="FF99FF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9999"/>
        <bgColor rgb="FF99FF6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rgb="FF99FF99"/>
      </patternFill>
    </fill>
    <fill>
      <patternFill patternType="solid">
        <fgColor rgb="FF99FF99"/>
        <bgColor rgb="FFFFFF66"/>
      </patternFill>
    </fill>
    <fill>
      <patternFill patternType="solid">
        <fgColor rgb="FFFF9999"/>
        <bgColor indexed="64"/>
      </patternFill>
    </fill>
    <fill>
      <patternFill patternType="solid">
        <fgColor rgb="FFFF99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2" fontId="2" fillId="0" borderId="0" xfId="0" applyNumberFormat="1" applyFont="1"/>
    <xf numFmtId="0" fontId="0" fillId="2" borderId="0" xfId="0" applyFont="1" applyFill="1"/>
    <xf numFmtId="2" fontId="0" fillId="3" borderId="0" xfId="0" applyNumberFormat="1" applyFont="1" applyFill="1"/>
    <xf numFmtId="2" fontId="0" fillId="3" borderId="0" xfId="0" applyNumberFormat="1" applyFill="1"/>
    <xf numFmtId="2" fontId="0" fillId="0" borderId="0" xfId="0" applyNumberFormat="1"/>
    <xf numFmtId="0" fontId="0" fillId="4" borderId="0" xfId="0" applyFont="1" applyFill="1"/>
    <xf numFmtId="0" fontId="0" fillId="3" borderId="0" xfId="0" applyFont="1" applyFill="1"/>
    <xf numFmtId="0" fontId="3" fillId="0" borderId="0" xfId="0" applyFont="1" applyFill="1"/>
    <xf numFmtId="2" fontId="3" fillId="0" borderId="0" xfId="0" applyNumberFormat="1" applyFont="1" applyFill="1"/>
    <xf numFmtId="2" fontId="0" fillId="0" borderId="0" xfId="0" applyNumberFormat="1" applyFill="1"/>
    <xf numFmtId="2" fontId="0" fillId="5" borderId="0" xfId="0" applyNumberFormat="1" applyFill="1"/>
    <xf numFmtId="0" fontId="0" fillId="0" borderId="0" xfId="0" quotePrefix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0" fontId="0" fillId="14" borderId="0" xfId="0" applyFont="1" applyFill="1"/>
    <xf numFmtId="0" fontId="0" fillId="11" borderId="0" xfId="0" applyFont="1" applyFill="1"/>
    <xf numFmtId="2" fontId="0" fillId="15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2" fontId="0" fillId="18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FF66"/>
      <rgbColor rgb="FFFFCC00"/>
      <rgbColor rgb="FFFF9900"/>
      <rgbColor rgb="FFFF3333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9999"/>
      <color rgb="FFB2B2B2"/>
      <color rgb="FFCCCCCC"/>
      <color rgb="FF99FF99"/>
      <color rgb="FF00CC00"/>
      <color rgb="FFFFFF99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9"/>
  <sheetViews>
    <sheetView tabSelected="1" topLeftCell="B1" zoomScaleNormal="100" workbookViewId="0">
      <selection activeCell="H18" sqref="H18"/>
    </sheetView>
  </sheetViews>
  <sheetFormatPr defaultRowHeight="12.75" x14ac:dyDescent="0.2"/>
  <cols>
    <col min="1" max="1" width="13.7109375"/>
    <col min="2" max="2" width="11.140625" customWidth="1"/>
    <col min="3" max="5" width="11"/>
    <col min="6" max="6" width="10.85546875" customWidth="1"/>
    <col min="7" max="7" width="11.28515625"/>
    <col min="8" max="8" width="10.85546875"/>
    <col min="9" max="10" width="14.28515625" customWidth="1"/>
    <col min="11" max="14" width="10.85546875" customWidth="1"/>
    <col min="15" max="15" width="13.42578125"/>
    <col min="16" max="16" width="13.5703125"/>
    <col min="17" max="17" width="8.28515625"/>
    <col min="18" max="1028" width="8.5703125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3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5</v>
      </c>
      <c r="L1" s="2" t="s">
        <v>25</v>
      </c>
      <c r="M1" s="2" t="s">
        <v>26</v>
      </c>
      <c r="N1" s="2" t="s">
        <v>7</v>
      </c>
      <c r="O1" s="3" t="s">
        <v>8</v>
      </c>
      <c r="P1" s="3" t="s">
        <v>9</v>
      </c>
    </row>
    <row r="2" spans="1:16" x14ac:dyDescent="0.2">
      <c r="A2" t="s">
        <v>27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4">
        <v>10</v>
      </c>
      <c r="M2" s="4">
        <v>10</v>
      </c>
      <c r="N2" s="3">
        <v>0</v>
      </c>
      <c r="O2" s="4">
        <f t="shared" ref="O2:O10" si="0">SUM(B2:M2)</f>
        <v>120</v>
      </c>
      <c r="P2" t="s">
        <v>27</v>
      </c>
    </row>
    <row r="3" spans="1:16" x14ac:dyDescent="0.2">
      <c r="A3" s="5" t="s">
        <v>10</v>
      </c>
      <c r="B3" s="6">
        <f>40.5/45*B2</f>
        <v>9</v>
      </c>
      <c r="C3" s="19">
        <f>25.05/30*C2</f>
        <v>8.3500000000000014</v>
      </c>
      <c r="D3" s="7">
        <f>7.6/10*D2</f>
        <v>7.6</v>
      </c>
      <c r="E3" s="20">
        <f>8.3/10*E2</f>
        <v>8.3000000000000007</v>
      </c>
      <c r="F3" s="17">
        <f>5.75/10*F2</f>
        <v>5.75</v>
      </c>
      <c r="G3" s="14">
        <f>10/10*G2</f>
        <v>10</v>
      </c>
      <c r="H3" s="14">
        <f>10/10*H2</f>
        <v>10</v>
      </c>
      <c r="I3" s="22">
        <f>7.5/10*I2</f>
        <v>7.5</v>
      </c>
      <c r="J3" s="20">
        <f>6.5/10*J2</f>
        <v>6.5</v>
      </c>
      <c r="K3" s="22">
        <f>6.75/10*K2</f>
        <v>6.75</v>
      </c>
      <c r="L3" s="14">
        <f>10/10*L2</f>
        <v>10</v>
      </c>
      <c r="M3" s="22">
        <f>9.5/10*M2</f>
        <v>9.5</v>
      </c>
      <c r="N3" s="3">
        <f t="shared" ref="N3:N12" si="1">RANK(O3,O$3:O$12)</f>
        <v>1</v>
      </c>
      <c r="O3" s="14">
        <f t="shared" si="0"/>
        <v>99.25</v>
      </c>
      <c r="P3" s="5" t="s">
        <v>10</v>
      </c>
    </row>
    <row r="4" spans="1:16" x14ac:dyDescent="0.2">
      <c r="A4" s="5" t="s">
        <v>12</v>
      </c>
      <c r="B4" s="16">
        <f>35.2/45*B2</f>
        <v>7.8222222222222229</v>
      </c>
      <c r="C4" s="20">
        <f>22.9/30*C2</f>
        <v>7.6333333333333329</v>
      </c>
      <c r="D4" s="20">
        <f>6.4/10*D2</f>
        <v>6.4</v>
      </c>
      <c r="E4" s="20">
        <f>8.3/10*E2</f>
        <v>8.3000000000000007</v>
      </c>
      <c r="F4" s="22">
        <f>6/10*F2</f>
        <v>6</v>
      </c>
      <c r="G4" s="17">
        <f>8.4/10*G2</f>
        <v>8.4</v>
      </c>
      <c r="H4" s="14">
        <f>10/10*H2</f>
        <v>10</v>
      </c>
      <c r="I4" s="17">
        <f>6.4/10*I2</f>
        <v>6.4</v>
      </c>
      <c r="J4" s="17">
        <f>5.9/10*J2</f>
        <v>5.9</v>
      </c>
      <c r="K4" s="13">
        <f>6/10*K2</f>
        <v>6</v>
      </c>
      <c r="L4" s="20">
        <f>9.5/10*L2</f>
        <v>9.5</v>
      </c>
      <c r="M4" s="13">
        <f>7.5/10*M2</f>
        <v>7.5</v>
      </c>
      <c r="N4" s="3">
        <f t="shared" si="1"/>
        <v>2</v>
      </c>
      <c r="O4" s="25">
        <f t="shared" si="0"/>
        <v>89.855555555555554</v>
      </c>
      <c r="P4" s="5" t="s">
        <v>12</v>
      </c>
    </row>
    <row r="5" spans="1:16" x14ac:dyDescent="0.2">
      <c r="A5" s="9" t="s">
        <v>14</v>
      </c>
      <c r="B5" s="13">
        <f>27.5/45*B2</f>
        <v>6.1111111111111116</v>
      </c>
      <c r="C5" s="8">
        <f>15.75/30*C2</f>
        <v>5.25</v>
      </c>
      <c r="D5" s="13">
        <f>5.2/10*D2</f>
        <v>5.2</v>
      </c>
      <c r="E5" s="13">
        <f>7.3/10*E2</f>
        <v>7.3</v>
      </c>
      <c r="F5" s="13">
        <f>5/10*F2</f>
        <v>5</v>
      </c>
      <c r="G5" s="14">
        <f>10/10*G2</f>
        <v>10</v>
      </c>
      <c r="H5" s="14">
        <f>10/10*H2</f>
        <v>10</v>
      </c>
      <c r="I5" s="13">
        <f>5.38/10*I2</f>
        <v>5.3800000000000008</v>
      </c>
      <c r="J5" s="22">
        <f>7.45/10*J2</f>
        <v>7.45</v>
      </c>
      <c r="K5" s="18">
        <f>4.75/10*K2</f>
        <v>4.75</v>
      </c>
      <c r="L5" s="13">
        <f>8/10*L2</f>
        <v>8</v>
      </c>
      <c r="M5" s="13">
        <f>8/10*M2</f>
        <v>8</v>
      </c>
      <c r="N5" s="3">
        <f>RANK(O5,O$3:O$12)</f>
        <v>3</v>
      </c>
      <c r="O5" s="26">
        <f t="shared" si="0"/>
        <v>82.441111111111127</v>
      </c>
      <c r="P5" s="9" t="s">
        <v>14</v>
      </c>
    </row>
    <row r="6" spans="1:16" x14ac:dyDescent="0.2">
      <c r="A6" s="24" t="s">
        <v>13</v>
      </c>
      <c r="B6" s="8">
        <f>27.5/45*B2</f>
        <v>6.1111111111111116</v>
      </c>
      <c r="C6" s="21">
        <f>20.65/30*C2</f>
        <v>6.8833333333333329</v>
      </c>
      <c r="D6" s="17">
        <f>6/10*D2</f>
        <v>6</v>
      </c>
      <c r="E6" s="22">
        <f>8.4/10*E2</f>
        <v>8.4</v>
      </c>
      <c r="F6" s="22">
        <f>6/10*F2</f>
        <v>6</v>
      </c>
      <c r="G6" s="13">
        <f>7/10*G2</f>
        <v>7</v>
      </c>
      <c r="H6" s="14">
        <f>10/10*H2</f>
        <v>10</v>
      </c>
      <c r="I6" s="13">
        <f>5.1/10*I2</f>
        <v>5.0999999999999996</v>
      </c>
      <c r="J6" s="13">
        <f>4.05/10*J2</f>
        <v>4.05</v>
      </c>
      <c r="K6" s="20">
        <f>6.25/10*K2</f>
        <v>6.25</v>
      </c>
      <c r="L6" s="13">
        <f>8/10*L2</f>
        <v>8</v>
      </c>
      <c r="M6" s="17">
        <f>8.5/10*M2</f>
        <v>8.5</v>
      </c>
      <c r="N6" s="3">
        <f>RANK(O6,O$3:O$12)</f>
        <v>4</v>
      </c>
      <c r="O6" s="26">
        <f t="shared" si="0"/>
        <v>82.294444444444451</v>
      </c>
      <c r="P6" s="24" t="s">
        <v>13</v>
      </c>
    </row>
    <row r="7" spans="1:16" x14ac:dyDescent="0.2">
      <c r="A7" s="9" t="s">
        <v>15</v>
      </c>
      <c r="B7" s="17">
        <f>30/45*B2</f>
        <v>6.6666666666666661</v>
      </c>
      <c r="C7" s="8">
        <f>17.8/30*C2</f>
        <v>5.9333333333333336</v>
      </c>
      <c r="D7" s="13">
        <f>5.6/10*D2</f>
        <v>5.6</v>
      </c>
      <c r="E7" s="13">
        <f>5.4/10*E2</f>
        <v>5.4</v>
      </c>
      <c r="F7" s="13">
        <f>4/10*F2</f>
        <v>4</v>
      </c>
      <c r="G7" s="13">
        <f>6/10*G2</f>
        <v>6</v>
      </c>
      <c r="H7" s="13">
        <f>8/10*H2</f>
        <v>8</v>
      </c>
      <c r="I7" s="20">
        <f>6.6/10*I2</f>
        <v>6.6</v>
      </c>
      <c r="J7" s="13">
        <f>3.15/10*J2</f>
        <v>3.15</v>
      </c>
      <c r="K7" s="20">
        <f>6.25/10*K2</f>
        <v>6.25</v>
      </c>
      <c r="L7" s="17">
        <f>8.5/10*L2</f>
        <v>8.5</v>
      </c>
      <c r="M7" s="13">
        <f>7/10*M2</f>
        <v>7</v>
      </c>
      <c r="N7" s="3">
        <f>RANK(O7,O$3:O$12)</f>
        <v>5</v>
      </c>
      <c r="O7" s="17">
        <f t="shared" si="0"/>
        <v>73.099999999999994</v>
      </c>
      <c r="P7" s="9" t="s">
        <v>15</v>
      </c>
    </row>
    <row r="8" spans="1:16" x14ac:dyDescent="0.2">
      <c r="A8" s="23" t="s">
        <v>16</v>
      </c>
      <c r="B8" s="13">
        <f>29.3/45*B2</f>
        <v>6.5111111111111111</v>
      </c>
      <c r="C8" s="13">
        <f>11.9/30*C2</f>
        <v>3.9666666666666668</v>
      </c>
      <c r="D8" s="17">
        <f>6/10*D2</f>
        <v>6</v>
      </c>
      <c r="E8" s="13">
        <f>5.3/10*E2</f>
        <v>5.3000000000000007</v>
      </c>
      <c r="F8" s="13">
        <f>3.5/10*F2</f>
        <v>3.5</v>
      </c>
      <c r="G8" s="13">
        <f>7.92/10*G2</f>
        <v>7.92</v>
      </c>
      <c r="H8" s="13">
        <f>8.8/10*H2</f>
        <v>8.8000000000000007</v>
      </c>
      <c r="I8" s="13">
        <f>4.1/10*I2</f>
        <v>4.0999999999999996</v>
      </c>
      <c r="J8" s="13">
        <f>4.1/10*J2</f>
        <v>4.0999999999999996</v>
      </c>
      <c r="K8" s="13">
        <f>5/10*K2</f>
        <v>5</v>
      </c>
      <c r="L8" s="18">
        <f>6/10*L2</f>
        <v>6</v>
      </c>
      <c r="M8" s="18">
        <f>6/10*M2</f>
        <v>6</v>
      </c>
      <c r="N8" s="3">
        <f t="shared" si="1"/>
        <v>6</v>
      </c>
      <c r="O8" s="27">
        <f t="shared" si="0"/>
        <v>67.197777777777787</v>
      </c>
      <c r="P8" s="23" t="s">
        <v>16</v>
      </c>
    </row>
    <row r="9" spans="1:16" x14ac:dyDescent="0.2">
      <c r="A9" s="23" t="s">
        <v>17</v>
      </c>
      <c r="B9" s="18">
        <f>26/45*B2</f>
        <v>5.7777777777777768</v>
      </c>
      <c r="C9" s="8">
        <f>11.6/30*C2</f>
        <v>3.8666666666666667</v>
      </c>
      <c r="D9" s="18">
        <f>4.8/10*D2</f>
        <v>4.8</v>
      </c>
      <c r="E9" s="13">
        <f>7.7/10*E2</f>
        <v>7.7</v>
      </c>
      <c r="F9" s="13">
        <f>4.25/10*F2</f>
        <v>4.25</v>
      </c>
      <c r="G9" s="18">
        <f>4.56/10*G2</f>
        <v>4.5599999999999996</v>
      </c>
      <c r="H9" s="13">
        <f>8/10*H2</f>
        <v>8</v>
      </c>
      <c r="I9" s="18">
        <f>2.9/10*I2</f>
        <v>2.9</v>
      </c>
      <c r="J9" s="13">
        <f>3.63/10*J2</f>
        <v>3.63</v>
      </c>
      <c r="K9" s="13">
        <f>5/10*K2</f>
        <v>5</v>
      </c>
      <c r="L9" s="13">
        <f>8/10*L2</f>
        <v>8</v>
      </c>
      <c r="M9" s="13">
        <f>7/10*M2</f>
        <v>7</v>
      </c>
      <c r="N9" s="3">
        <f t="shared" si="1"/>
        <v>7</v>
      </c>
      <c r="O9" s="27">
        <f t="shared" si="0"/>
        <v>65.484444444444449</v>
      </c>
      <c r="P9" s="23" t="s">
        <v>17</v>
      </c>
    </row>
    <row r="10" spans="1:16" x14ac:dyDescent="0.2">
      <c r="A10" s="10" t="s">
        <v>18</v>
      </c>
      <c r="B10" s="13">
        <f>28/45*B2</f>
        <v>6.2222222222222223</v>
      </c>
      <c r="C10" s="18">
        <f>11.4/30*C2</f>
        <v>3.8</v>
      </c>
      <c r="D10" s="13">
        <f>5.2/10*D2</f>
        <v>5.2</v>
      </c>
      <c r="E10" s="18">
        <f>4.8/10*E2</f>
        <v>4.8</v>
      </c>
      <c r="F10" s="18">
        <f>2.5/10*F2</f>
        <v>2.5</v>
      </c>
      <c r="G10" s="13">
        <f>6.2/10*G2</f>
        <v>6.2</v>
      </c>
      <c r="H10" s="18">
        <f>6/10*H2</f>
        <v>6</v>
      </c>
      <c r="I10" s="13">
        <f>3.5/10*I2</f>
        <v>3.5</v>
      </c>
      <c r="J10" s="18">
        <f>2.55/10*J2</f>
        <v>2.5499999999999998</v>
      </c>
      <c r="K10" s="13">
        <f>5/10*K2</f>
        <v>5</v>
      </c>
      <c r="L10" s="13">
        <f>8/10*L2</f>
        <v>8</v>
      </c>
      <c r="M10" s="20">
        <f>9/10*M2</f>
        <v>9</v>
      </c>
      <c r="N10" s="3">
        <f t="shared" si="1"/>
        <v>8</v>
      </c>
      <c r="O10" s="28">
        <f t="shared" si="0"/>
        <v>62.772222222222219</v>
      </c>
      <c r="P10" s="10" t="s">
        <v>18</v>
      </c>
    </row>
    <row r="11" spans="1:16" x14ac:dyDescent="0.2">
      <c r="A11" s="11" t="s">
        <v>19</v>
      </c>
      <c r="B11" s="12">
        <f>36.3/45*B2</f>
        <v>8.0666666666666664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1">
        <f t="shared" si="1"/>
        <v>9</v>
      </c>
      <c r="O11" s="12">
        <f t="shared" ref="O11:O12" si="2">SUM(B11:J11)</f>
        <v>8.0666666666666664</v>
      </c>
      <c r="P11" s="11" t="s">
        <v>19</v>
      </c>
    </row>
    <row r="12" spans="1:16" x14ac:dyDescent="0.2">
      <c r="A12" s="11" t="s">
        <v>20</v>
      </c>
      <c r="B12" s="12">
        <f>31/45*B2</f>
        <v>6.8888888888888893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1">
        <f t="shared" si="1"/>
        <v>10</v>
      </c>
      <c r="O12" s="12">
        <f t="shared" si="2"/>
        <v>6.8888888888888893</v>
      </c>
      <c r="P12" s="11" t="s">
        <v>20</v>
      </c>
    </row>
    <row r="13" spans="1:16" x14ac:dyDescent="0.2">
      <c r="A13" t="s">
        <v>11</v>
      </c>
      <c r="B13" s="8">
        <f t="shared" ref="B13:M13" si="3">100*_xlfn.STDEV.S(B3:B10)/B2</f>
        <v>10.895689486338892</v>
      </c>
      <c r="C13" s="8">
        <f t="shared" si="3"/>
        <v>17.885424033473292</v>
      </c>
      <c r="D13" s="8">
        <f t="shared" si="3"/>
        <v>8.7993506253911526</v>
      </c>
      <c r="E13" s="13">
        <f t="shared" si="3"/>
        <v>15.202795795510815</v>
      </c>
      <c r="F13" s="13">
        <f t="shared" si="3"/>
        <v>12.817398889233113</v>
      </c>
      <c r="G13" s="13">
        <f t="shared" si="3"/>
        <v>19.390424735641325</v>
      </c>
      <c r="H13" s="13">
        <f t="shared" si="3"/>
        <v>14.570027943889338</v>
      </c>
      <c r="I13" s="13">
        <f t="shared" si="3"/>
        <v>16.089304344368461</v>
      </c>
      <c r="J13" s="13">
        <f t="shared" si="3"/>
        <v>17.396956835689888</v>
      </c>
      <c r="K13" s="13">
        <f t="shared" si="3"/>
        <v>7.6764947357873847</v>
      </c>
      <c r="L13" s="13">
        <f t="shared" si="3"/>
        <v>11.952286093343936</v>
      </c>
      <c r="M13" s="13">
        <f t="shared" si="3"/>
        <v>11.630471062809843</v>
      </c>
      <c r="N13" s="8"/>
      <c r="O13" s="8">
        <f>100*_xlfn.STDEV.S(O3:O10)/O2</f>
        <v>10.723726614952879</v>
      </c>
      <c r="P13" t="s">
        <v>11</v>
      </c>
    </row>
    <row r="19" spans="2:2" x14ac:dyDescent="0.2">
      <c r="B19" s="15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1200" verticalDpi="1200" r:id="rId1"/>
  <headerFooter>
    <oddHeader>&amp;C&amp;A</oddHeader>
    <oddFooter>&amp;CPage &amp;P</oddFooter>
  </headerFooter>
  <ignoredErrors>
    <ignoredError sqref="L7 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Отбор на IPhO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cp:lastPrinted>2015-05-20T22:32:03Z</cp:lastPrinted>
  <dcterms:created xsi:type="dcterms:W3CDTF">2015-05-18T13:25:29Z</dcterms:created>
  <dcterms:modified xsi:type="dcterms:W3CDTF">2018-08-04T22:55:59Z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