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272" tabRatio="989"/>
  </bookViews>
  <sheets>
    <sheet name="Отбор на IPhO 2019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L11" i="1"/>
  <c r="L10" i="1"/>
  <c r="L9" i="1"/>
  <c r="L8" i="1"/>
  <c r="L7" i="1"/>
  <c r="L6" i="1"/>
  <c r="L5" i="1"/>
  <c r="L4" i="1"/>
  <c r="L3" i="1"/>
  <c r="K11" i="1"/>
  <c r="K10" i="1"/>
  <c r="K9" i="1"/>
  <c r="K8" i="1"/>
  <c r="K7" i="1"/>
  <c r="K6" i="1"/>
  <c r="K5" i="1"/>
  <c r="K4" i="1"/>
  <c r="K3" i="1"/>
  <c r="J11" i="1"/>
  <c r="J10" i="1"/>
  <c r="J9" i="1"/>
  <c r="J8" i="1"/>
  <c r="J7" i="1"/>
  <c r="J6" i="1"/>
  <c r="J5" i="1"/>
  <c r="J4" i="1"/>
  <c r="J3" i="1"/>
  <c r="I11" i="1"/>
  <c r="I10" i="1"/>
  <c r="I9" i="1"/>
  <c r="I8" i="1"/>
  <c r="I7" i="1"/>
  <c r="I6" i="1"/>
  <c r="I5" i="1"/>
  <c r="I4" i="1"/>
  <c r="I3" i="1"/>
  <c r="H11" i="1"/>
  <c r="H10" i="1"/>
  <c r="H9" i="1"/>
  <c r="H8" i="1"/>
  <c r="H7" i="1"/>
  <c r="H6" i="1"/>
  <c r="H5" i="1"/>
  <c r="G11" i="1"/>
  <c r="G10" i="1"/>
  <c r="G9" i="1"/>
  <c r="G8" i="1"/>
  <c r="G7" i="1"/>
  <c r="G6" i="1"/>
  <c r="G5" i="1"/>
  <c r="G4" i="1"/>
  <c r="G3" i="1"/>
  <c r="F11" i="1"/>
  <c r="F10" i="1"/>
  <c r="F9" i="1"/>
  <c r="F8" i="1"/>
  <c r="F7" i="1"/>
  <c r="F6" i="1"/>
  <c r="F5" i="1"/>
  <c r="F4" i="1"/>
  <c r="F3" i="1"/>
  <c r="E11" i="1"/>
  <c r="E10" i="1"/>
  <c r="E9" i="1"/>
  <c r="E8" i="1"/>
  <c r="E7" i="1"/>
  <c r="E6" i="1"/>
  <c r="E5" i="1"/>
  <c r="E4" i="1"/>
  <c r="E3" i="1"/>
  <c r="C11" i="1"/>
  <c r="C10" i="1"/>
  <c r="C9" i="1"/>
  <c r="C8" i="1"/>
  <c r="C7" i="1"/>
  <c r="C6" i="1"/>
  <c r="C5" i="1"/>
  <c r="C13" i="1" s="1"/>
  <c r="C4" i="1"/>
  <c r="C3" i="1"/>
  <c r="B12" i="1"/>
  <c r="N12" i="1" s="1"/>
  <c r="B11" i="1"/>
  <c r="B10" i="1"/>
  <c r="B9" i="1"/>
  <c r="B8" i="1"/>
  <c r="B7" i="1"/>
  <c r="B6" i="1"/>
  <c r="B5" i="1"/>
  <c r="B4" i="1"/>
  <c r="B3" i="1"/>
  <c r="B13" i="1" s="1"/>
  <c r="N11" i="1" l="1"/>
  <c r="F13" i="1"/>
  <c r="E13" i="1"/>
  <c r="I13" i="1"/>
  <c r="N2" i="1"/>
  <c r="H4" i="1"/>
  <c r="H3" i="1"/>
  <c r="D13" i="1" l="1"/>
  <c r="K13" i="1"/>
  <c r="L13" i="1"/>
  <c r="J13" i="1"/>
  <c r="G13" i="1"/>
  <c r="H13" i="1"/>
  <c r="N7" i="1"/>
  <c r="N8" i="1"/>
  <c r="N9" i="1"/>
  <c r="N5" i="1"/>
  <c r="N3" i="1"/>
  <c r="N10" i="1"/>
  <c r="N4" i="1"/>
  <c r="N6" i="1"/>
  <c r="N13" i="1" l="1"/>
  <c r="M3" i="1"/>
  <c r="M4" i="1"/>
  <c r="M11" i="1"/>
  <c r="M12" i="1"/>
  <c r="M10" i="1"/>
  <c r="M7" i="1"/>
  <c r="M8" i="1"/>
  <c r="M9" i="1"/>
  <c r="M5" i="1"/>
  <c r="M6" i="1"/>
</calcChain>
</file>

<file path=xl/sharedStrings.xml><?xml version="1.0" encoding="utf-8"?>
<sst xmlns="http://schemas.openxmlformats.org/spreadsheetml/2006/main" count="39" uniqueCount="27">
  <si>
    <t>Final</t>
  </si>
  <si>
    <t>Всеукр</t>
  </si>
  <si>
    <t>Анисимов</t>
  </si>
  <si>
    <t>Орлянский</t>
  </si>
  <si>
    <t>Дмитрук</t>
  </si>
  <si>
    <t>Место</t>
  </si>
  <si>
    <t>Сумма</t>
  </si>
  <si>
    <t>Участник</t>
  </si>
  <si>
    <t>Девиатор</t>
  </si>
  <si>
    <t>Соколов 1</t>
  </si>
  <si>
    <t>Соколов 2</t>
  </si>
  <si>
    <t>Вильчинский 1</t>
  </si>
  <si>
    <t>Вильчинский 2</t>
  </si>
  <si>
    <t>Губенко</t>
  </si>
  <si>
    <t>Цисин</t>
  </si>
  <si>
    <t>Ковальчук</t>
  </si>
  <si>
    <t>Кутах</t>
  </si>
  <si>
    <t>Рогоза</t>
  </si>
  <si>
    <t>Лещинский</t>
  </si>
  <si>
    <t>Грицюк</t>
  </si>
  <si>
    <t>Зорин</t>
  </si>
  <si>
    <t>Голийчук</t>
  </si>
  <si>
    <t>Фединяк</t>
  </si>
  <si>
    <t>Ванесса</t>
  </si>
  <si>
    <t>Овсянников</t>
  </si>
  <si>
    <t>Пашко</t>
  </si>
  <si>
    <t>Сохацкий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</si>
</sst>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i/>
      <sz val="10"/>
      <color rgb="FF00CC00"/>
      <name val="Arial"/>
      <family val="2"/>
      <charset val="204"/>
    </font>
    <font>
      <b/>
      <sz val="10"/>
      <color rgb="FFFF3333"/>
      <name val="Arial"/>
      <family val="2"/>
      <charset val="1"/>
    </font>
    <font>
      <sz val="10"/>
      <color theme="0" tint="-0.249977111117893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9FF66"/>
        <bgColor rgb="FF99FF99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99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99FF66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2" fontId="2" fillId="0" borderId="0" xfId="0" applyNumberFormat="1" applyFont="1"/>
    <xf numFmtId="0" fontId="0" fillId="2" borderId="0" xfId="0" applyFont="1" applyFill="1"/>
    <xf numFmtId="2" fontId="0" fillId="0" borderId="0" xfId="0" applyNumberFormat="1"/>
    <xf numFmtId="0" fontId="0" fillId="4" borderId="0" xfId="0" applyFont="1" applyFill="1"/>
    <xf numFmtId="0" fontId="0" fillId="3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2" fontId="0" fillId="0" borderId="0" xfId="0" applyNumberFormat="1" applyFill="1"/>
    <xf numFmtId="2" fontId="0" fillId="5" borderId="0" xfId="0" applyNumberFormat="1" applyFill="1"/>
    <xf numFmtId="0" fontId="0" fillId="0" borderId="0" xfId="0" quotePrefix="1"/>
    <xf numFmtId="2" fontId="0" fillId="6" borderId="0" xfId="0" applyNumberFormat="1" applyFill="1"/>
    <xf numFmtId="0" fontId="0" fillId="7" borderId="0" xfId="0" applyFon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0" borderId="0" xfId="0" applyFont="1" applyFill="1"/>
    <xf numFmtId="2" fontId="0" fillId="12" borderId="0" xfId="0" applyNumberFormat="1" applyFont="1" applyFill="1"/>
    <xf numFmtId="2" fontId="0" fillId="11" borderId="0" xfId="0" applyNumberFormat="1" applyFont="1" applyFill="1"/>
    <xf numFmtId="0" fontId="0" fillId="12" borderId="0" xfId="0" applyFont="1" applyFill="1"/>
    <xf numFmtId="2" fontId="0" fillId="13" borderId="0" xfId="0" applyNumberFormat="1" applyFill="1"/>
    <xf numFmtId="2" fontId="0" fillId="14" borderId="0" xfId="0" applyNumberFormat="1" applyFont="1" applyFill="1"/>
    <xf numFmtId="2" fontId="0" fillId="12" borderId="0" xfId="0" applyNumberFormat="1" applyFill="1"/>
    <xf numFmtId="2" fontId="0" fillId="14" borderId="0" xfId="0" applyNumberFormat="1" applyFill="1"/>
    <xf numFmtId="0" fontId="0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99FF66"/>
      <color rgb="FFB2B2B2"/>
      <color rgb="FF99FF99"/>
      <color rgb="FFFFFF99"/>
      <color rgb="FFFF9999"/>
      <color rgb="FF999999"/>
      <color rgb="FFCCCC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19"/>
  <sheetViews>
    <sheetView tabSelected="1" zoomScaleNormal="100" workbookViewId="0">
      <selection activeCell="A3" sqref="A3:A11"/>
    </sheetView>
  </sheetViews>
  <sheetFormatPr defaultRowHeight="13.2" x14ac:dyDescent="0.25"/>
  <cols>
    <col min="1" max="1" width="13.6640625"/>
    <col min="2" max="2" width="11.109375" customWidth="1"/>
    <col min="3" max="5" width="11"/>
    <col min="6" max="6" width="10.88671875" customWidth="1"/>
    <col min="7" max="7" width="11.33203125"/>
    <col min="8" max="8" width="10.88671875"/>
    <col min="9" max="10" width="14.33203125" customWidth="1"/>
    <col min="11" max="13" width="10.88671875" customWidth="1"/>
    <col min="14" max="14" width="13.44140625"/>
    <col min="15" max="15" width="13.5546875"/>
    <col min="16" max="16" width="8.33203125"/>
    <col min="17" max="1027" width="8.5546875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24</v>
      </c>
      <c r="E1" s="2" t="s">
        <v>25</v>
      </c>
      <c r="F1" s="2" t="s">
        <v>3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4</v>
      </c>
      <c r="L1" s="2" t="s">
        <v>26</v>
      </c>
      <c r="M1" s="2" t="s">
        <v>5</v>
      </c>
      <c r="N1" s="3" t="s">
        <v>6</v>
      </c>
      <c r="O1" s="3" t="s">
        <v>7</v>
      </c>
    </row>
    <row r="2" spans="1:15" x14ac:dyDescent="0.25">
      <c r="A2" t="s">
        <v>23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20</v>
      </c>
      <c r="L2" s="4">
        <v>40</v>
      </c>
      <c r="M2" s="3">
        <v>0</v>
      </c>
      <c r="N2" s="4">
        <f t="shared" ref="N2:N12" si="0">SUM(B2:L2)</f>
        <v>150</v>
      </c>
      <c r="O2" t="s">
        <v>23</v>
      </c>
    </row>
    <row r="3" spans="1:15" x14ac:dyDescent="0.25">
      <c r="A3" s="5" t="s">
        <v>13</v>
      </c>
      <c r="B3" s="20">
        <f>37/45*B2</f>
        <v>8.2222222222222214</v>
      </c>
      <c r="C3" s="25">
        <f>9/10*C2</f>
        <v>9</v>
      </c>
      <c r="D3" s="25">
        <f>8.53/10*D2</f>
        <v>8.5299999999999994</v>
      </c>
      <c r="E3" s="23">
        <f>7.3/10*E2</f>
        <v>7.3</v>
      </c>
      <c r="F3" s="23">
        <f>7.5/10*F2</f>
        <v>7.5</v>
      </c>
      <c r="G3" s="14">
        <f>8/10*G2</f>
        <v>8</v>
      </c>
      <c r="H3" s="12">
        <f>10/10*H2</f>
        <v>10</v>
      </c>
      <c r="I3" s="25">
        <f>8.15/10*I2</f>
        <v>8.15</v>
      </c>
      <c r="J3" s="25">
        <f>8/10*J2</f>
        <v>8</v>
      </c>
      <c r="K3" s="11">
        <f>11.2/20*K2</f>
        <v>11.2</v>
      </c>
      <c r="L3" s="23">
        <f>34/40*L2</f>
        <v>34</v>
      </c>
      <c r="M3" s="3">
        <f t="shared" ref="M3:M12" si="1">RANK(N3,N$3:N$12)</f>
        <v>1</v>
      </c>
      <c r="N3" s="12">
        <f t="shared" si="0"/>
        <v>119.90222222222222</v>
      </c>
      <c r="O3" s="5" t="s">
        <v>13</v>
      </c>
    </row>
    <row r="4" spans="1:15" x14ac:dyDescent="0.25">
      <c r="A4" s="5" t="s">
        <v>14</v>
      </c>
      <c r="B4" s="14">
        <f>26.2/45*B2</f>
        <v>5.822222222222222</v>
      </c>
      <c r="C4" s="14">
        <f>5.1/10*C2</f>
        <v>5.0999999999999996</v>
      </c>
      <c r="D4" s="23">
        <f>3.53/10*D2</f>
        <v>3.53</v>
      </c>
      <c r="E4" s="25">
        <f>7.5/10*E2</f>
        <v>7.5</v>
      </c>
      <c r="F4" s="25">
        <f>8.5/10*F2</f>
        <v>8.5</v>
      </c>
      <c r="G4" s="25">
        <f>9.2/10*G2</f>
        <v>9.1999999999999993</v>
      </c>
      <c r="H4" s="12">
        <f>10/10*H2</f>
        <v>10</v>
      </c>
      <c r="I4" s="23">
        <f>6.2/10*I2</f>
        <v>6.2</v>
      </c>
      <c r="J4" s="14">
        <f>5.95/10*J2</f>
        <v>5.9499999999999993</v>
      </c>
      <c r="K4" s="11">
        <f>12.9/20*K2</f>
        <v>12.9</v>
      </c>
      <c r="L4" s="11">
        <f>28/40*L2</f>
        <v>28</v>
      </c>
      <c r="M4" s="3">
        <f t="shared" si="1"/>
        <v>2</v>
      </c>
      <c r="N4" s="16">
        <f t="shared" si="0"/>
        <v>102.70222222222223</v>
      </c>
      <c r="O4" s="5" t="s">
        <v>14</v>
      </c>
    </row>
    <row r="5" spans="1:15" x14ac:dyDescent="0.25">
      <c r="A5" s="27" t="s">
        <v>15</v>
      </c>
      <c r="B5" s="23">
        <f>29.2/45*B2</f>
        <v>6.4888888888888889</v>
      </c>
      <c r="C5" s="23">
        <f>5.4/10*C2</f>
        <v>5.4</v>
      </c>
      <c r="D5" s="26">
        <f>1.76/10*D2</f>
        <v>1.7599999999999998</v>
      </c>
      <c r="E5" s="11">
        <f>4.5/10*E2</f>
        <v>4.5</v>
      </c>
      <c r="F5" s="11">
        <f>5.25/10*F2</f>
        <v>5.25</v>
      </c>
      <c r="G5" s="11">
        <f>7/10*G2</f>
        <v>7</v>
      </c>
      <c r="H5" s="11">
        <f>8/10*H2</f>
        <v>8</v>
      </c>
      <c r="I5" s="11">
        <f>4.55/10*I2</f>
        <v>4.55</v>
      </c>
      <c r="J5" s="11">
        <f>5.05/10*J2</f>
        <v>5.05</v>
      </c>
      <c r="K5" s="14">
        <f>15.4/20*K2</f>
        <v>15.4</v>
      </c>
      <c r="L5" s="25">
        <f>35/40*L2</f>
        <v>35</v>
      </c>
      <c r="M5" s="3">
        <f>RANK(N5,N$3:N$12)</f>
        <v>3</v>
      </c>
      <c r="N5" s="16">
        <f t="shared" si="0"/>
        <v>98.398888888888877</v>
      </c>
      <c r="O5" s="27" t="s">
        <v>15</v>
      </c>
    </row>
    <row r="6" spans="1:15" x14ac:dyDescent="0.25">
      <c r="A6" s="5" t="s">
        <v>16</v>
      </c>
      <c r="B6" s="11">
        <f>25.2/45*B2</f>
        <v>5.6</v>
      </c>
      <c r="C6" s="11">
        <f>4.8/10*C2</f>
        <v>4.8</v>
      </c>
      <c r="D6" s="14">
        <f>3.24/10*D2</f>
        <v>3.24</v>
      </c>
      <c r="E6" s="14">
        <f>5.5/10*E2</f>
        <v>5.5</v>
      </c>
      <c r="F6" s="11">
        <f>4.25/10*F2</f>
        <v>4.25</v>
      </c>
      <c r="G6" s="25">
        <f>9.2/10*G2</f>
        <v>9.1999999999999993</v>
      </c>
      <c r="H6" s="11">
        <f>6/10*H2</f>
        <v>6</v>
      </c>
      <c r="I6" s="14">
        <f>4.7/10*I2</f>
        <v>4.7</v>
      </c>
      <c r="J6" s="23">
        <f>7.2/10*J2</f>
        <v>7.1999999999999993</v>
      </c>
      <c r="K6" s="11">
        <f>12.5/20*K2</f>
        <v>12.5</v>
      </c>
      <c r="L6" s="14">
        <f>31/40*L2</f>
        <v>31</v>
      </c>
      <c r="M6" s="3">
        <f>RANK(N6,N$3:N$12)</f>
        <v>4</v>
      </c>
      <c r="N6" s="17">
        <f t="shared" si="0"/>
        <v>93.990000000000009</v>
      </c>
      <c r="O6" s="5" t="s">
        <v>16</v>
      </c>
    </row>
    <row r="7" spans="1:15" x14ac:dyDescent="0.25">
      <c r="A7" s="7" t="s">
        <v>17</v>
      </c>
      <c r="B7" s="11">
        <f>19.9/45*B2</f>
        <v>4.4222222222222216</v>
      </c>
      <c r="C7" s="11">
        <f>3.8/10*C2</f>
        <v>3.8</v>
      </c>
      <c r="D7" s="11">
        <f>2.94/10*D2</f>
        <v>2.94</v>
      </c>
      <c r="E7" s="11">
        <f>5/10*E2</f>
        <v>5</v>
      </c>
      <c r="F7" s="14">
        <f>5.5/10*F2</f>
        <v>5.5</v>
      </c>
      <c r="G7" s="11">
        <f>4.2/10*G2</f>
        <v>4.2</v>
      </c>
      <c r="H7" s="11">
        <f>5/10*H2</f>
        <v>5</v>
      </c>
      <c r="I7" s="11">
        <f>3.75/10*I2</f>
        <v>3.75</v>
      </c>
      <c r="J7" s="11">
        <f>5.05/10*J2</f>
        <v>5.05</v>
      </c>
      <c r="K7" s="25">
        <f>17.4/20*K2</f>
        <v>17.399999999999999</v>
      </c>
      <c r="L7" s="26">
        <f>26/40*L2</f>
        <v>26</v>
      </c>
      <c r="M7" s="3">
        <f>RANK(N7,N$3:N$12)</f>
        <v>5</v>
      </c>
      <c r="N7" s="14">
        <f t="shared" si="0"/>
        <v>83.062222222222204</v>
      </c>
      <c r="O7" s="7" t="s">
        <v>17</v>
      </c>
    </row>
    <row r="8" spans="1:15" x14ac:dyDescent="0.25">
      <c r="A8" s="7" t="s">
        <v>18</v>
      </c>
      <c r="B8" s="14">
        <f>26.2/45*B2</f>
        <v>5.822222222222222</v>
      </c>
      <c r="C8" s="11">
        <f>0.8/10*C2</f>
        <v>0.8</v>
      </c>
      <c r="D8" s="11">
        <f>2.94/10*D2</f>
        <v>2.94</v>
      </c>
      <c r="E8" s="11">
        <f>3.6/10*E2</f>
        <v>3.5999999999999996</v>
      </c>
      <c r="F8" s="11">
        <f>2.25/10*F2</f>
        <v>2.25</v>
      </c>
      <c r="G8" s="11">
        <f>4.4/10*G2</f>
        <v>4.4000000000000004</v>
      </c>
      <c r="H8" s="11">
        <f>7/10*H2</f>
        <v>7</v>
      </c>
      <c r="I8" s="11">
        <f>0.95/10*I2</f>
        <v>0.95</v>
      </c>
      <c r="J8" s="11">
        <f>5.85/10*J2</f>
        <v>5.85</v>
      </c>
      <c r="K8" s="23">
        <f>15.95/20*K2</f>
        <v>15.95</v>
      </c>
      <c r="L8" s="11">
        <f>30/40*L2</f>
        <v>30</v>
      </c>
      <c r="M8" s="3">
        <f t="shared" si="1"/>
        <v>6</v>
      </c>
      <c r="N8" s="14">
        <f t="shared" si="0"/>
        <v>79.562222222222218</v>
      </c>
      <c r="O8" s="7" t="s">
        <v>18</v>
      </c>
    </row>
    <row r="9" spans="1:15" x14ac:dyDescent="0.25">
      <c r="A9" s="15" t="s">
        <v>19</v>
      </c>
      <c r="B9" s="11">
        <f>21.6/45*B2</f>
        <v>4.8000000000000007</v>
      </c>
      <c r="C9" s="11">
        <f>1.3/10*C2</f>
        <v>1.3</v>
      </c>
      <c r="D9" s="11">
        <f>2.94/10*D2</f>
        <v>2.94</v>
      </c>
      <c r="E9" s="11">
        <f>3.5/10*E2</f>
        <v>3.5</v>
      </c>
      <c r="F9" s="11">
        <f>2.75/10*F2</f>
        <v>2.75</v>
      </c>
      <c r="G9" s="11">
        <f>3.6/10*G2</f>
        <v>3.5999999999999996</v>
      </c>
      <c r="H9" s="11">
        <f>7/10*H2</f>
        <v>7</v>
      </c>
      <c r="I9" s="11">
        <f>2.3/10*I2</f>
        <v>2.2999999999999998</v>
      </c>
      <c r="J9" s="11">
        <f>3.75/10*J2</f>
        <v>3.75</v>
      </c>
      <c r="K9" s="26">
        <f>10/20*K2</f>
        <v>10</v>
      </c>
      <c r="L9" s="11">
        <f>30/40*L2</f>
        <v>30</v>
      </c>
      <c r="M9" s="3">
        <f t="shared" si="1"/>
        <v>7</v>
      </c>
      <c r="N9" s="18">
        <f t="shared" si="0"/>
        <v>71.94</v>
      </c>
      <c r="O9" s="15" t="s">
        <v>19</v>
      </c>
    </row>
    <row r="10" spans="1:15" x14ac:dyDescent="0.25">
      <c r="A10" s="8" t="s">
        <v>20</v>
      </c>
      <c r="B10" s="11">
        <f>25.7/45*B2</f>
        <v>5.7111111111111112</v>
      </c>
      <c r="C10" s="11">
        <f>1.2/10*C2</f>
        <v>1.2</v>
      </c>
      <c r="D10" s="11">
        <f>2.94/10*D2</f>
        <v>2.94</v>
      </c>
      <c r="E10" s="11">
        <f>3.3/10*E2</f>
        <v>3.3</v>
      </c>
      <c r="F10" s="26">
        <f>1.75/10*F2</f>
        <v>1.75</v>
      </c>
      <c r="G10" s="11">
        <f>3/10*G2</f>
        <v>3</v>
      </c>
      <c r="H10" s="14">
        <f>8.5/10*H2</f>
        <v>8.5</v>
      </c>
      <c r="I10" s="11">
        <f>1.78/10*I2</f>
        <v>1.7799999999999998</v>
      </c>
      <c r="J10" s="11">
        <f>2.65/10*J2</f>
        <v>2.6500000000000004</v>
      </c>
      <c r="K10" s="11">
        <f>12.5/20*K2</f>
        <v>12.5</v>
      </c>
      <c r="L10" s="26">
        <f>26/40*L2</f>
        <v>26</v>
      </c>
      <c r="M10" s="3">
        <f t="shared" si="1"/>
        <v>8</v>
      </c>
      <c r="N10" s="18">
        <f t="shared" si="0"/>
        <v>69.331111111111113</v>
      </c>
      <c r="O10" s="8" t="s">
        <v>20</v>
      </c>
    </row>
    <row r="11" spans="1:15" x14ac:dyDescent="0.25">
      <c r="A11" s="22" t="s">
        <v>21</v>
      </c>
      <c r="B11" s="24">
        <f>19.8/45*B2</f>
        <v>4.4000000000000004</v>
      </c>
      <c r="C11" s="26">
        <f>0.7/10*C2</f>
        <v>0.7</v>
      </c>
      <c r="D11" s="11">
        <f>2.35/10*D2</f>
        <v>2.35</v>
      </c>
      <c r="E11" s="26">
        <f>3.1/10*E2</f>
        <v>3.1</v>
      </c>
      <c r="F11" s="11">
        <f>3/10*F2</f>
        <v>3</v>
      </c>
      <c r="G11" s="26">
        <f>2/10*G2</f>
        <v>2</v>
      </c>
      <c r="H11" s="26">
        <f>3/10*H2</f>
        <v>3</v>
      </c>
      <c r="I11" s="26">
        <f>0.2/10*I2</f>
        <v>0.2</v>
      </c>
      <c r="J11" s="26">
        <f>2.4/10*J2</f>
        <v>2.4</v>
      </c>
      <c r="K11" s="11">
        <f>13.75/20*K2</f>
        <v>13.75</v>
      </c>
      <c r="L11" s="11">
        <f>29/40*L2</f>
        <v>29</v>
      </c>
      <c r="M11" s="19">
        <f t="shared" si="1"/>
        <v>9</v>
      </c>
      <c r="N11" s="21">
        <f t="shared" si="0"/>
        <v>63.9</v>
      </c>
      <c r="O11" s="22" t="s">
        <v>21</v>
      </c>
    </row>
    <row r="12" spans="1:15" x14ac:dyDescent="0.25">
      <c r="A12" s="9" t="s">
        <v>22</v>
      </c>
      <c r="B12" s="10">
        <f>25.7/45*B2</f>
        <v>5.7111111111111112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9">
        <f t="shared" si="1"/>
        <v>10</v>
      </c>
      <c r="N12" s="10">
        <f t="shared" si="0"/>
        <v>5.7111111111111112</v>
      </c>
      <c r="O12" s="9" t="s">
        <v>22</v>
      </c>
    </row>
    <row r="13" spans="1:15" x14ac:dyDescent="0.25">
      <c r="A13" t="s">
        <v>8</v>
      </c>
      <c r="B13" s="11">
        <f t="shared" ref="B13:L13" si="2">100*_xlfn.STDEV.S(B3:B11)/B2</f>
        <v>11.809240528737231</v>
      </c>
      <c r="C13" s="11">
        <f t="shared" si="2"/>
        <v>28.155816450602167</v>
      </c>
      <c r="D13" s="11">
        <f t="shared" si="2"/>
        <v>19.672887434232916</v>
      </c>
      <c r="E13" s="11">
        <f t="shared" si="2"/>
        <v>16.743987312199913</v>
      </c>
      <c r="F13" s="6">
        <f t="shared" si="2"/>
        <v>23.599670430843823</v>
      </c>
      <c r="G13" s="6">
        <f t="shared" si="2"/>
        <v>27.558019603092731</v>
      </c>
      <c r="H13" s="6">
        <f t="shared" si="2"/>
        <v>22.912878474779198</v>
      </c>
      <c r="I13" s="6">
        <f t="shared" si="2"/>
        <v>25.782455274856964</v>
      </c>
      <c r="J13" s="6">
        <f t="shared" si="2"/>
        <v>19.113149923547379</v>
      </c>
      <c r="K13" s="6">
        <f t="shared" si="2"/>
        <v>11.83003181643131</v>
      </c>
      <c r="L13" s="6">
        <f t="shared" si="2"/>
        <v>7.8506015339236539</v>
      </c>
      <c r="M13" s="6"/>
      <c r="N13" s="6">
        <f>100*_xlfn.STDEV.S(N3:N11)/N2</f>
        <v>12.136573954730171</v>
      </c>
      <c r="O13" t="s">
        <v>8</v>
      </c>
    </row>
    <row r="19" spans="2:2" x14ac:dyDescent="0.25">
      <c r="B19" s="13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1200" verticalDpi="1200" r:id="rId1"/>
  <headerFooter>
    <oddHeader>&amp;C&amp;A</oddHeader>
    <oddFooter>&amp;CPage &amp;P</oddFooter>
  </headerFooter>
  <ignoredErrors>
    <ignoredError sqref="G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Отбор на IPhO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win7-vm</cp:lastModifiedBy>
  <cp:revision>12</cp:revision>
  <cp:lastPrinted>2015-05-20T22:32:03Z</cp:lastPrinted>
  <dcterms:created xsi:type="dcterms:W3CDTF">2015-05-18T13:25:29Z</dcterms:created>
  <dcterms:modified xsi:type="dcterms:W3CDTF">2019-07-18T07:07:53Z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