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016\Dropbox (ASU)\STALite\IIT_teaching\"/>
    </mc:Choice>
  </mc:AlternateContent>
  <xr:revisionPtr revIDLastSave="0" documentId="13_ncr:1_{03145CA6-950C-42D1-8659-2E8D4329E8F3}" xr6:coauthVersionLast="47" xr6:coauthVersionMax="47" xr10:uidLastSave="{00000000-0000-0000-0000-000000000000}"/>
  <bookViews>
    <workbookView xWindow="-108" yWindow="-108" windowWidth="23256" windowHeight="13896" xr2:uid="{815B63F1-2EE7-4BDB-BF5B-2AFEFD5FA30B}"/>
  </bookViews>
  <sheets>
    <sheet name="Step1.1_FD&amp;QVDF" sheetId="2" r:id="rId1"/>
    <sheet name="Step1.2_QVDF" sheetId="5" r:id="rId2"/>
    <sheet name="Step2_Time dependent speed" sheetId="1" r:id="rId3"/>
    <sheet name="Step3_Link level analysis" sheetId="3" r:id="rId4"/>
  </sheets>
  <definedNames>
    <definedName name="_xlnm._FilterDatabase" localSheetId="3" hidden="1">'Step3_Link level analysis'!$A$2:$I$2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5" l="1"/>
  <c r="E29" i="5"/>
  <c r="E19" i="5"/>
  <c r="D21" i="5"/>
  <c r="H19" i="5"/>
  <c r="M19" i="5" s="1"/>
  <c r="G19" i="5"/>
  <c r="D16" i="5"/>
  <c r="D35" i="5" s="1"/>
  <c r="P4" i="3"/>
  <c r="C11" i="1"/>
  <c r="C12" i="1" s="1"/>
  <c r="Q20" i="2"/>
  <c r="I20" i="2"/>
  <c r="M20" i="2"/>
  <c r="L20" i="2"/>
  <c r="K2" i="2"/>
  <c r="G14" i="5"/>
  <c r="E20" i="5"/>
  <c r="E21" i="5"/>
  <c r="E22" i="5"/>
  <c r="E23" i="5"/>
  <c r="E24" i="5"/>
  <c r="E25" i="5"/>
  <c r="E26" i="5"/>
  <c r="E27" i="5"/>
  <c r="E28" i="5"/>
  <c r="E31" i="5"/>
  <c r="E32" i="5"/>
  <c r="E33" i="5"/>
  <c r="E34" i="5"/>
  <c r="E35" i="5"/>
  <c r="E36" i="5"/>
  <c r="E37" i="5"/>
  <c r="E38" i="5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H21" i="2"/>
  <c r="J21" i="2" s="1"/>
  <c r="H22" i="2"/>
  <c r="J22" i="2" s="1"/>
  <c r="H23" i="2"/>
  <c r="J23" i="2" s="1"/>
  <c r="H24" i="2"/>
  <c r="J24" i="2" s="1"/>
  <c r="H25" i="2"/>
  <c r="J25" i="2" s="1"/>
  <c r="H26" i="2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H41" i="2"/>
  <c r="J41" i="2" s="1"/>
  <c r="H42" i="2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J26" i="2"/>
  <c r="J40" i="2"/>
  <c r="J42" i="2"/>
  <c r="J49" i="2"/>
  <c r="J58" i="2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4" i="3"/>
  <c r="D20" i="2" l="1"/>
  <c r="J20" i="2"/>
  <c r="D19" i="5"/>
  <c r="F19" i="5" s="1"/>
  <c r="D20" i="5"/>
  <c r="F20" i="5" s="1"/>
  <c r="F21" i="5"/>
  <c r="D24" i="5"/>
  <c r="F24" i="5" s="1"/>
  <c r="K19" i="5"/>
  <c r="L19" i="5" s="1"/>
  <c r="N19" i="5" s="1"/>
  <c r="O19" i="5" s="1"/>
  <c r="F35" i="5"/>
  <c r="C13" i="1"/>
  <c r="C14" i="1"/>
  <c r="F37" i="5"/>
  <c r="W19" i="5"/>
  <c r="D34" i="5"/>
  <c r="F34" i="5" s="1"/>
  <c r="D33" i="5"/>
  <c r="F33" i="5" s="1"/>
  <c r="D32" i="5"/>
  <c r="F32" i="5" s="1"/>
  <c r="D28" i="5"/>
  <c r="F28" i="5" s="1"/>
  <c r="D27" i="5"/>
  <c r="F27" i="5" s="1"/>
  <c r="D26" i="5"/>
  <c r="F26" i="5" s="1"/>
  <c r="D25" i="5"/>
  <c r="F25" i="5" s="1"/>
  <c r="D23" i="5"/>
  <c r="F23" i="5" s="1"/>
  <c r="D22" i="5"/>
  <c r="F22" i="5" s="1"/>
  <c r="D38" i="5"/>
  <c r="F38" i="5" s="1"/>
  <c r="D37" i="5"/>
  <c r="D36" i="5"/>
  <c r="F36" i="5" s="1"/>
  <c r="D31" i="5"/>
  <c r="F31" i="5" s="1"/>
  <c r="D30" i="5"/>
  <c r="F30" i="5" s="1"/>
  <c r="D29" i="5"/>
  <c r="F29" i="5" s="1"/>
  <c r="N4" i="3"/>
  <c r="Q4" i="3" s="1"/>
  <c r="J4" i="3" s="1"/>
  <c r="N5" i="3"/>
  <c r="Q5" i="3" s="1"/>
  <c r="J5" i="3" s="1"/>
  <c r="N6" i="3"/>
  <c r="Q6" i="3" s="1"/>
  <c r="J6" i="3" s="1"/>
  <c r="N7" i="3"/>
  <c r="Q7" i="3" s="1"/>
  <c r="J7" i="3" s="1"/>
  <c r="N8" i="3"/>
  <c r="Q8" i="3" s="1"/>
  <c r="J8" i="3" s="1"/>
  <c r="N9" i="3"/>
  <c r="Q9" i="3" s="1"/>
  <c r="J9" i="3" s="1"/>
  <c r="N10" i="3"/>
  <c r="Q10" i="3" s="1"/>
  <c r="J10" i="3" s="1"/>
  <c r="N11" i="3"/>
  <c r="Q11" i="3" s="1"/>
  <c r="J11" i="3" s="1"/>
  <c r="N12" i="3"/>
  <c r="Q12" i="3" s="1"/>
  <c r="J12" i="3" s="1"/>
  <c r="N13" i="3"/>
  <c r="Q13" i="3" s="1"/>
  <c r="J13" i="3" s="1"/>
  <c r="N14" i="3"/>
  <c r="Q14" i="3" s="1"/>
  <c r="J14" i="3" s="1"/>
  <c r="N15" i="3"/>
  <c r="Q15" i="3" s="1"/>
  <c r="J15" i="3" s="1"/>
  <c r="N16" i="3"/>
  <c r="Q16" i="3" s="1"/>
  <c r="J16" i="3" s="1"/>
  <c r="N17" i="3"/>
  <c r="Q17" i="3" s="1"/>
  <c r="J17" i="3" s="1"/>
  <c r="N18" i="3"/>
  <c r="Q18" i="3" s="1"/>
  <c r="J18" i="3" s="1"/>
  <c r="N19" i="3"/>
  <c r="Q19" i="3" s="1"/>
  <c r="J19" i="3" s="1"/>
  <c r="N20" i="3"/>
  <c r="Q20" i="3" s="1"/>
  <c r="J20" i="3" s="1"/>
  <c r="N21" i="3"/>
  <c r="Q21" i="3" s="1"/>
  <c r="J21" i="3" s="1"/>
  <c r="N22" i="3"/>
  <c r="Q22" i="3" s="1"/>
  <c r="J22" i="3" s="1"/>
  <c r="N23" i="3"/>
  <c r="Q23" i="3" s="1"/>
  <c r="J23" i="3" s="1"/>
  <c r="N24" i="3"/>
  <c r="Q24" i="3" s="1"/>
  <c r="J24" i="3" s="1"/>
  <c r="N25" i="3"/>
  <c r="Q25" i="3" s="1"/>
  <c r="J25" i="3" s="1"/>
  <c r="N26" i="3"/>
  <c r="Q26" i="3" s="1"/>
  <c r="J26" i="3" s="1"/>
  <c r="N27" i="3"/>
  <c r="Q27" i="3" s="1"/>
  <c r="J27" i="3" s="1"/>
  <c r="N28" i="3"/>
  <c r="Q28" i="3" s="1"/>
  <c r="J28" i="3" s="1"/>
  <c r="N29" i="3"/>
  <c r="Q29" i="3" s="1"/>
  <c r="J29" i="3" s="1"/>
  <c r="N30" i="3"/>
  <c r="Q30" i="3" s="1"/>
  <c r="J30" i="3" s="1"/>
  <c r="N31" i="3"/>
  <c r="Q31" i="3" s="1"/>
  <c r="J31" i="3" s="1"/>
  <c r="N32" i="3"/>
  <c r="Q32" i="3" s="1"/>
  <c r="J32" i="3" s="1"/>
  <c r="N33" i="3"/>
  <c r="Q33" i="3" s="1"/>
  <c r="J33" i="3" s="1"/>
  <c r="N34" i="3"/>
  <c r="Q34" i="3" s="1"/>
  <c r="J34" i="3" s="1"/>
  <c r="N35" i="3"/>
  <c r="Q35" i="3" s="1"/>
  <c r="J35" i="3" s="1"/>
  <c r="N36" i="3"/>
  <c r="Q36" i="3" s="1"/>
  <c r="J36" i="3" s="1"/>
  <c r="N37" i="3"/>
  <c r="Q37" i="3" s="1"/>
  <c r="J37" i="3" s="1"/>
  <c r="N38" i="3"/>
  <c r="Q38" i="3" s="1"/>
  <c r="J38" i="3" s="1"/>
  <c r="N39" i="3"/>
  <c r="Q39" i="3" s="1"/>
  <c r="J39" i="3" s="1"/>
  <c r="N40" i="3"/>
  <c r="Q40" i="3" s="1"/>
  <c r="J40" i="3" s="1"/>
  <c r="N41" i="3"/>
  <c r="Q41" i="3" s="1"/>
  <c r="J41" i="3" s="1"/>
  <c r="N42" i="3"/>
  <c r="Q42" i="3" s="1"/>
  <c r="J42" i="3" s="1"/>
  <c r="N43" i="3"/>
  <c r="Q43" i="3" s="1"/>
  <c r="J43" i="3" s="1"/>
  <c r="N44" i="3"/>
  <c r="Q44" i="3" s="1"/>
  <c r="J44" i="3" s="1"/>
  <c r="N45" i="3"/>
  <c r="Q45" i="3" s="1"/>
  <c r="J45" i="3" s="1"/>
  <c r="N46" i="3"/>
  <c r="Q46" i="3" s="1"/>
  <c r="J46" i="3" s="1"/>
  <c r="N47" i="3"/>
  <c r="Q47" i="3" s="1"/>
  <c r="J47" i="3" s="1"/>
  <c r="N48" i="3"/>
  <c r="Q48" i="3" s="1"/>
  <c r="J48" i="3" s="1"/>
  <c r="N49" i="3"/>
  <c r="Q49" i="3" s="1"/>
  <c r="J49" i="3" s="1"/>
  <c r="N50" i="3"/>
  <c r="Q50" i="3" s="1"/>
  <c r="J50" i="3" s="1"/>
  <c r="N51" i="3"/>
  <c r="Q51" i="3" s="1"/>
  <c r="J51" i="3" s="1"/>
  <c r="N52" i="3"/>
  <c r="Q52" i="3" s="1"/>
  <c r="J52" i="3" s="1"/>
  <c r="N53" i="3"/>
  <c r="Q53" i="3" s="1"/>
  <c r="J53" i="3" s="1"/>
  <c r="N54" i="3"/>
  <c r="Q54" i="3" s="1"/>
  <c r="J54" i="3" s="1"/>
  <c r="N55" i="3"/>
  <c r="Q55" i="3" s="1"/>
  <c r="J55" i="3" s="1"/>
  <c r="N56" i="3"/>
  <c r="Q56" i="3" s="1"/>
  <c r="J56" i="3" s="1"/>
  <c r="N57" i="3"/>
  <c r="Q57" i="3" s="1"/>
  <c r="J57" i="3" s="1"/>
  <c r="N58" i="3"/>
  <c r="Q58" i="3" s="1"/>
  <c r="J58" i="3" s="1"/>
  <c r="N59" i="3"/>
  <c r="Q59" i="3" s="1"/>
  <c r="J59" i="3" s="1"/>
  <c r="N60" i="3"/>
  <c r="Q60" i="3" s="1"/>
  <c r="J60" i="3" s="1"/>
  <c r="N61" i="3"/>
  <c r="Q61" i="3" s="1"/>
  <c r="J61" i="3" s="1"/>
  <c r="N62" i="3"/>
  <c r="Q62" i="3" s="1"/>
  <c r="J62" i="3" s="1"/>
  <c r="N63" i="3"/>
  <c r="Q63" i="3" s="1"/>
  <c r="J63" i="3" s="1"/>
  <c r="N64" i="3"/>
  <c r="Q64" i="3" s="1"/>
  <c r="J64" i="3" s="1"/>
  <c r="N65" i="3"/>
  <c r="Q65" i="3" s="1"/>
  <c r="J65" i="3" s="1"/>
  <c r="N66" i="3"/>
  <c r="Q66" i="3" s="1"/>
  <c r="J66" i="3" s="1"/>
  <c r="N67" i="3"/>
  <c r="Q67" i="3" s="1"/>
  <c r="J67" i="3" s="1"/>
  <c r="N68" i="3"/>
  <c r="Q68" i="3" s="1"/>
  <c r="J68" i="3" s="1"/>
  <c r="N69" i="3"/>
  <c r="Q69" i="3" s="1"/>
  <c r="J69" i="3" s="1"/>
  <c r="M4" i="3"/>
  <c r="U4" i="3" s="1"/>
  <c r="X4" i="3" s="1"/>
  <c r="M5" i="3"/>
  <c r="U5" i="3" s="1"/>
  <c r="M6" i="3"/>
  <c r="M7" i="3"/>
  <c r="M8" i="3"/>
  <c r="M9" i="3"/>
  <c r="U9" i="3" s="1"/>
  <c r="M10" i="3"/>
  <c r="U10" i="3" s="1"/>
  <c r="M11" i="3"/>
  <c r="M12" i="3"/>
  <c r="M13" i="3"/>
  <c r="M14" i="3"/>
  <c r="M15" i="3"/>
  <c r="U15" i="3" s="1"/>
  <c r="M16" i="3"/>
  <c r="U16" i="3" s="1"/>
  <c r="M17" i="3"/>
  <c r="U17" i="3" s="1"/>
  <c r="M18" i="3"/>
  <c r="U18" i="3" s="1"/>
  <c r="M19" i="3"/>
  <c r="U19" i="3" s="1"/>
  <c r="M20" i="3"/>
  <c r="M21" i="3"/>
  <c r="M22" i="3"/>
  <c r="U22" i="3" s="1"/>
  <c r="M23" i="3"/>
  <c r="M24" i="3"/>
  <c r="U24" i="3" s="1"/>
  <c r="M25" i="3"/>
  <c r="M26" i="3"/>
  <c r="U26" i="3" s="1"/>
  <c r="M27" i="3"/>
  <c r="U27" i="3" s="1"/>
  <c r="M28" i="3"/>
  <c r="U28" i="3" s="1"/>
  <c r="M29" i="3"/>
  <c r="U29" i="3" s="1"/>
  <c r="M30" i="3"/>
  <c r="M31" i="3"/>
  <c r="U31" i="3" s="1"/>
  <c r="M32" i="3"/>
  <c r="M33" i="3"/>
  <c r="U33" i="3" s="1"/>
  <c r="M34" i="3"/>
  <c r="M35" i="3"/>
  <c r="U35" i="3" s="1"/>
  <c r="M36" i="3"/>
  <c r="M37" i="3"/>
  <c r="U37" i="3" s="1"/>
  <c r="M38" i="3"/>
  <c r="U38" i="3" s="1"/>
  <c r="M39" i="3"/>
  <c r="U39" i="3" s="1"/>
  <c r="M40" i="3"/>
  <c r="M41" i="3"/>
  <c r="U41" i="3" s="1"/>
  <c r="M42" i="3"/>
  <c r="U42" i="3" s="1"/>
  <c r="M43" i="3"/>
  <c r="U43" i="3" s="1"/>
  <c r="M44" i="3"/>
  <c r="M45" i="3"/>
  <c r="M46" i="3"/>
  <c r="U46" i="3" s="1"/>
  <c r="M47" i="3"/>
  <c r="M48" i="3"/>
  <c r="U48" i="3" s="1"/>
  <c r="M49" i="3"/>
  <c r="U49" i="3" s="1"/>
  <c r="M50" i="3"/>
  <c r="U50" i="3" s="1"/>
  <c r="M51" i="3"/>
  <c r="U51" i="3" s="1"/>
  <c r="M52" i="3"/>
  <c r="M53" i="3"/>
  <c r="U53" i="3" s="1"/>
  <c r="M54" i="3"/>
  <c r="U54" i="3" s="1"/>
  <c r="M55" i="3"/>
  <c r="U55" i="3" s="1"/>
  <c r="M56" i="3"/>
  <c r="U56" i="3" s="1"/>
  <c r="M57" i="3"/>
  <c r="U57" i="3" s="1"/>
  <c r="M58" i="3"/>
  <c r="U58" i="3" s="1"/>
  <c r="M59" i="3"/>
  <c r="M60" i="3"/>
  <c r="U60" i="3" s="1"/>
  <c r="M61" i="3"/>
  <c r="U61" i="3" s="1"/>
  <c r="M62" i="3"/>
  <c r="M63" i="3"/>
  <c r="U63" i="3" s="1"/>
  <c r="M64" i="3"/>
  <c r="U64" i="3" s="1"/>
  <c r="M65" i="3"/>
  <c r="M66" i="3"/>
  <c r="U66" i="3" s="1"/>
  <c r="M67" i="3"/>
  <c r="U67" i="3" s="1"/>
  <c r="M68" i="3"/>
  <c r="M69" i="3"/>
  <c r="U69" i="3" s="1"/>
  <c r="D39" i="2"/>
  <c r="E39" i="2" s="1"/>
  <c r="F39" i="2" s="1"/>
  <c r="K39" i="2"/>
  <c r="O39" i="2" s="1"/>
  <c r="P39" i="2" s="1"/>
  <c r="Q39" i="2"/>
  <c r="D40" i="2"/>
  <c r="E40" i="2" s="1"/>
  <c r="K40" i="2"/>
  <c r="O40" i="2" s="1"/>
  <c r="P40" i="2" s="1"/>
  <c r="Q40" i="2"/>
  <c r="D41" i="2"/>
  <c r="E41" i="2" s="1"/>
  <c r="K41" i="2"/>
  <c r="O41" i="2" s="1"/>
  <c r="P41" i="2" s="1"/>
  <c r="Q41" i="2"/>
  <c r="D38" i="2"/>
  <c r="E38" i="2" s="1"/>
  <c r="Q38" i="2"/>
  <c r="I69" i="2"/>
  <c r="D60" i="2"/>
  <c r="AB60" i="2" s="1"/>
  <c r="K60" i="2"/>
  <c r="O60" i="2" s="1"/>
  <c r="P60" i="2" s="1"/>
  <c r="Q60" i="2"/>
  <c r="D61" i="2"/>
  <c r="AB61" i="2" s="1"/>
  <c r="K61" i="2"/>
  <c r="O61" i="2" s="1"/>
  <c r="P61" i="2" s="1"/>
  <c r="Q61" i="2"/>
  <c r="D62" i="2"/>
  <c r="E62" i="2" s="1"/>
  <c r="Q62" i="2"/>
  <c r="D63" i="2"/>
  <c r="AB63" i="2" s="1"/>
  <c r="Q63" i="2"/>
  <c r="D64" i="2"/>
  <c r="AB64" i="2" s="1"/>
  <c r="K64" i="2"/>
  <c r="O64" i="2" s="1"/>
  <c r="P64" i="2" s="1"/>
  <c r="Q64" i="2"/>
  <c r="D21" i="2"/>
  <c r="E21" i="2" s="1"/>
  <c r="D22" i="2"/>
  <c r="E22" i="2" s="1"/>
  <c r="F22" i="2" s="1"/>
  <c r="D23" i="2"/>
  <c r="E23" i="2" s="1"/>
  <c r="D24" i="2"/>
  <c r="E24" i="2" s="1"/>
  <c r="F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F34" i="2" s="1"/>
  <c r="D35" i="2"/>
  <c r="E35" i="2" s="1"/>
  <c r="D36" i="2"/>
  <c r="E36" i="2" s="1"/>
  <c r="D37" i="2"/>
  <c r="E37" i="2" s="1"/>
  <c r="D42" i="2"/>
  <c r="E42" i="2" s="1"/>
  <c r="T42" i="2" s="1"/>
  <c r="D43" i="2"/>
  <c r="AB43" i="2" s="1"/>
  <c r="D44" i="2"/>
  <c r="E44" i="2" s="1"/>
  <c r="D45" i="2"/>
  <c r="E45" i="2" s="1"/>
  <c r="D46" i="2"/>
  <c r="AB46" i="2" s="1"/>
  <c r="D47" i="2"/>
  <c r="AB47" i="2" s="1"/>
  <c r="D48" i="2"/>
  <c r="AB48" i="2" s="1"/>
  <c r="D49" i="2"/>
  <c r="E49" i="2" s="1"/>
  <c r="D50" i="2"/>
  <c r="E50" i="2" s="1"/>
  <c r="D51" i="2"/>
  <c r="E51" i="2" s="1"/>
  <c r="D52" i="2"/>
  <c r="E52" i="2" s="1"/>
  <c r="D53" i="2"/>
  <c r="AB53" i="2" s="1"/>
  <c r="D54" i="2"/>
  <c r="AB54" i="2" s="1"/>
  <c r="D55" i="2"/>
  <c r="AB55" i="2" s="1"/>
  <c r="D56" i="2"/>
  <c r="E56" i="2" s="1"/>
  <c r="D57" i="2"/>
  <c r="E57" i="2" s="1"/>
  <c r="D58" i="2"/>
  <c r="AB58" i="2" s="1"/>
  <c r="D59" i="2"/>
  <c r="AB59" i="2" s="1"/>
  <c r="E20" i="2"/>
  <c r="F20" i="2" s="1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K21" i="2"/>
  <c r="O21" i="2" s="1"/>
  <c r="P21" i="2" s="1"/>
  <c r="K22" i="2"/>
  <c r="O22" i="2" s="1"/>
  <c r="P22" i="2" s="1"/>
  <c r="K23" i="2"/>
  <c r="O23" i="2" s="1"/>
  <c r="P23" i="2" s="1"/>
  <c r="K24" i="2"/>
  <c r="O24" i="2" s="1"/>
  <c r="P24" i="2" s="1"/>
  <c r="K25" i="2"/>
  <c r="O25" i="2" s="1"/>
  <c r="P25" i="2" s="1"/>
  <c r="K26" i="2"/>
  <c r="O26" i="2" s="1"/>
  <c r="P26" i="2" s="1"/>
  <c r="K27" i="2"/>
  <c r="O27" i="2" s="1"/>
  <c r="P27" i="2" s="1"/>
  <c r="K28" i="2"/>
  <c r="O28" i="2" s="1"/>
  <c r="P28" i="2" s="1"/>
  <c r="K29" i="2"/>
  <c r="O29" i="2" s="1"/>
  <c r="P29" i="2" s="1"/>
  <c r="K30" i="2"/>
  <c r="O30" i="2" s="1"/>
  <c r="P30" i="2" s="1"/>
  <c r="K31" i="2"/>
  <c r="O31" i="2" s="1"/>
  <c r="P31" i="2" s="1"/>
  <c r="K32" i="2"/>
  <c r="O32" i="2" s="1"/>
  <c r="P32" i="2" s="1"/>
  <c r="K33" i="2"/>
  <c r="O33" i="2" s="1"/>
  <c r="P33" i="2" s="1"/>
  <c r="K34" i="2"/>
  <c r="O34" i="2" s="1"/>
  <c r="P34" i="2" s="1"/>
  <c r="K35" i="2"/>
  <c r="O35" i="2" s="1"/>
  <c r="P35" i="2" s="1"/>
  <c r="K36" i="2"/>
  <c r="O36" i="2" s="1"/>
  <c r="P36" i="2" s="1"/>
  <c r="K37" i="2"/>
  <c r="O37" i="2" s="1"/>
  <c r="P37" i="2" s="1"/>
  <c r="K42" i="2"/>
  <c r="O42" i="2" s="1"/>
  <c r="P42" i="2" s="1"/>
  <c r="K43" i="2"/>
  <c r="O43" i="2" s="1"/>
  <c r="P43" i="2" s="1"/>
  <c r="K45" i="2"/>
  <c r="O45" i="2" s="1"/>
  <c r="P45" i="2" s="1"/>
  <c r="K46" i="2"/>
  <c r="O46" i="2" s="1"/>
  <c r="P46" i="2" s="1"/>
  <c r="K47" i="2"/>
  <c r="O47" i="2" s="1"/>
  <c r="P47" i="2" s="1"/>
  <c r="K48" i="2"/>
  <c r="O48" i="2" s="1"/>
  <c r="P48" i="2" s="1"/>
  <c r="K49" i="2"/>
  <c r="O49" i="2" s="1"/>
  <c r="P49" i="2" s="1"/>
  <c r="K50" i="2"/>
  <c r="O50" i="2" s="1"/>
  <c r="P50" i="2" s="1"/>
  <c r="K51" i="2"/>
  <c r="O51" i="2" s="1"/>
  <c r="P51" i="2" s="1"/>
  <c r="K52" i="2"/>
  <c r="O52" i="2" s="1"/>
  <c r="P52" i="2" s="1"/>
  <c r="K53" i="2"/>
  <c r="O53" i="2" s="1"/>
  <c r="P53" i="2" s="1"/>
  <c r="K54" i="2"/>
  <c r="O54" i="2" s="1"/>
  <c r="P54" i="2" s="1"/>
  <c r="K55" i="2"/>
  <c r="O55" i="2" s="1"/>
  <c r="P55" i="2" s="1"/>
  <c r="K56" i="2"/>
  <c r="O56" i="2" s="1"/>
  <c r="P56" i="2" s="1"/>
  <c r="K57" i="2"/>
  <c r="O57" i="2" s="1"/>
  <c r="P57" i="2" s="1"/>
  <c r="K58" i="2"/>
  <c r="O58" i="2" s="1"/>
  <c r="P58" i="2" s="1"/>
  <c r="K59" i="2"/>
  <c r="O59" i="2" s="1"/>
  <c r="P59" i="2" s="1"/>
  <c r="K20" i="2" l="1"/>
  <c r="O20" i="2" s="1"/>
  <c r="P20" i="2" s="1"/>
  <c r="R20" i="2" s="1"/>
  <c r="S20" i="2" s="1"/>
  <c r="C19" i="1"/>
  <c r="C15" i="1"/>
  <c r="C20" i="1"/>
  <c r="R22" i="2"/>
  <c r="S22" i="2" s="1"/>
  <c r="AA64" i="3"/>
  <c r="AA56" i="3"/>
  <c r="AA48" i="3"/>
  <c r="AA24" i="3"/>
  <c r="AA16" i="3"/>
  <c r="AA63" i="3"/>
  <c r="AA55" i="3"/>
  <c r="AA39" i="3"/>
  <c r="AA31" i="3"/>
  <c r="AA15" i="3"/>
  <c r="AA54" i="3"/>
  <c r="AA46" i="3"/>
  <c r="AA38" i="3"/>
  <c r="AA22" i="3"/>
  <c r="AA69" i="3"/>
  <c r="AA61" i="3"/>
  <c r="AA53" i="3"/>
  <c r="AA37" i="3"/>
  <c r="AA29" i="3"/>
  <c r="AA5" i="3"/>
  <c r="AA60" i="3"/>
  <c r="AA28" i="3"/>
  <c r="AA4" i="3"/>
  <c r="AA67" i="3"/>
  <c r="AA51" i="3"/>
  <c r="AA43" i="3"/>
  <c r="AA35" i="3"/>
  <c r="AA27" i="3"/>
  <c r="AA19" i="3"/>
  <c r="AA66" i="3"/>
  <c r="AA58" i="3"/>
  <c r="AA50" i="3"/>
  <c r="AA42" i="3"/>
  <c r="AA26" i="3"/>
  <c r="AA18" i="3"/>
  <c r="AA10" i="3"/>
  <c r="AA57" i="3"/>
  <c r="AA49" i="3"/>
  <c r="AA41" i="3"/>
  <c r="AA33" i="3"/>
  <c r="AA17" i="3"/>
  <c r="AA9" i="3"/>
  <c r="X15" i="3"/>
  <c r="X69" i="3"/>
  <c r="X5" i="3"/>
  <c r="X55" i="3"/>
  <c r="X31" i="3"/>
  <c r="X54" i="3"/>
  <c r="X38" i="3"/>
  <c r="X53" i="3"/>
  <c r="X37" i="3"/>
  <c r="X60" i="3"/>
  <c r="X28" i="3"/>
  <c r="X67" i="3"/>
  <c r="X51" i="3"/>
  <c r="X43" i="3"/>
  <c r="X35" i="3"/>
  <c r="X27" i="3"/>
  <c r="X19" i="3"/>
  <c r="X39" i="3"/>
  <c r="X50" i="3"/>
  <c r="X18" i="3"/>
  <c r="X63" i="3"/>
  <c r="X46" i="3"/>
  <c r="X22" i="3"/>
  <c r="X61" i="3"/>
  <c r="X29" i="3"/>
  <c r="X66" i="3"/>
  <c r="X58" i="3"/>
  <c r="X42" i="3"/>
  <c r="X26" i="3"/>
  <c r="X10" i="3"/>
  <c r="X57" i="3"/>
  <c r="X49" i="3"/>
  <c r="X41" i="3"/>
  <c r="X33" i="3"/>
  <c r="X17" i="3"/>
  <c r="X9" i="3"/>
  <c r="X64" i="3"/>
  <c r="X56" i="3"/>
  <c r="X48" i="3"/>
  <c r="X24" i="3"/>
  <c r="X16" i="3"/>
  <c r="U62" i="3"/>
  <c r="AA62" i="3" s="1"/>
  <c r="U8" i="3"/>
  <c r="AA8" i="3" s="1"/>
  <c r="U44" i="3"/>
  <c r="AA44" i="3" s="1"/>
  <c r="U34" i="3"/>
  <c r="AA34" i="3" s="1"/>
  <c r="U30" i="3"/>
  <c r="AA30" i="3" s="1"/>
  <c r="U21" i="3"/>
  <c r="AA21" i="3" s="1"/>
  <c r="U12" i="3"/>
  <c r="AA12" i="3" s="1"/>
  <c r="U25" i="3"/>
  <c r="AA25" i="3" s="1"/>
  <c r="U52" i="3"/>
  <c r="AA52" i="3" s="1"/>
  <c r="U68" i="3"/>
  <c r="AA68" i="3" s="1"/>
  <c r="U65" i="3"/>
  <c r="AA65" i="3" s="1"/>
  <c r="U36" i="3"/>
  <c r="AA36" i="3" s="1"/>
  <c r="U20" i="3"/>
  <c r="AA20" i="3" s="1"/>
  <c r="U7" i="3"/>
  <c r="AA7" i="3" s="1"/>
  <c r="U6" i="3"/>
  <c r="AA6" i="3" s="1"/>
  <c r="U23" i="3"/>
  <c r="AA23" i="3" s="1"/>
  <c r="U59" i="3"/>
  <c r="AA59" i="3" s="1"/>
  <c r="U45" i="3"/>
  <c r="AA45" i="3" s="1"/>
  <c r="U40" i="3"/>
  <c r="AA40" i="3" s="1"/>
  <c r="U14" i="3"/>
  <c r="AA14" i="3" s="1"/>
  <c r="U11" i="3"/>
  <c r="AA11" i="3" s="1"/>
  <c r="U47" i="3"/>
  <c r="AA47" i="3" s="1"/>
  <c r="U32" i="3"/>
  <c r="AA32" i="3" s="1"/>
  <c r="U13" i="3"/>
  <c r="AA13" i="3" s="1"/>
  <c r="Y35" i="3"/>
  <c r="Y29" i="3"/>
  <c r="Y64" i="3"/>
  <c r="Y67" i="3"/>
  <c r="Y61" i="3"/>
  <c r="Y51" i="3"/>
  <c r="Y43" i="3"/>
  <c r="Y57" i="3"/>
  <c r="Y60" i="3"/>
  <c r="Y50" i="3"/>
  <c r="Y31" i="3"/>
  <c r="Y28" i="3"/>
  <c r="Y17" i="3"/>
  <c r="Y63" i="3"/>
  <c r="Y46" i="3"/>
  <c r="Y69" i="3"/>
  <c r="Y66" i="3"/>
  <c r="Y56" i="3"/>
  <c r="Y55" i="3"/>
  <c r="Y41" i="3"/>
  <c r="Y39" i="3"/>
  <c r="Y37" i="3"/>
  <c r="Y22" i="3"/>
  <c r="Y19" i="3"/>
  <c r="Y15" i="3"/>
  <c r="Y5" i="3"/>
  <c r="Y54" i="3"/>
  <c r="Y48" i="3"/>
  <c r="Y42" i="3"/>
  <c r="Y38" i="3"/>
  <c r="Y18" i="3"/>
  <c r="Y10" i="3"/>
  <c r="Y9" i="3"/>
  <c r="Y53" i="3"/>
  <c r="Y33" i="3"/>
  <c r="Y27" i="3"/>
  <c r="Y26" i="3"/>
  <c r="Y24" i="3"/>
  <c r="Y16" i="3"/>
  <c r="Y4" i="3"/>
  <c r="Y58" i="3"/>
  <c r="Y49" i="3"/>
  <c r="R39" i="2"/>
  <c r="S39" i="2" s="1"/>
  <c r="R40" i="2"/>
  <c r="S40" i="2" s="1"/>
  <c r="T38" i="2"/>
  <c r="W38" i="2" s="1"/>
  <c r="X38" i="2" s="1"/>
  <c r="F38" i="2"/>
  <c r="R41" i="2"/>
  <c r="S41" i="2" s="1"/>
  <c r="E61" i="2"/>
  <c r="G61" i="2" s="1"/>
  <c r="U61" i="2" s="1"/>
  <c r="G38" i="2"/>
  <c r="U38" i="2" s="1"/>
  <c r="F41" i="2"/>
  <c r="G41" i="2"/>
  <c r="U41" i="2" s="1"/>
  <c r="T41" i="2"/>
  <c r="W41" i="2" s="1"/>
  <c r="X41" i="2" s="1"/>
  <c r="F40" i="2"/>
  <c r="G40" i="2"/>
  <c r="U40" i="2" s="1"/>
  <c r="T40" i="2"/>
  <c r="W40" i="2" s="1"/>
  <c r="X40" i="2" s="1"/>
  <c r="T39" i="2"/>
  <c r="W39" i="2" s="1"/>
  <c r="X39" i="2" s="1"/>
  <c r="G39" i="2"/>
  <c r="U39" i="2" s="1"/>
  <c r="K38" i="2"/>
  <c r="O38" i="2" s="1"/>
  <c r="P38" i="2" s="1"/>
  <c r="R38" i="2" s="1"/>
  <c r="S38" i="2" s="1"/>
  <c r="E55" i="2"/>
  <c r="F55" i="2" s="1"/>
  <c r="E48" i="2"/>
  <c r="F48" i="2" s="1"/>
  <c r="E47" i="2"/>
  <c r="F47" i="2" s="1"/>
  <c r="AB42" i="2"/>
  <c r="AA63" i="2"/>
  <c r="E64" i="2"/>
  <c r="T64" i="2" s="1"/>
  <c r="E58" i="2"/>
  <c r="F58" i="2" s="1"/>
  <c r="AA49" i="2"/>
  <c r="E54" i="2"/>
  <c r="F54" i="2" s="1"/>
  <c r="E53" i="2"/>
  <c r="F53" i="2" s="1"/>
  <c r="E63" i="2"/>
  <c r="F63" i="2" s="1"/>
  <c r="E46" i="2"/>
  <c r="F46" i="2" s="1"/>
  <c r="AA62" i="2"/>
  <c r="E60" i="2"/>
  <c r="G60" i="2" s="1"/>
  <c r="U60" i="2" s="1"/>
  <c r="E59" i="2"/>
  <c r="F59" i="2" s="1"/>
  <c r="E43" i="2"/>
  <c r="T43" i="2" s="1"/>
  <c r="AA42" i="2"/>
  <c r="AC42" i="2" s="1"/>
  <c r="F56" i="2"/>
  <c r="F36" i="2"/>
  <c r="AB56" i="2"/>
  <c r="AA45" i="2"/>
  <c r="AB51" i="2"/>
  <c r="AB50" i="2"/>
  <c r="AB49" i="2"/>
  <c r="AB44" i="2"/>
  <c r="K63" i="2"/>
  <c r="O63" i="2" s="1"/>
  <c r="P63" i="2" s="1"/>
  <c r="R63" i="2" s="1"/>
  <c r="S63" i="2" s="1"/>
  <c r="AA64" i="2"/>
  <c r="AA61" i="2"/>
  <c r="AA44" i="2"/>
  <c r="AA59" i="2"/>
  <c r="AA58" i="2"/>
  <c r="AA51" i="2"/>
  <c r="AA43" i="2"/>
  <c r="R61" i="2"/>
  <c r="S61" i="2" s="1"/>
  <c r="F25" i="2"/>
  <c r="F26" i="2"/>
  <c r="AA57" i="2"/>
  <c r="F62" i="2"/>
  <c r="F45" i="2"/>
  <c r="AA56" i="2"/>
  <c r="F44" i="2"/>
  <c r="AA55" i="2"/>
  <c r="AB62" i="2"/>
  <c r="F42" i="2"/>
  <c r="AA54" i="2"/>
  <c r="AB45" i="2"/>
  <c r="AA53" i="2"/>
  <c r="R64" i="2"/>
  <c r="S64" i="2" s="1"/>
  <c r="F57" i="2"/>
  <c r="F37" i="2"/>
  <c r="F21" i="2"/>
  <c r="AA52" i="2"/>
  <c r="AA50" i="2"/>
  <c r="AB57" i="2"/>
  <c r="F52" i="2"/>
  <c r="AA48" i="2"/>
  <c r="F51" i="2"/>
  <c r="F31" i="2"/>
  <c r="T32" i="2"/>
  <c r="AA47" i="2"/>
  <c r="AA46" i="2"/>
  <c r="F49" i="2"/>
  <c r="AB52" i="2"/>
  <c r="F28" i="2"/>
  <c r="T29" i="2"/>
  <c r="AA60" i="2"/>
  <c r="F27" i="2"/>
  <c r="F50" i="2"/>
  <c r="F30" i="2"/>
  <c r="F23" i="2"/>
  <c r="F33" i="2"/>
  <c r="F35" i="2"/>
  <c r="R60" i="2"/>
  <c r="S60" i="2" s="1"/>
  <c r="G20" i="2"/>
  <c r="U20" i="2" s="1"/>
  <c r="T62" i="2"/>
  <c r="G62" i="2"/>
  <c r="U62" i="2" s="1"/>
  <c r="K62" i="2"/>
  <c r="O62" i="2" s="1"/>
  <c r="P62" i="2" s="1"/>
  <c r="R62" i="2" s="1"/>
  <c r="S62" i="2" s="1"/>
  <c r="G56" i="2"/>
  <c r="U56" i="2" s="1"/>
  <c r="T51" i="2"/>
  <c r="G29" i="2"/>
  <c r="U29" i="2" s="1"/>
  <c r="R55" i="2"/>
  <c r="S55" i="2" s="1"/>
  <c r="R35" i="2"/>
  <c r="S35" i="2" s="1"/>
  <c r="R58" i="2"/>
  <c r="S58" i="2" s="1"/>
  <c r="R47" i="2"/>
  <c r="S47" i="2" s="1"/>
  <c r="R27" i="2"/>
  <c r="S27" i="2" s="1"/>
  <c r="R56" i="2"/>
  <c r="S56" i="2" s="1"/>
  <c r="R36" i="2"/>
  <c r="S36" i="2" s="1"/>
  <c r="T20" i="2"/>
  <c r="W20" i="2" s="1"/>
  <c r="X20" i="2" s="1"/>
  <c r="Y20" i="2" s="1"/>
  <c r="R49" i="2"/>
  <c r="S49" i="2" s="1"/>
  <c r="R29" i="2"/>
  <c r="S29" i="2" s="1"/>
  <c r="R48" i="2"/>
  <c r="S48" i="2" s="1"/>
  <c r="R28" i="2"/>
  <c r="S28" i="2" s="1"/>
  <c r="R26" i="2"/>
  <c r="S26" i="2" s="1"/>
  <c r="R45" i="2"/>
  <c r="S45" i="2" s="1"/>
  <c r="R25" i="2"/>
  <c r="S25" i="2" s="1"/>
  <c r="R46" i="2"/>
  <c r="S46" i="2" s="1"/>
  <c r="R24" i="2"/>
  <c r="S24" i="2" s="1"/>
  <c r="R53" i="2"/>
  <c r="S53" i="2" s="1"/>
  <c r="R43" i="2"/>
  <c r="S43" i="2" s="1"/>
  <c r="R59" i="2"/>
  <c r="S59" i="2" s="1"/>
  <c r="R23" i="2"/>
  <c r="S23" i="2" s="1"/>
  <c r="R42" i="2"/>
  <c r="S42" i="2" s="1"/>
  <c r="R57" i="2"/>
  <c r="S57" i="2" s="1"/>
  <c r="R37" i="2"/>
  <c r="S37" i="2" s="1"/>
  <c r="R21" i="2"/>
  <c r="S21" i="2" s="1"/>
  <c r="R54" i="2"/>
  <c r="S54" i="2" s="1"/>
  <c r="R33" i="2"/>
  <c r="S33" i="2" s="1"/>
  <c r="R52" i="2"/>
  <c r="S52" i="2" s="1"/>
  <c r="R32" i="2"/>
  <c r="S32" i="2" s="1"/>
  <c r="R34" i="2"/>
  <c r="S34" i="2" s="1"/>
  <c r="R51" i="2"/>
  <c r="S51" i="2" s="1"/>
  <c r="R31" i="2"/>
  <c r="S31" i="2" s="1"/>
  <c r="R50" i="2"/>
  <c r="S50" i="2" s="1"/>
  <c r="R30" i="2"/>
  <c r="S30" i="2" s="1"/>
  <c r="K44" i="2"/>
  <c r="O44" i="2" s="1"/>
  <c r="P44" i="2" s="1"/>
  <c r="R44" i="2" s="1"/>
  <c r="S44" i="2" s="1"/>
  <c r="G51" i="2"/>
  <c r="U51" i="2" s="1"/>
  <c r="Y39" i="2" l="1"/>
  <c r="Z39" i="2" s="1"/>
  <c r="Y11" i="3"/>
  <c r="Y52" i="3"/>
  <c r="Y62" i="3"/>
  <c r="Y13" i="3"/>
  <c r="Y14" i="3"/>
  <c r="Y23" i="3"/>
  <c r="Y36" i="3"/>
  <c r="Y25" i="3"/>
  <c r="Y34" i="3"/>
  <c r="Y59" i="3"/>
  <c r="Y32" i="3"/>
  <c r="Y40" i="3"/>
  <c r="Y6" i="3"/>
  <c r="Y65" i="3"/>
  <c r="Y12" i="3"/>
  <c r="Y44" i="3"/>
  <c r="Y20" i="3"/>
  <c r="Y30" i="3"/>
  <c r="Y47" i="3"/>
  <c r="Y45" i="3"/>
  <c r="Y7" i="3"/>
  <c r="Y68" i="3"/>
  <c r="Y21" i="3"/>
  <c r="Y8" i="3"/>
  <c r="Z42" i="3"/>
  <c r="AB42" i="3" s="1"/>
  <c r="AC42" i="3" s="1"/>
  <c r="AD42" i="3"/>
  <c r="AF42" i="3"/>
  <c r="Z67" i="3"/>
  <c r="AB67" i="3" s="1"/>
  <c r="AC67" i="3" s="1"/>
  <c r="AD67" i="3"/>
  <c r="AF67" i="3"/>
  <c r="Z22" i="3"/>
  <c r="AF22" i="3"/>
  <c r="AD22" i="3"/>
  <c r="Z56" i="3"/>
  <c r="AB56" i="3" s="1"/>
  <c r="AC56" i="3" s="1"/>
  <c r="AD56" i="3"/>
  <c r="AF56" i="3"/>
  <c r="Z10" i="3"/>
  <c r="AB10" i="3" s="1"/>
  <c r="AC10" i="3" s="1"/>
  <c r="AD10" i="3"/>
  <c r="AF10" i="3"/>
  <c r="Z46" i="3"/>
  <c r="AB46" i="3" s="1"/>
  <c r="AC46" i="3" s="1"/>
  <c r="AF46" i="3"/>
  <c r="AD46" i="3"/>
  <c r="Z43" i="3"/>
  <c r="AB43" i="3" s="1"/>
  <c r="AC43" i="3" s="1"/>
  <c r="AD43" i="3"/>
  <c r="AF43" i="3"/>
  <c r="Z38" i="3"/>
  <c r="AB38" i="3" s="1"/>
  <c r="AC38" i="3" s="1"/>
  <c r="AF38" i="3"/>
  <c r="AD38" i="3"/>
  <c r="Z64" i="3"/>
  <c r="AB64" i="3" s="1"/>
  <c r="AC64" i="3" s="1"/>
  <c r="AF64" i="3"/>
  <c r="AD64" i="3"/>
  <c r="Z26" i="3"/>
  <c r="AB26" i="3" s="1"/>
  <c r="AC26" i="3" s="1"/>
  <c r="AD26" i="3"/>
  <c r="AF26" i="3"/>
  <c r="Z63" i="3"/>
  <c r="AB63" i="3" s="1"/>
  <c r="AC63" i="3" s="1"/>
  <c r="AF63" i="3"/>
  <c r="AD63" i="3"/>
  <c r="Z51" i="3"/>
  <c r="AB51" i="3" s="1"/>
  <c r="AC51" i="3" s="1"/>
  <c r="AD51" i="3"/>
  <c r="AF51" i="3"/>
  <c r="Z54" i="3"/>
  <c r="AB54" i="3" s="1"/>
  <c r="AC54" i="3" s="1"/>
  <c r="AF54" i="3"/>
  <c r="AD54" i="3"/>
  <c r="Z31" i="3"/>
  <c r="AB31" i="3" s="1"/>
  <c r="AC31" i="3" s="1"/>
  <c r="AF31" i="3"/>
  <c r="AD31" i="3"/>
  <c r="Z17" i="3"/>
  <c r="AB17" i="3" s="1"/>
  <c r="AC17" i="3" s="1"/>
  <c r="AF17" i="3"/>
  <c r="AD17" i="3"/>
  <c r="Z58" i="3"/>
  <c r="AB58" i="3" s="1"/>
  <c r="AC58" i="3" s="1"/>
  <c r="AF58" i="3"/>
  <c r="AD58" i="3"/>
  <c r="Z50" i="3"/>
  <c r="AB50" i="3" s="1"/>
  <c r="AC50" i="3" s="1"/>
  <c r="AD50" i="3"/>
  <c r="AF50" i="3"/>
  <c r="Z4" i="3"/>
  <c r="AB4" i="3" s="1"/>
  <c r="AC4" i="3" s="1"/>
  <c r="AF4" i="3"/>
  <c r="AD4" i="3"/>
  <c r="Z55" i="3"/>
  <c r="AB55" i="3" s="1"/>
  <c r="AC55" i="3" s="1"/>
  <c r="AF55" i="3"/>
  <c r="AD55" i="3"/>
  <c r="Z9" i="3"/>
  <c r="AB9" i="3" s="1"/>
  <c r="AC9" i="3" s="1"/>
  <c r="AF9" i="3"/>
  <c r="AD9" i="3"/>
  <c r="Z33" i="3"/>
  <c r="AB33" i="3" s="1"/>
  <c r="AC33" i="3" s="1"/>
  <c r="AD33" i="3"/>
  <c r="AF33" i="3"/>
  <c r="Z28" i="3"/>
  <c r="AB28" i="3" s="1"/>
  <c r="AC28" i="3" s="1"/>
  <c r="AF28" i="3"/>
  <c r="AD28" i="3"/>
  <c r="Z16" i="3"/>
  <c r="AB16" i="3" s="1"/>
  <c r="AC16" i="3" s="1"/>
  <c r="AF16" i="3"/>
  <c r="AD16" i="3"/>
  <c r="Z41" i="3"/>
  <c r="AB41" i="3" s="1"/>
  <c r="AC41" i="3" s="1"/>
  <c r="AF41" i="3"/>
  <c r="AD41" i="3"/>
  <c r="Z29" i="3"/>
  <c r="AB29" i="3" s="1"/>
  <c r="AC29" i="3" s="1"/>
  <c r="AF29" i="3"/>
  <c r="AD29" i="3"/>
  <c r="Z19" i="3"/>
  <c r="AB19" i="3" s="1"/>
  <c r="AC19" i="3" s="1"/>
  <c r="AD19" i="3"/>
  <c r="AF19" i="3"/>
  <c r="Z60" i="3"/>
  <c r="AB60" i="3" s="1"/>
  <c r="AC60" i="3" s="1"/>
  <c r="AF60" i="3"/>
  <c r="AD60" i="3"/>
  <c r="Z69" i="3"/>
  <c r="AB69" i="3" s="1"/>
  <c r="AC69" i="3" s="1"/>
  <c r="AF69" i="3"/>
  <c r="AD69" i="3"/>
  <c r="Z66" i="3"/>
  <c r="AB66" i="3" s="1"/>
  <c r="AC66" i="3" s="1"/>
  <c r="AD66" i="3"/>
  <c r="AF66" i="3"/>
  <c r="Z39" i="3"/>
  <c r="AB39" i="3" s="1"/>
  <c r="AC39" i="3" s="1"/>
  <c r="AF39" i="3"/>
  <c r="AD39" i="3"/>
  <c r="Z5" i="3"/>
  <c r="AB5" i="3" s="1"/>
  <c r="AC5" i="3" s="1"/>
  <c r="AF5" i="3"/>
  <c r="AD5" i="3"/>
  <c r="Z24" i="3"/>
  <c r="AB24" i="3" s="1"/>
  <c r="AC24" i="3" s="1"/>
  <c r="AF24" i="3"/>
  <c r="AD24" i="3"/>
  <c r="Z49" i="3"/>
  <c r="AB49" i="3" s="1"/>
  <c r="AC49" i="3" s="1"/>
  <c r="AF49" i="3"/>
  <c r="AD49" i="3"/>
  <c r="Z61" i="3"/>
  <c r="AB61" i="3" s="1"/>
  <c r="AC61" i="3" s="1"/>
  <c r="AF61" i="3"/>
  <c r="AD61" i="3"/>
  <c r="Z27" i="3"/>
  <c r="AB27" i="3" s="1"/>
  <c r="AC27" i="3" s="1"/>
  <c r="AD27" i="3"/>
  <c r="AF27" i="3"/>
  <c r="Z37" i="3"/>
  <c r="AB37" i="3" s="1"/>
  <c r="AC37" i="3" s="1"/>
  <c r="AF37" i="3"/>
  <c r="AD37" i="3"/>
  <c r="Z15" i="3"/>
  <c r="AB15" i="3" s="1"/>
  <c r="AC15" i="3" s="1"/>
  <c r="AF15" i="3"/>
  <c r="AD15" i="3"/>
  <c r="Z18" i="3"/>
  <c r="AB18" i="3" s="1"/>
  <c r="AC18" i="3" s="1"/>
  <c r="AF18" i="3"/>
  <c r="AD18" i="3"/>
  <c r="Z48" i="3"/>
  <c r="AB48" i="3" s="1"/>
  <c r="AC48" i="3" s="1"/>
  <c r="AD48" i="3"/>
  <c r="AF48" i="3"/>
  <c r="Z57" i="3"/>
  <c r="AB57" i="3" s="1"/>
  <c r="AC57" i="3" s="1"/>
  <c r="AF57" i="3"/>
  <c r="AD57" i="3"/>
  <c r="Z35" i="3"/>
  <c r="AB35" i="3" s="1"/>
  <c r="AC35" i="3" s="1"/>
  <c r="AD35" i="3"/>
  <c r="AF35" i="3"/>
  <c r="Z53" i="3"/>
  <c r="AB53" i="3" s="1"/>
  <c r="AC53" i="3" s="1"/>
  <c r="AF53" i="3"/>
  <c r="AD53" i="3"/>
  <c r="AB22" i="3"/>
  <c r="AC22" i="3" s="1"/>
  <c r="X47" i="3"/>
  <c r="X7" i="3"/>
  <c r="X68" i="3"/>
  <c r="X8" i="3"/>
  <c r="X59" i="3"/>
  <c r="X45" i="3"/>
  <c r="X11" i="3"/>
  <c r="X20" i="3"/>
  <c r="X52" i="3"/>
  <c r="X30" i="3"/>
  <c r="X62" i="3"/>
  <c r="X13" i="3"/>
  <c r="X14" i="3"/>
  <c r="X23" i="3"/>
  <c r="X36" i="3"/>
  <c r="X25" i="3"/>
  <c r="X34" i="3"/>
  <c r="X21" i="3"/>
  <c r="X32" i="3"/>
  <c r="X40" i="3"/>
  <c r="X6" i="3"/>
  <c r="X65" i="3"/>
  <c r="X12" i="3"/>
  <c r="X44" i="3"/>
  <c r="C16" i="1"/>
  <c r="C17" i="1" s="1"/>
  <c r="D23" i="1" s="1"/>
  <c r="Y40" i="2"/>
  <c r="Z40" i="2" s="1"/>
  <c r="T61" i="2"/>
  <c r="AC61" i="2" s="1"/>
  <c r="F61" i="2"/>
  <c r="Y41" i="2"/>
  <c r="Z41" i="2" s="1"/>
  <c r="Y38" i="2"/>
  <c r="Z38" i="2" s="1"/>
  <c r="T60" i="2"/>
  <c r="V60" i="2" s="1"/>
  <c r="W60" i="2" s="1"/>
  <c r="X60" i="2" s="1"/>
  <c r="Y60" i="2" s="1"/>
  <c r="F60" i="2"/>
  <c r="F64" i="2"/>
  <c r="F43" i="2"/>
  <c r="AC64" i="2"/>
  <c r="AC43" i="2"/>
  <c r="AC51" i="2"/>
  <c r="AC62" i="2"/>
  <c r="G64" i="2"/>
  <c r="U64" i="2" s="1"/>
  <c r="V64" i="2" s="1"/>
  <c r="W64" i="2" s="1"/>
  <c r="X64" i="2" s="1"/>
  <c r="Y64" i="2" s="1"/>
  <c r="G63" i="2"/>
  <c r="U63" i="2" s="1"/>
  <c r="T63" i="2"/>
  <c r="AC63" i="2" s="1"/>
  <c r="V62" i="2"/>
  <c r="W62" i="2" s="1"/>
  <c r="X62" i="2" s="1"/>
  <c r="Y62" i="2" s="1"/>
  <c r="Z62" i="2" s="1"/>
  <c r="F32" i="2"/>
  <c r="G32" i="2"/>
  <c r="U32" i="2" s="1"/>
  <c r="T21" i="2"/>
  <c r="W21" i="2" s="1"/>
  <c r="X21" i="2" s="1"/>
  <c r="Y21" i="2" s="1"/>
  <c r="Z21" i="2" s="1"/>
  <c r="F29" i="2"/>
  <c r="T45" i="2"/>
  <c r="AC45" i="2" s="1"/>
  <c r="Z20" i="2"/>
  <c r="W32" i="2"/>
  <c r="X32" i="2" s="1"/>
  <c r="Y32" i="2" s="1"/>
  <c r="W29" i="2"/>
  <c r="X29" i="2" s="1"/>
  <c r="Y29" i="2" s="1"/>
  <c r="T23" i="2"/>
  <c r="G53" i="2"/>
  <c r="U53" i="2" s="1"/>
  <c r="T28" i="2"/>
  <c r="T59" i="2"/>
  <c r="AC59" i="2" s="1"/>
  <c r="G48" i="2"/>
  <c r="U48" i="2" s="1"/>
  <c r="T52" i="2"/>
  <c r="AC52" i="2" s="1"/>
  <c r="G24" i="2"/>
  <c r="U24" i="2" s="1"/>
  <c r="T33" i="2"/>
  <c r="G44" i="2"/>
  <c r="U44" i="2" s="1"/>
  <c r="G30" i="2"/>
  <c r="U30" i="2" s="1"/>
  <c r="T25" i="2"/>
  <c r="T50" i="2"/>
  <c r="AC50" i="2" s="1"/>
  <c r="G31" i="2"/>
  <c r="U31" i="2" s="1"/>
  <c r="G26" i="2"/>
  <c r="U26" i="2" s="1"/>
  <c r="G34" i="2"/>
  <c r="U34" i="2" s="1"/>
  <c r="G46" i="2"/>
  <c r="U46" i="2" s="1"/>
  <c r="G54" i="2"/>
  <c r="U54" i="2" s="1"/>
  <c r="T58" i="2"/>
  <c r="AC58" i="2" s="1"/>
  <c r="T27" i="2"/>
  <c r="G35" i="2"/>
  <c r="U35" i="2" s="1"/>
  <c r="G47" i="2"/>
  <c r="U47" i="2" s="1"/>
  <c r="T55" i="2"/>
  <c r="AC55" i="2" s="1"/>
  <c r="T37" i="2"/>
  <c r="G49" i="2"/>
  <c r="U49" i="2" s="1"/>
  <c r="G36" i="2"/>
  <c r="U36" i="2" s="1"/>
  <c r="T57" i="2"/>
  <c r="AC57" i="2" s="1"/>
  <c r="T56" i="2"/>
  <c r="V56" i="2" s="1"/>
  <c r="T22" i="2"/>
  <c r="G21" i="2"/>
  <c r="U21" i="2" s="1"/>
  <c r="T34" i="2"/>
  <c r="G42" i="2"/>
  <c r="U42" i="2" s="1"/>
  <c r="V42" i="2" s="1"/>
  <c r="T26" i="2"/>
  <c r="G45" i="2"/>
  <c r="U45" i="2" s="1"/>
  <c r="G57" i="2"/>
  <c r="U57" i="2" s="1"/>
  <c r="T31" i="2"/>
  <c r="T35" i="2"/>
  <c r="T36" i="2"/>
  <c r="G37" i="2"/>
  <c r="U37" i="2" s="1"/>
  <c r="G52" i="2"/>
  <c r="U52" i="2" s="1"/>
  <c r="G23" i="2"/>
  <c r="U23" i="2" s="1"/>
  <c r="G50" i="2"/>
  <c r="U50" i="2" s="1"/>
  <c r="T49" i="2"/>
  <c r="AC49" i="2" s="1"/>
  <c r="T44" i="2"/>
  <c r="AC44" i="2" s="1"/>
  <c r="T24" i="2"/>
  <c r="V51" i="2"/>
  <c r="G58" i="2"/>
  <c r="U58" i="2" s="1"/>
  <c r="T30" i="2"/>
  <c r="G25" i="2"/>
  <c r="U25" i="2" s="1"/>
  <c r="T53" i="2"/>
  <c r="AC53" i="2" s="1"/>
  <c r="G33" i="2"/>
  <c r="U33" i="2" s="1"/>
  <c r="G22" i="2"/>
  <c r="U22" i="2" s="1"/>
  <c r="G28" i="2"/>
  <c r="U28" i="2" s="1"/>
  <c r="T54" i="2"/>
  <c r="AC54" i="2" s="1"/>
  <c r="G55" i="2"/>
  <c r="U55" i="2" s="1"/>
  <c r="G43" i="2"/>
  <c r="G59" i="2"/>
  <c r="U59" i="2" s="1"/>
  <c r="T46" i="2"/>
  <c r="AC46" i="2" s="1"/>
  <c r="T48" i="2"/>
  <c r="AC48" i="2" s="1"/>
  <c r="G27" i="2"/>
  <c r="U27" i="2" s="1"/>
  <c r="T47" i="2"/>
  <c r="AC47" i="2" s="1"/>
  <c r="V61" i="2" l="1"/>
  <c r="W61" i="2" s="1"/>
  <c r="X61" i="2" s="1"/>
  <c r="Y61" i="2" s="1"/>
  <c r="Z61" i="2" s="1"/>
  <c r="AO33" i="3"/>
  <c r="AT33" i="3" s="1"/>
  <c r="AY33" i="3" s="1"/>
  <c r="AN33" i="3"/>
  <c r="AS33" i="3" s="1"/>
  <c r="AX33" i="3" s="1"/>
  <c r="AM33" i="3"/>
  <c r="AR33" i="3" s="1"/>
  <c r="AW33" i="3" s="1"/>
  <c r="AP33" i="3"/>
  <c r="AU33" i="3" s="1"/>
  <c r="AZ33" i="3" s="1"/>
  <c r="AL33" i="3"/>
  <c r="AQ33" i="3" s="1"/>
  <c r="AV33" i="3" s="1"/>
  <c r="AM53" i="3"/>
  <c r="AR53" i="3" s="1"/>
  <c r="AW53" i="3" s="1"/>
  <c r="AP53" i="3"/>
  <c r="AU53" i="3" s="1"/>
  <c r="AZ53" i="3" s="1"/>
  <c r="AL53" i="3"/>
  <c r="AQ53" i="3" s="1"/>
  <c r="AV53" i="3" s="1"/>
  <c r="AO53" i="3"/>
  <c r="AT53" i="3" s="1"/>
  <c r="AY53" i="3" s="1"/>
  <c r="AN53" i="3"/>
  <c r="AS53" i="3" s="1"/>
  <c r="AX53" i="3" s="1"/>
  <c r="AO24" i="3"/>
  <c r="AT24" i="3" s="1"/>
  <c r="AY24" i="3" s="1"/>
  <c r="AP24" i="3"/>
  <c r="AU24" i="3" s="1"/>
  <c r="AZ24" i="3" s="1"/>
  <c r="AN24" i="3"/>
  <c r="AS24" i="3" s="1"/>
  <c r="AX24" i="3" s="1"/>
  <c r="AM24" i="3"/>
  <c r="AR24" i="3" s="1"/>
  <c r="AW24" i="3" s="1"/>
  <c r="AL24" i="3"/>
  <c r="AQ24" i="3" s="1"/>
  <c r="AV24" i="3" s="1"/>
  <c r="AN46" i="3"/>
  <c r="AS46" i="3" s="1"/>
  <c r="AX46" i="3" s="1"/>
  <c r="AM46" i="3"/>
  <c r="AR46" i="3" s="1"/>
  <c r="AW46" i="3" s="1"/>
  <c r="AP46" i="3"/>
  <c r="AU46" i="3" s="1"/>
  <c r="AZ46" i="3" s="1"/>
  <c r="AL46" i="3"/>
  <c r="AQ46" i="3" s="1"/>
  <c r="AV46" i="3" s="1"/>
  <c r="AO46" i="3"/>
  <c r="AT46" i="3" s="1"/>
  <c r="AY46" i="3" s="1"/>
  <c r="AP18" i="3"/>
  <c r="AU18" i="3" s="1"/>
  <c r="AZ18" i="3" s="1"/>
  <c r="AL18" i="3"/>
  <c r="AQ18" i="3" s="1"/>
  <c r="AV18" i="3" s="1"/>
  <c r="AO18" i="3"/>
  <c r="AT18" i="3" s="1"/>
  <c r="AY18" i="3" s="1"/>
  <c r="AN18" i="3"/>
  <c r="AS18" i="3" s="1"/>
  <c r="AX18" i="3" s="1"/>
  <c r="AM18" i="3"/>
  <c r="AR18" i="3" s="1"/>
  <c r="AW18" i="3" s="1"/>
  <c r="AN39" i="3"/>
  <c r="AS39" i="3" s="1"/>
  <c r="AX39" i="3" s="1"/>
  <c r="AM39" i="3"/>
  <c r="AR39" i="3" s="1"/>
  <c r="AW39" i="3" s="1"/>
  <c r="AP39" i="3"/>
  <c r="AU39" i="3" s="1"/>
  <c r="AZ39" i="3" s="1"/>
  <c r="AL39" i="3"/>
  <c r="AQ39" i="3" s="1"/>
  <c r="AV39" i="3" s="1"/>
  <c r="AO39" i="3"/>
  <c r="AT39" i="3" s="1"/>
  <c r="AY39" i="3" s="1"/>
  <c r="AN22" i="3"/>
  <c r="AS22" i="3" s="1"/>
  <c r="AX22" i="3" s="1"/>
  <c r="AO22" i="3"/>
  <c r="AT22" i="3" s="1"/>
  <c r="AY22" i="3" s="1"/>
  <c r="AM22" i="3"/>
  <c r="AR22" i="3" s="1"/>
  <c r="AW22" i="3" s="1"/>
  <c r="AP22" i="3"/>
  <c r="AU22" i="3" s="1"/>
  <c r="AZ22" i="3" s="1"/>
  <c r="AL22" i="3"/>
  <c r="AQ22" i="3" s="1"/>
  <c r="AV22" i="3" s="1"/>
  <c r="AN55" i="3"/>
  <c r="AS55" i="3" s="1"/>
  <c r="AX55" i="3" s="1"/>
  <c r="AM55" i="3"/>
  <c r="AR55" i="3" s="1"/>
  <c r="AW55" i="3" s="1"/>
  <c r="AP55" i="3"/>
  <c r="AU55" i="3" s="1"/>
  <c r="AZ55" i="3" s="1"/>
  <c r="AL55" i="3"/>
  <c r="AQ55" i="3" s="1"/>
  <c r="AV55" i="3" s="1"/>
  <c r="AO55" i="3"/>
  <c r="AT55" i="3" s="1"/>
  <c r="AY55" i="3" s="1"/>
  <c r="AM28" i="3"/>
  <c r="AR28" i="3" s="1"/>
  <c r="AW28" i="3" s="1"/>
  <c r="AN28" i="3"/>
  <c r="AS28" i="3" s="1"/>
  <c r="AX28" i="3" s="1"/>
  <c r="AP28" i="3"/>
  <c r="AU28" i="3" s="1"/>
  <c r="AZ28" i="3" s="1"/>
  <c r="AL28" i="3"/>
  <c r="AQ28" i="3" s="1"/>
  <c r="AV28" i="3" s="1"/>
  <c r="AO28" i="3"/>
  <c r="AT28" i="3" s="1"/>
  <c r="AY28" i="3" s="1"/>
  <c r="AN15" i="3"/>
  <c r="AS15" i="3" s="1"/>
  <c r="AX15" i="3" s="1"/>
  <c r="AM15" i="3"/>
  <c r="AR15" i="3" s="1"/>
  <c r="AW15" i="3" s="1"/>
  <c r="AP15" i="3"/>
  <c r="AU15" i="3" s="1"/>
  <c r="AZ15" i="3" s="1"/>
  <c r="AL15" i="3"/>
  <c r="AQ15" i="3" s="1"/>
  <c r="AV15" i="3" s="1"/>
  <c r="AO15" i="3"/>
  <c r="AT15" i="3" s="1"/>
  <c r="AY15" i="3" s="1"/>
  <c r="AN54" i="3"/>
  <c r="AS54" i="3" s="1"/>
  <c r="AX54" i="3" s="1"/>
  <c r="AO54" i="3"/>
  <c r="AT54" i="3" s="1"/>
  <c r="AY54" i="3" s="1"/>
  <c r="AM54" i="3"/>
  <c r="AR54" i="3" s="1"/>
  <c r="AW54" i="3" s="1"/>
  <c r="AP54" i="3"/>
  <c r="AU54" i="3" s="1"/>
  <c r="AZ54" i="3" s="1"/>
  <c r="AL54" i="3"/>
  <c r="AQ54" i="3" s="1"/>
  <c r="AV54" i="3" s="1"/>
  <c r="AO49" i="3"/>
  <c r="AT49" i="3" s="1"/>
  <c r="AY49" i="3" s="1"/>
  <c r="AN49" i="3"/>
  <c r="AS49" i="3" s="1"/>
  <c r="AX49" i="3" s="1"/>
  <c r="AM49" i="3"/>
  <c r="AR49" i="3" s="1"/>
  <c r="AW49" i="3" s="1"/>
  <c r="AP49" i="3"/>
  <c r="AU49" i="3" s="1"/>
  <c r="AZ49" i="3" s="1"/>
  <c r="AL49" i="3"/>
  <c r="AQ49" i="3" s="1"/>
  <c r="AV49" i="3" s="1"/>
  <c r="BA49" i="3" s="1"/>
  <c r="AP67" i="3"/>
  <c r="AU67" i="3" s="1"/>
  <c r="AZ67" i="3" s="1"/>
  <c r="AL67" i="3"/>
  <c r="AQ67" i="3" s="1"/>
  <c r="AV67" i="3" s="1"/>
  <c r="AO67" i="3"/>
  <c r="AT67" i="3" s="1"/>
  <c r="AY67" i="3" s="1"/>
  <c r="AN67" i="3"/>
  <c r="AS67" i="3" s="1"/>
  <c r="AX67" i="3" s="1"/>
  <c r="AM67" i="3"/>
  <c r="AR67" i="3" s="1"/>
  <c r="AW67" i="3" s="1"/>
  <c r="AM61" i="3"/>
  <c r="AR61" i="3" s="1"/>
  <c r="AW61" i="3" s="1"/>
  <c r="AP61" i="3"/>
  <c r="AU61" i="3" s="1"/>
  <c r="AZ61" i="3" s="1"/>
  <c r="AL61" i="3"/>
  <c r="AQ61" i="3" s="1"/>
  <c r="AV61" i="3" s="1"/>
  <c r="BA61" i="3" s="1"/>
  <c r="AO61" i="3"/>
  <c r="AT61" i="3" s="1"/>
  <c r="AY61" i="3" s="1"/>
  <c r="AN61" i="3"/>
  <c r="AS61" i="3" s="1"/>
  <c r="AX61" i="3" s="1"/>
  <c r="AN4" i="3"/>
  <c r="AS4" i="3" s="1"/>
  <c r="AX4" i="3" s="1"/>
  <c r="AO4" i="3"/>
  <c r="AT4" i="3" s="1"/>
  <c r="AY4" i="3" s="1"/>
  <c r="AM4" i="3"/>
  <c r="AR4" i="3" s="1"/>
  <c r="AW4" i="3" s="1"/>
  <c r="AP4" i="3"/>
  <c r="AU4" i="3" s="1"/>
  <c r="AZ4" i="3" s="1"/>
  <c r="AL4" i="3"/>
  <c r="AQ4" i="3" s="1"/>
  <c r="AV4" i="3" s="1"/>
  <c r="AP26" i="3"/>
  <c r="AU26" i="3" s="1"/>
  <c r="AZ26" i="3" s="1"/>
  <c r="AL26" i="3"/>
  <c r="AQ26" i="3" s="1"/>
  <c r="AV26" i="3" s="1"/>
  <c r="AM26" i="3"/>
  <c r="AR26" i="3" s="1"/>
  <c r="AW26" i="3" s="1"/>
  <c r="AO26" i="3"/>
  <c r="AT26" i="3" s="1"/>
  <c r="AY26" i="3" s="1"/>
  <c r="AN26" i="3"/>
  <c r="AS26" i="3" s="1"/>
  <c r="AX26" i="3" s="1"/>
  <c r="AO17" i="3"/>
  <c r="AT17" i="3" s="1"/>
  <c r="AY17" i="3" s="1"/>
  <c r="AN17" i="3"/>
  <c r="AS17" i="3" s="1"/>
  <c r="AX17" i="3" s="1"/>
  <c r="AM17" i="3"/>
  <c r="AR17" i="3" s="1"/>
  <c r="AW17" i="3" s="1"/>
  <c r="AP17" i="3"/>
  <c r="AU17" i="3" s="1"/>
  <c r="AZ17" i="3" s="1"/>
  <c r="AL17" i="3"/>
  <c r="AQ17" i="3" s="1"/>
  <c r="AV17" i="3" s="1"/>
  <c r="AM60" i="3"/>
  <c r="AR60" i="3" s="1"/>
  <c r="AW60" i="3" s="1"/>
  <c r="AN60" i="3"/>
  <c r="AS60" i="3" s="1"/>
  <c r="AX60" i="3" s="1"/>
  <c r="AP60" i="3"/>
  <c r="AU60" i="3" s="1"/>
  <c r="AZ60" i="3" s="1"/>
  <c r="AL60" i="3"/>
  <c r="AQ60" i="3" s="1"/>
  <c r="AV60" i="3" s="1"/>
  <c r="AO60" i="3"/>
  <c r="AT60" i="3" s="1"/>
  <c r="AY60" i="3" s="1"/>
  <c r="AN63" i="3"/>
  <c r="AS63" i="3" s="1"/>
  <c r="AX63" i="3" s="1"/>
  <c r="AM63" i="3"/>
  <c r="AR63" i="3" s="1"/>
  <c r="AW63" i="3" s="1"/>
  <c r="AP63" i="3"/>
  <c r="AU63" i="3" s="1"/>
  <c r="AZ63" i="3" s="1"/>
  <c r="AL63" i="3"/>
  <c r="AQ63" i="3" s="1"/>
  <c r="AV63" i="3" s="1"/>
  <c r="AO63" i="3"/>
  <c r="AT63" i="3" s="1"/>
  <c r="AY63" i="3" s="1"/>
  <c r="AO57" i="3"/>
  <c r="AT57" i="3" s="1"/>
  <c r="AY57" i="3" s="1"/>
  <c r="AN57" i="3"/>
  <c r="AS57" i="3" s="1"/>
  <c r="AX57" i="3" s="1"/>
  <c r="AM57" i="3"/>
  <c r="AR57" i="3" s="1"/>
  <c r="AW57" i="3" s="1"/>
  <c r="AP57" i="3"/>
  <c r="AU57" i="3" s="1"/>
  <c r="AZ57" i="3" s="1"/>
  <c r="AL57" i="3"/>
  <c r="AQ57" i="3" s="1"/>
  <c r="AV57" i="3" s="1"/>
  <c r="BA57" i="3" s="1"/>
  <c r="AP10" i="3"/>
  <c r="AU10" i="3" s="1"/>
  <c r="AZ10" i="3" s="1"/>
  <c r="AL10" i="3"/>
  <c r="AQ10" i="3" s="1"/>
  <c r="AV10" i="3" s="1"/>
  <c r="AM10" i="3"/>
  <c r="AR10" i="3" s="1"/>
  <c r="AW10" i="3" s="1"/>
  <c r="AO10" i="3"/>
  <c r="AT10" i="3" s="1"/>
  <c r="AY10" i="3" s="1"/>
  <c r="AN10" i="3"/>
  <c r="AS10" i="3" s="1"/>
  <c r="AX10" i="3" s="1"/>
  <c r="AN31" i="3"/>
  <c r="AS31" i="3" s="1"/>
  <c r="AX31" i="3" s="1"/>
  <c r="AM31" i="3"/>
  <c r="AR31" i="3" s="1"/>
  <c r="AW31" i="3" s="1"/>
  <c r="AP31" i="3"/>
  <c r="AU31" i="3" s="1"/>
  <c r="AZ31" i="3" s="1"/>
  <c r="AL31" i="3"/>
  <c r="AQ31" i="3" s="1"/>
  <c r="AV31" i="3" s="1"/>
  <c r="AO31" i="3"/>
  <c r="AT31" i="3" s="1"/>
  <c r="AY31" i="3" s="1"/>
  <c r="AO48" i="3"/>
  <c r="AT48" i="3" s="1"/>
  <c r="AY48" i="3" s="1"/>
  <c r="AL48" i="3"/>
  <c r="AQ48" i="3" s="1"/>
  <c r="AV48" i="3" s="1"/>
  <c r="AN48" i="3"/>
  <c r="AS48" i="3" s="1"/>
  <c r="AX48" i="3" s="1"/>
  <c r="AM48" i="3"/>
  <c r="AR48" i="3" s="1"/>
  <c r="AW48" i="3" s="1"/>
  <c r="AP48" i="3"/>
  <c r="AU48" i="3" s="1"/>
  <c r="AZ48" i="3" s="1"/>
  <c r="AM5" i="3"/>
  <c r="AR5" i="3" s="1"/>
  <c r="AW5" i="3" s="1"/>
  <c r="AP5" i="3"/>
  <c r="AU5" i="3" s="1"/>
  <c r="AZ5" i="3" s="1"/>
  <c r="AL5" i="3"/>
  <c r="AQ5" i="3" s="1"/>
  <c r="AV5" i="3" s="1"/>
  <c r="AO5" i="3"/>
  <c r="AT5" i="3" s="1"/>
  <c r="AY5" i="3" s="1"/>
  <c r="AN5" i="3"/>
  <c r="AS5" i="3" s="1"/>
  <c r="AX5" i="3" s="1"/>
  <c r="AP43" i="3"/>
  <c r="AU43" i="3" s="1"/>
  <c r="AZ43" i="3" s="1"/>
  <c r="AL43" i="3"/>
  <c r="AQ43" i="3" s="1"/>
  <c r="AV43" i="3" s="1"/>
  <c r="AO43" i="3"/>
  <c r="AT43" i="3" s="1"/>
  <c r="AY43" i="3" s="1"/>
  <c r="AN43" i="3"/>
  <c r="AS43" i="3" s="1"/>
  <c r="AX43" i="3" s="1"/>
  <c r="AM43" i="3"/>
  <c r="AR43" i="3" s="1"/>
  <c r="AW43" i="3" s="1"/>
  <c r="AO41" i="3"/>
  <c r="AT41" i="3" s="1"/>
  <c r="AY41" i="3" s="1"/>
  <c r="AN41" i="3"/>
  <c r="AS41" i="3" s="1"/>
  <c r="AX41" i="3" s="1"/>
  <c r="AM41" i="3"/>
  <c r="AR41" i="3" s="1"/>
  <c r="AW41" i="3" s="1"/>
  <c r="AP41" i="3"/>
  <c r="AU41" i="3" s="1"/>
  <c r="AZ41" i="3" s="1"/>
  <c r="AL41" i="3"/>
  <c r="AQ41" i="3" s="1"/>
  <c r="AV41" i="3" s="1"/>
  <c r="AP66" i="3"/>
  <c r="AU66" i="3" s="1"/>
  <c r="AZ66" i="3" s="1"/>
  <c r="AL66" i="3"/>
  <c r="AQ66" i="3" s="1"/>
  <c r="AV66" i="3" s="1"/>
  <c r="AO66" i="3"/>
  <c r="AT66" i="3" s="1"/>
  <c r="AY66" i="3" s="1"/>
  <c r="AN66" i="3"/>
  <c r="AS66" i="3" s="1"/>
  <c r="AX66" i="3" s="1"/>
  <c r="AM66" i="3"/>
  <c r="AR66" i="3" s="1"/>
  <c r="AW66" i="3" s="1"/>
  <c r="AP51" i="3"/>
  <c r="AU51" i="3" s="1"/>
  <c r="AZ51" i="3" s="1"/>
  <c r="AL51" i="3"/>
  <c r="AQ51" i="3" s="1"/>
  <c r="AV51" i="3" s="1"/>
  <c r="AO51" i="3"/>
  <c r="AT51" i="3" s="1"/>
  <c r="AY51" i="3" s="1"/>
  <c r="AN51" i="3"/>
  <c r="AS51" i="3" s="1"/>
  <c r="AX51" i="3" s="1"/>
  <c r="AM51" i="3"/>
  <c r="AR51" i="3" s="1"/>
  <c r="AW51" i="3" s="1"/>
  <c r="AM37" i="3"/>
  <c r="AR37" i="3" s="1"/>
  <c r="AW37" i="3" s="1"/>
  <c r="AP37" i="3"/>
  <c r="AU37" i="3" s="1"/>
  <c r="AZ37" i="3" s="1"/>
  <c r="AL37" i="3"/>
  <c r="AQ37" i="3" s="1"/>
  <c r="AV37" i="3" s="1"/>
  <c r="BA37" i="3" s="1"/>
  <c r="AO37" i="3"/>
  <c r="AT37" i="3" s="1"/>
  <c r="AY37" i="3" s="1"/>
  <c r="AN37" i="3"/>
  <c r="AS37" i="3" s="1"/>
  <c r="AX37" i="3" s="1"/>
  <c r="AM69" i="3"/>
  <c r="AR69" i="3" s="1"/>
  <c r="AW69" i="3" s="1"/>
  <c r="AP69" i="3"/>
  <c r="AU69" i="3" s="1"/>
  <c r="AZ69" i="3" s="1"/>
  <c r="AL69" i="3"/>
  <c r="AQ69" i="3" s="1"/>
  <c r="AV69" i="3" s="1"/>
  <c r="BA69" i="3" s="1"/>
  <c r="AO69" i="3"/>
  <c r="AT69" i="3" s="1"/>
  <c r="AY69" i="3" s="1"/>
  <c r="AN69" i="3"/>
  <c r="AS69" i="3" s="1"/>
  <c r="AX69" i="3" s="1"/>
  <c r="AO9" i="3"/>
  <c r="AT9" i="3" s="1"/>
  <c r="AY9" i="3" s="1"/>
  <c r="AN9" i="3"/>
  <c r="AS9" i="3" s="1"/>
  <c r="AX9" i="3" s="1"/>
  <c r="AM9" i="3"/>
  <c r="AR9" i="3" s="1"/>
  <c r="AW9" i="3" s="1"/>
  <c r="AP9" i="3"/>
  <c r="AU9" i="3" s="1"/>
  <c r="AZ9" i="3" s="1"/>
  <c r="AL9" i="3"/>
  <c r="AQ9" i="3" s="1"/>
  <c r="AV9" i="3" s="1"/>
  <c r="AO56" i="3"/>
  <c r="AT56" i="3" s="1"/>
  <c r="AY56" i="3" s="1"/>
  <c r="AP56" i="3"/>
  <c r="AU56" i="3" s="1"/>
  <c r="AZ56" i="3" s="1"/>
  <c r="AN56" i="3"/>
  <c r="AS56" i="3" s="1"/>
  <c r="AX56" i="3" s="1"/>
  <c r="AM56" i="3"/>
  <c r="AR56" i="3" s="1"/>
  <c r="AW56" i="3" s="1"/>
  <c r="AL56" i="3"/>
  <c r="AQ56" i="3" s="1"/>
  <c r="AV56" i="3" s="1"/>
  <c r="AP27" i="3"/>
  <c r="AU27" i="3" s="1"/>
  <c r="AZ27" i="3" s="1"/>
  <c r="AL27" i="3"/>
  <c r="AQ27" i="3" s="1"/>
  <c r="AV27" i="3" s="1"/>
  <c r="AO27" i="3"/>
  <c r="AT27" i="3" s="1"/>
  <c r="AY27" i="3" s="1"/>
  <c r="AN27" i="3"/>
  <c r="AS27" i="3" s="1"/>
  <c r="AX27" i="3" s="1"/>
  <c r="AM27" i="3"/>
  <c r="AR27" i="3" s="1"/>
  <c r="AW27" i="3" s="1"/>
  <c r="AP58" i="3"/>
  <c r="AU58" i="3" s="1"/>
  <c r="AZ58" i="3" s="1"/>
  <c r="AL58" i="3"/>
  <c r="AQ58" i="3" s="1"/>
  <c r="AV58" i="3" s="1"/>
  <c r="AO58" i="3"/>
  <c r="AT58" i="3" s="1"/>
  <c r="AY58" i="3" s="1"/>
  <c r="AN58" i="3"/>
  <c r="AS58" i="3" s="1"/>
  <c r="AX58" i="3" s="1"/>
  <c r="AM58" i="3"/>
  <c r="AR58" i="3" s="1"/>
  <c r="AW58" i="3" s="1"/>
  <c r="AN38" i="3"/>
  <c r="AS38" i="3" s="1"/>
  <c r="AX38" i="3" s="1"/>
  <c r="AO38" i="3"/>
  <c r="AT38" i="3" s="1"/>
  <c r="AY38" i="3" s="1"/>
  <c r="AM38" i="3"/>
  <c r="AR38" i="3" s="1"/>
  <c r="AW38" i="3" s="1"/>
  <c r="AP38" i="3"/>
  <c r="AU38" i="3" s="1"/>
  <c r="AZ38" i="3" s="1"/>
  <c r="AL38" i="3"/>
  <c r="AQ38" i="3" s="1"/>
  <c r="AV38" i="3" s="1"/>
  <c r="BA38" i="3" s="1"/>
  <c r="AP19" i="3"/>
  <c r="AU19" i="3" s="1"/>
  <c r="AZ19" i="3" s="1"/>
  <c r="AL19" i="3"/>
  <c r="AQ19" i="3" s="1"/>
  <c r="AV19" i="3" s="1"/>
  <c r="AO19" i="3"/>
  <c r="AT19" i="3" s="1"/>
  <c r="AY19" i="3" s="1"/>
  <c r="AN19" i="3"/>
  <c r="AS19" i="3" s="1"/>
  <c r="AX19" i="3" s="1"/>
  <c r="AM19" i="3"/>
  <c r="AR19" i="3" s="1"/>
  <c r="AW19" i="3" s="1"/>
  <c r="AO16" i="3"/>
  <c r="AT16" i="3" s="1"/>
  <c r="AY16" i="3" s="1"/>
  <c r="AN16" i="3"/>
  <c r="AS16" i="3" s="1"/>
  <c r="AX16" i="3" s="1"/>
  <c r="AL16" i="3"/>
  <c r="AQ16" i="3" s="1"/>
  <c r="AV16" i="3" s="1"/>
  <c r="AM16" i="3"/>
  <c r="AR16" i="3" s="1"/>
  <c r="AW16" i="3" s="1"/>
  <c r="AP16" i="3"/>
  <c r="AU16" i="3" s="1"/>
  <c r="AZ16" i="3" s="1"/>
  <c r="AP35" i="3"/>
  <c r="AU35" i="3" s="1"/>
  <c r="AZ35" i="3" s="1"/>
  <c r="AL35" i="3"/>
  <c r="AQ35" i="3" s="1"/>
  <c r="AV35" i="3" s="1"/>
  <c r="AO35" i="3"/>
  <c r="AT35" i="3" s="1"/>
  <c r="AY35" i="3" s="1"/>
  <c r="AN35" i="3"/>
  <c r="AS35" i="3" s="1"/>
  <c r="AX35" i="3" s="1"/>
  <c r="AM35" i="3"/>
  <c r="AR35" i="3" s="1"/>
  <c r="AW35" i="3" s="1"/>
  <c r="AM29" i="3"/>
  <c r="AR29" i="3" s="1"/>
  <c r="AW29" i="3" s="1"/>
  <c r="AP29" i="3"/>
  <c r="AU29" i="3" s="1"/>
  <c r="AZ29" i="3" s="1"/>
  <c r="AL29" i="3"/>
  <c r="AQ29" i="3" s="1"/>
  <c r="AV29" i="3" s="1"/>
  <c r="AO29" i="3"/>
  <c r="AT29" i="3" s="1"/>
  <c r="AY29" i="3" s="1"/>
  <c r="AN29" i="3"/>
  <c r="AS29" i="3" s="1"/>
  <c r="AX29" i="3" s="1"/>
  <c r="AP50" i="3"/>
  <c r="AU50" i="3" s="1"/>
  <c r="AZ50" i="3" s="1"/>
  <c r="AL50" i="3"/>
  <c r="AQ50" i="3" s="1"/>
  <c r="AV50" i="3" s="1"/>
  <c r="AM50" i="3"/>
  <c r="AR50" i="3" s="1"/>
  <c r="AW50" i="3" s="1"/>
  <c r="AO50" i="3"/>
  <c r="AT50" i="3" s="1"/>
  <c r="AY50" i="3" s="1"/>
  <c r="AN50" i="3"/>
  <c r="AS50" i="3" s="1"/>
  <c r="AX50" i="3" s="1"/>
  <c r="AO64" i="3"/>
  <c r="AT64" i="3" s="1"/>
  <c r="AY64" i="3" s="1"/>
  <c r="AL64" i="3"/>
  <c r="AQ64" i="3" s="1"/>
  <c r="AV64" i="3" s="1"/>
  <c r="AN64" i="3"/>
  <c r="AS64" i="3" s="1"/>
  <c r="AX64" i="3" s="1"/>
  <c r="AM64" i="3"/>
  <c r="AR64" i="3" s="1"/>
  <c r="AW64" i="3" s="1"/>
  <c r="AP64" i="3"/>
  <c r="AU64" i="3" s="1"/>
  <c r="AZ64" i="3" s="1"/>
  <c r="AP42" i="3"/>
  <c r="AU42" i="3" s="1"/>
  <c r="AZ42" i="3" s="1"/>
  <c r="AL42" i="3"/>
  <c r="AQ42" i="3" s="1"/>
  <c r="AV42" i="3" s="1"/>
  <c r="BA42" i="3" s="1"/>
  <c r="AO42" i="3"/>
  <c r="AT42" i="3" s="1"/>
  <c r="AY42" i="3" s="1"/>
  <c r="AN42" i="3"/>
  <c r="AS42" i="3" s="1"/>
  <c r="AX42" i="3" s="1"/>
  <c r="AM42" i="3"/>
  <c r="AR42" i="3" s="1"/>
  <c r="AW42" i="3" s="1"/>
  <c r="Z6" i="3"/>
  <c r="AB6" i="3" s="1"/>
  <c r="AC6" i="3" s="1"/>
  <c r="AF6" i="3"/>
  <c r="AD6" i="3"/>
  <c r="Z34" i="3"/>
  <c r="AB34" i="3" s="1"/>
  <c r="AC34" i="3" s="1"/>
  <c r="AD34" i="3"/>
  <c r="AF34" i="3"/>
  <c r="Z14" i="3"/>
  <c r="AB14" i="3" s="1"/>
  <c r="AC14" i="3" s="1"/>
  <c r="AF14" i="3"/>
  <c r="AD14" i="3"/>
  <c r="Z59" i="3"/>
  <c r="AB59" i="3" s="1"/>
  <c r="AC59" i="3" s="1"/>
  <c r="AD59" i="3"/>
  <c r="AF59" i="3"/>
  <c r="Z44" i="3"/>
  <c r="AB44" i="3" s="1"/>
  <c r="AC44" i="3" s="1"/>
  <c r="AF44" i="3"/>
  <c r="AD44" i="3"/>
  <c r="Z40" i="3"/>
  <c r="AB40" i="3" s="1"/>
  <c r="AC40" i="3" s="1"/>
  <c r="AF40" i="3"/>
  <c r="AD40" i="3"/>
  <c r="Z25" i="3"/>
  <c r="AB25" i="3" s="1"/>
  <c r="AC25" i="3" s="1"/>
  <c r="AF25" i="3"/>
  <c r="AD25" i="3"/>
  <c r="Z13" i="3"/>
  <c r="AB13" i="3" s="1"/>
  <c r="AC13" i="3" s="1"/>
  <c r="AF13" i="3"/>
  <c r="AD13" i="3"/>
  <c r="Z20" i="3"/>
  <c r="AB20" i="3" s="1"/>
  <c r="AC20" i="3" s="1"/>
  <c r="AF20" i="3"/>
  <c r="AD20" i="3"/>
  <c r="Z8" i="3"/>
  <c r="AB8" i="3" s="1"/>
  <c r="AC8" i="3" s="1"/>
  <c r="AD8" i="3"/>
  <c r="AF8" i="3"/>
  <c r="Z62" i="3"/>
  <c r="AB62" i="3" s="1"/>
  <c r="AC62" i="3" s="1"/>
  <c r="AF62" i="3"/>
  <c r="AD62" i="3"/>
  <c r="Z12" i="3"/>
  <c r="AB12" i="3" s="1"/>
  <c r="AC12" i="3" s="1"/>
  <c r="AF12" i="3"/>
  <c r="AD12" i="3"/>
  <c r="Z32" i="3"/>
  <c r="AB32" i="3" s="1"/>
  <c r="AC32" i="3" s="1"/>
  <c r="AD32" i="3"/>
  <c r="AF32" i="3"/>
  <c r="Z68" i="3"/>
  <c r="AB68" i="3" s="1"/>
  <c r="AC68" i="3" s="1"/>
  <c r="AF68" i="3"/>
  <c r="AD68" i="3"/>
  <c r="Z21" i="3"/>
  <c r="AB21" i="3" s="1"/>
  <c r="AC21" i="3" s="1"/>
  <c r="AF21" i="3"/>
  <c r="AD21" i="3"/>
  <c r="Z23" i="3"/>
  <c r="AB23" i="3" s="1"/>
  <c r="AC23" i="3" s="1"/>
  <c r="AF23" i="3"/>
  <c r="AD23" i="3"/>
  <c r="Z30" i="3"/>
  <c r="AB30" i="3" s="1"/>
  <c r="AC30" i="3" s="1"/>
  <c r="AF30" i="3"/>
  <c r="AD30" i="3"/>
  <c r="Z45" i="3"/>
  <c r="AB45" i="3" s="1"/>
  <c r="AC45" i="3" s="1"/>
  <c r="AF45" i="3"/>
  <c r="AD45" i="3"/>
  <c r="Z7" i="3"/>
  <c r="AB7" i="3" s="1"/>
  <c r="AC7" i="3" s="1"/>
  <c r="AF7" i="3"/>
  <c r="AD7" i="3"/>
  <c r="Z36" i="3"/>
  <c r="AB36" i="3" s="1"/>
  <c r="AC36" i="3" s="1"/>
  <c r="AF36" i="3"/>
  <c r="AD36" i="3"/>
  <c r="Z11" i="3"/>
  <c r="AB11" i="3" s="1"/>
  <c r="AC11" i="3" s="1"/>
  <c r="AD11" i="3"/>
  <c r="AF11" i="3"/>
  <c r="Z65" i="3"/>
  <c r="AB65" i="3" s="1"/>
  <c r="AC65" i="3" s="1"/>
  <c r="AF65" i="3"/>
  <c r="AD65" i="3"/>
  <c r="Z47" i="3"/>
  <c r="AB47" i="3" s="1"/>
  <c r="AC47" i="3" s="1"/>
  <c r="AF47" i="3"/>
  <c r="AD47" i="3"/>
  <c r="Z52" i="3"/>
  <c r="AB52" i="3" s="1"/>
  <c r="AC52" i="3" s="1"/>
  <c r="AF52" i="3"/>
  <c r="AD52" i="3"/>
  <c r="P23" i="1"/>
  <c r="P24" i="1" s="1"/>
  <c r="P25" i="1" s="1"/>
  <c r="K23" i="1"/>
  <c r="K24" i="1" s="1"/>
  <c r="K25" i="1" s="1"/>
  <c r="D24" i="1"/>
  <c r="D25" i="1" s="1"/>
  <c r="N23" i="1"/>
  <c r="N24" i="1" s="1"/>
  <c r="N25" i="1" s="1"/>
  <c r="F23" i="1"/>
  <c r="F24" i="1" s="1"/>
  <c r="F25" i="1" s="1"/>
  <c r="I23" i="1"/>
  <c r="I24" i="1" s="1"/>
  <c r="I25" i="1" s="1"/>
  <c r="G23" i="1"/>
  <c r="G24" i="1" s="1"/>
  <c r="G25" i="1" s="1"/>
  <c r="L23" i="1"/>
  <c r="L24" i="1" s="1"/>
  <c r="L25" i="1" s="1"/>
  <c r="E23" i="1"/>
  <c r="E24" i="1" s="1"/>
  <c r="E25" i="1" s="1"/>
  <c r="H23" i="1"/>
  <c r="H24" i="1" s="1"/>
  <c r="H25" i="1" s="1"/>
  <c r="O23" i="1"/>
  <c r="O24" i="1" s="1"/>
  <c r="O25" i="1" s="1"/>
  <c r="J23" i="1"/>
  <c r="J24" i="1" s="1"/>
  <c r="J25" i="1" s="1"/>
  <c r="M23" i="1"/>
  <c r="M24" i="1" s="1"/>
  <c r="M25" i="1" s="1"/>
  <c r="AC60" i="2"/>
  <c r="Z60" i="2"/>
  <c r="Z64" i="2"/>
  <c r="AC56" i="2"/>
  <c r="U43" i="2"/>
  <c r="V43" i="2" s="1"/>
  <c r="W43" i="2" s="1"/>
  <c r="V63" i="2"/>
  <c r="W63" i="2" s="1"/>
  <c r="X63" i="2" s="1"/>
  <c r="Y63" i="2" s="1"/>
  <c r="Z63" i="2" s="1"/>
  <c r="Z32" i="2"/>
  <c r="Z29" i="2"/>
  <c r="V52" i="2"/>
  <c r="W52" i="2" s="1"/>
  <c r="X52" i="2" s="1"/>
  <c r="Y52" i="2" s="1"/>
  <c r="Z52" i="2" s="1"/>
  <c r="W30" i="2"/>
  <c r="X30" i="2" s="1"/>
  <c r="Y30" i="2" s="1"/>
  <c r="Z30" i="2" s="1"/>
  <c r="W31" i="2"/>
  <c r="X31" i="2" s="1"/>
  <c r="Y31" i="2" s="1"/>
  <c r="Z31" i="2" s="1"/>
  <c r="W51" i="2"/>
  <c r="X51" i="2" s="1"/>
  <c r="Y51" i="2" s="1"/>
  <c r="Z51" i="2" s="1"/>
  <c r="V45" i="2"/>
  <c r="W24" i="2"/>
  <c r="X24" i="2" s="1"/>
  <c r="Y24" i="2" s="1"/>
  <c r="Z24" i="2" s="1"/>
  <c r="W26" i="2"/>
  <c r="X26" i="2" s="1"/>
  <c r="Y26" i="2" s="1"/>
  <c r="Z26" i="2" s="1"/>
  <c r="W35" i="2"/>
  <c r="X35" i="2" s="1"/>
  <c r="Y35" i="2" s="1"/>
  <c r="Z35" i="2" s="1"/>
  <c r="W37" i="2"/>
  <c r="X37" i="2" s="1"/>
  <c r="Y37" i="2" s="1"/>
  <c r="Z37" i="2" s="1"/>
  <c r="W33" i="2"/>
  <c r="X33" i="2" s="1"/>
  <c r="Y33" i="2" s="1"/>
  <c r="Z33" i="2" s="1"/>
  <c r="W23" i="2"/>
  <c r="X23" i="2" s="1"/>
  <c r="Y23" i="2" s="1"/>
  <c r="Z23" i="2" s="1"/>
  <c r="V48" i="2"/>
  <c r="V49" i="2"/>
  <c r="W28" i="2"/>
  <c r="X28" i="2" s="1"/>
  <c r="Y28" i="2" s="1"/>
  <c r="Z28" i="2" s="1"/>
  <c r="W34" i="2"/>
  <c r="X34" i="2" s="1"/>
  <c r="Y34" i="2" s="1"/>
  <c r="Z34" i="2" s="1"/>
  <c r="W36" i="2"/>
  <c r="X36" i="2" s="1"/>
  <c r="Y36" i="2" s="1"/>
  <c r="Z36" i="2" s="1"/>
  <c r="W22" i="2"/>
  <c r="X22" i="2" s="1"/>
  <c r="Y22" i="2" s="1"/>
  <c r="Z22" i="2" s="1"/>
  <c r="W25" i="2"/>
  <c r="X25" i="2" s="1"/>
  <c r="Y25" i="2" s="1"/>
  <c r="Z25" i="2" s="1"/>
  <c r="W56" i="2"/>
  <c r="X56" i="2" s="1"/>
  <c r="Y56" i="2" s="1"/>
  <c r="Z56" i="2" s="1"/>
  <c r="W27" i="2"/>
  <c r="X27" i="2" s="1"/>
  <c r="Y27" i="2" s="1"/>
  <c r="Z27" i="2" s="1"/>
  <c r="V54" i="2"/>
  <c r="V53" i="2"/>
  <c r="V44" i="2"/>
  <c r="V57" i="2"/>
  <c r="V58" i="2"/>
  <c r="V47" i="2"/>
  <c r="V46" i="2"/>
  <c r="V59" i="2"/>
  <c r="V50" i="2"/>
  <c r="V55" i="2"/>
  <c r="BA28" i="3" l="1"/>
  <c r="BA16" i="3"/>
  <c r="BA58" i="3"/>
  <c r="BA24" i="3"/>
  <c r="BA5" i="3"/>
  <c r="BA10" i="3"/>
  <c r="BA63" i="3"/>
  <c r="BA67" i="3"/>
  <c r="BA18" i="3"/>
  <c r="BA54" i="3"/>
  <c r="BA55" i="3"/>
  <c r="BA50" i="3"/>
  <c r="BA31" i="3"/>
  <c r="BA17" i="3"/>
  <c r="BA26" i="3"/>
  <c r="BA39" i="3"/>
  <c r="BA33" i="3"/>
  <c r="BA35" i="3"/>
  <c r="BA9" i="3"/>
  <c r="BA4" i="3"/>
  <c r="BA22" i="3"/>
  <c r="BA46" i="3"/>
  <c r="BA41" i="3"/>
  <c r="BA64" i="3"/>
  <c r="BA19" i="3"/>
  <c r="BA51" i="3"/>
  <c r="BA60" i="3"/>
  <c r="BA15" i="3"/>
  <c r="BA66" i="3"/>
  <c r="BA27" i="3"/>
  <c r="BA43" i="3"/>
  <c r="BA29" i="3"/>
  <c r="BA56" i="3"/>
  <c r="BA48" i="3"/>
  <c r="BA53" i="3"/>
  <c r="AO32" i="3"/>
  <c r="AT32" i="3" s="1"/>
  <c r="AY32" i="3" s="1"/>
  <c r="AL32" i="3"/>
  <c r="AQ32" i="3" s="1"/>
  <c r="AV32" i="3" s="1"/>
  <c r="AN32" i="3"/>
  <c r="AS32" i="3" s="1"/>
  <c r="AX32" i="3" s="1"/>
  <c r="AM32" i="3"/>
  <c r="AR32" i="3" s="1"/>
  <c r="AW32" i="3" s="1"/>
  <c r="AP32" i="3"/>
  <c r="AU32" i="3" s="1"/>
  <c r="AZ32" i="3" s="1"/>
  <c r="AM44" i="3"/>
  <c r="AR44" i="3" s="1"/>
  <c r="AW44" i="3" s="1"/>
  <c r="AN44" i="3"/>
  <c r="AS44" i="3" s="1"/>
  <c r="AX44" i="3" s="1"/>
  <c r="AP44" i="3"/>
  <c r="AU44" i="3" s="1"/>
  <c r="AZ44" i="3" s="1"/>
  <c r="AL44" i="3"/>
  <c r="AQ44" i="3" s="1"/>
  <c r="AV44" i="3" s="1"/>
  <c r="AO44" i="3"/>
  <c r="AT44" i="3" s="1"/>
  <c r="AY44" i="3" s="1"/>
  <c r="AO65" i="3"/>
  <c r="AT65" i="3" s="1"/>
  <c r="AY65" i="3" s="1"/>
  <c r="AN65" i="3"/>
  <c r="AS65" i="3" s="1"/>
  <c r="AX65" i="3" s="1"/>
  <c r="AM65" i="3"/>
  <c r="AR65" i="3" s="1"/>
  <c r="AW65" i="3" s="1"/>
  <c r="AP65" i="3"/>
  <c r="AU65" i="3" s="1"/>
  <c r="AZ65" i="3" s="1"/>
  <c r="AL65" i="3"/>
  <c r="AQ65" i="3" s="1"/>
  <c r="AV65" i="3" s="1"/>
  <c r="AM68" i="3"/>
  <c r="AR68" i="3" s="1"/>
  <c r="AW68" i="3" s="1"/>
  <c r="AP68" i="3"/>
  <c r="AU68" i="3" s="1"/>
  <c r="AZ68" i="3" s="1"/>
  <c r="AL68" i="3"/>
  <c r="AQ68" i="3" s="1"/>
  <c r="AV68" i="3" s="1"/>
  <c r="AO68" i="3"/>
  <c r="AT68" i="3" s="1"/>
  <c r="AY68" i="3" s="1"/>
  <c r="AN68" i="3"/>
  <c r="AS68" i="3" s="1"/>
  <c r="AX68" i="3" s="1"/>
  <c r="AN7" i="3"/>
  <c r="AS7" i="3" s="1"/>
  <c r="AX7" i="3" s="1"/>
  <c r="AM7" i="3"/>
  <c r="AR7" i="3" s="1"/>
  <c r="AW7" i="3" s="1"/>
  <c r="AP7" i="3"/>
  <c r="AU7" i="3" s="1"/>
  <c r="AZ7" i="3" s="1"/>
  <c r="AL7" i="3"/>
  <c r="AQ7" i="3" s="1"/>
  <c r="AV7" i="3" s="1"/>
  <c r="AO7" i="3"/>
  <c r="AT7" i="3" s="1"/>
  <c r="AY7" i="3" s="1"/>
  <c r="AN62" i="3"/>
  <c r="AS62" i="3" s="1"/>
  <c r="AX62" i="3" s="1"/>
  <c r="AM62" i="3"/>
  <c r="AR62" i="3" s="1"/>
  <c r="AW62" i="3" s="1"/>
  <c r="AP62" i="3"/>
  <c r="AU62" i="3" s="1"/>
  <c r="AZ62" i="3" s="1"/>
  <c r="AL62" i="3"/>
  <c r="AQ62" i="3" s="1"/>
  <c r="AV62" i="3" s="1"/>
  <c r="AO62" i="3"/>
  <c r="AT62" i="3" s="1"/>
  <c r="AY62" i="3" s="1"/>
  <c r="AN14" i="3"/>
  <c r="AS14" i="3" s="1"/>
  <c r="AX14" i="3" s="1"/>
  <c r="AM14" i="3"/>
  <c r="AR14" i="3" s="1"/>
  <c r="AW14" i="3" s="1"/>
  <c r="AP14" i="3"/>
  <c r="AU14" i="3" s="1"/>
  <c r="AZ14" i="3" s="1"/>
  <c r="AL14" i="3"/>
  <c r="AQ14" i="3" s="1"/>
  <c r="AV14" i="3" s="1"/>
  <c r="AO14" i="3"/>
  <c r="AT14" i="3" s="1"/>
  <c r="AY14" i="3" s="1"/>
  <c r="AM52" i="3"/>
  <c r="AR52" i="3" s="1"/>
  <c r="AW52" i="3" s="1"/>
  <c r="AP52" i="3"/>
  <c r="AU52" i="3" s="1"/>
  <c r="AZ52" i="3" s="1"/>
  <c r="AL52" i="3"/>
  <c r="AQ52" i="3" s="1"/>
  <c r="AV52" i="3" s="1"/>
  <c r="AO52" i="3"/>
  <c r="AT52" i="3" s="1"/>
  <c r="AY52" i="3" s="1"/>
  <c r="AN52" i="3"/>
  <c r="AS52" i="3" s="1"/>
  <c r="AX52" i="3" s="1"/>
  <c r="AN23" i="3"/>
  <c r="AS23" i="3" s="1"/>
  <c r="AX23" i="3" s="1"/>
  <c r="AM23" i="3"/>
  <c r="AR23" i="3" s="1"/>
  <c r="AW23" i="3" s="1"/>
  <c r="AP23" i="3"/>
  <c r="AU23" i="3" s="1"/>
  <c r="AZ23" i="3" s="1"/>
  <c r="AL23" i="3"/>
  <c r="AQ23" i="3" s="1"/>
  <c r="AV23" i="3" s="1"/>
  <c r="AO23" i="3"/>
  <c r="AT23" i="3" s="1"/>
  <c r="AY23" i="3" s="1"/>
  <c r="AM13" i="3"/>
  <c r="AR13" i="3" s="1"/>
  <c r="AW13" i="3" s="1"/>
  <c r="AP13" i="3"/>
  <c r="AU13" i="3" s="1"/>
  <c r="AZ13" i="3" s="1"/>
  <c r="AL13" i="3"/>
  <c r="AQ13" i="3" s="1"/>
  <c r="AV13" i="3" s="1"/>
  <c r="AO13" i="3"/>
  <c r="AT13" i="3" s="1"/>
  <c r="AY13" i="3" s="1"/>
  <c r="AN13" i="3"/>
  <c r="AS13" i="3" s="1"/>
  <c r="AX13" i="3" s="1"/>
  <c r="AN47" i="3"/>
  <c r="AS47" i="3" s="1"/>
  <c r="AX47" i="3" s="1"/>
  <c r="AM47" i="3"/>
  <c r="AR47" i="3" s="1"/>
  <c r="AW47" i="3" s="1"/>
  <c r="AP47" i="3"/>
  <c r="AU47" i="3" s="1"/>
  <c r="AZ47" i="3" s="1"/>
  <c r="AL47" i="3"/>
  <c r="AQ47" i="3" s="1"/>
  <c r="AV47" i="3" s="1"/>
  <c r="AO47" i="3"/>
  <c r="AT47" i="3" s="1"/>
  <c r="AY47" i="3" s="1"/>
  <c r="AM21" i="3"/>
  <c r="AR21" i="3" s="1"/>
  <c r="AW21" i="3" s="1"/>
  <c r="AP21" i="3"/>
  <c r="AU21" i="3" s="1"/>
  <c r="AZ21" i="3" s="1"/>
  <c r="AL21" i="3"/>
  <c r="AQ21" i="3" s="1"/>
  <c r="AV21" i="3" s="1"/>
  <c r="AO21" i="3"/>
  <c r="AT21" i="3" s="1"/>
  <c r="AY21" i="3" s="1"/>
  <c r="AN21" i="3"/>
  <c r="AS21" i="3" s="1"/>
  <c r="AX21" i="3" s="1"/>
  <c r="AO25" i="3"/>
  <c r="AT25" i="3" s="1"/>
  <c r="AY25" i="3" s="1"/>
  <c r="AN25" i="3"/>
  <c r="AS25" i="3" s="1"/>
  <c r="AX25" i="3" s="1"/>
  <c r="AM25" i="3"/>
  <c r="AR25" i="3" s="1"/>
  <c r="AW25" i="3" s="1"/>
  <c r="AP25" i="3"/>
  <c r="AU25" i="3" s="1"/>
  <c r="AZ25" i="3" s="1"/>
  <c r="AL25" i="3"/>
  <c r="AQ25" i="3" s="1"/>
  <c r="AV25" i="3" s="1"/>
  <c r="AM45" i="3"/>
  <c r="AR45" i="3" s="1"/>
  <c r="AW45" i="3" s="1"/>
  <c r="AP45" i="3"/>
  <c r="AU45" i="3" s="1"/>
  <c r="AZ45" i="3" s="1"/>
  <c r="AL45" i="3"/>
  <c r="AQ45" i="3" s="1"/>
  <c r="AV45" i="3" s="1"/>
  <c r="AO45" i="3"/>
  <c r="AT45" i="3" s="1"/>
  <c r="AY45" i="3" s="1"/>
  <c r="AN45" i="3"/>
  <c r="AS45" i="3" s="1"/>
  <c r="AX45" i="3" s="1"/>
  <c r="AP34" i="3"/>
  <c r="AU34" i="3" s="1"/>
  <c r="AZ34" i="3" s="1"/>
  <c r="AL34" i="3"/>
  <c r="AQ34" i="3" s="1"/>
  <c r="AV34" i="3" s="1"/>
  <c r="AO34" i="3"/>
  <c r="AT34" i="3" s="1"/>
  <c r="AY34" i="3" s="1"/>
  <c r="AM34" i="3"/>
  <c r="AR34" i="3" s="1"/>
  <c r="AW34" i="3" s="1"/>
  <c r="AN34" i="3"/>
  <c r="AS34" i="3" s="1"/>
  <c r="AX34" i="3" s="1"/>
  <c r="AP59" i="3"/>
  <c r="AU59" i="3" s="1"/>
  <c r="AZ59" i="3" s="1"/>
  <c r="AL59" i="3"/>
  <c r="AQ59" i="3" s="1"/>
  <c r="AV59" i="3" s="1"/>
  <c r="AO59" i="3"/>
  <c r="AT59" i="3" s="1"/>
  <c r="AY59" i="3" s="1"/>
  <c r="AN59" i="3"/>
  <c r="AS59" i="3" s="1"/>
  <c r="AX59" i="3" s="1"/>
  <c r="AM59" i="3"/>
  <c r="AR59" i="3" s="1"/>
  <c r="AW59" i="3" s="1"/>
  <c r="AM36" i="3"/>
  <c r="AR36" i="3" s="1"/>
  <c r="AW36" i="3" s="1"/>
  <c r="AP36" i="3"/>
  <c r="AU36" i="3" s="1"/>
  <c r="AZ36" i="3" s="1"/>
  <c r="AL36" i="3"/>
  <c r="AQ36" i="3" s="1"/>
  <c r="AV36" i="3" s="1"/>
  <c r="AO36" i="3"/>
  <c r="AT36" i="3" s="1"/>
  <c r="AY36" i="3" s="1"/>
  <c r="AN36" i="3"/>
  <c r="AS36" i="3" s="1"/>
  <c r="AX36" i="3" s="1"/>
  <c r="AM12" i="3"/>
  <c r="AR12" i="3" s="1"/>
  <c r="AW12" i="3" s="1"/>
  <c r="AP12" i="3"/>
  <c r="AU12" i="3" s="1"/>
  <c r="AZ12" i="3" s="1"/>
  <c r="AL12" i="3"/>
  <c r="AQ12" i="3" s="1"/>
  <c r="AV12" i="3" s="1"/>
  <c r="AO12" i="3"/>
  <c r="AT12" i="3" s="1"/>
  <c r="AY12" i="3" s="1"/>
  <c r="AN12" i="3"/>
  <c r="AS12" i="3" s="1"/>
  <c r="AX12" i="3" s="1"/>
  <c r="AN30" i="3"/>
  <c r="AS30" i="3" s="1"/>
  <c r="AX30" i="3" s="1"/>
  <c r="AM30" i="3"/>
  <c r="AR30" i="3" s="1"/>
  <c r="AW30" i="3" s="1"/>
  <c r="AP30" i="3"/>
  <c r="AU30" i="3" s="1"/>
  <c r="AZ30" i="3" s="1"/>
  <c r="AL30" i="3"/>
  <c r="AQ30" i="3" s="1"/>
  <c r="AV30" i="3" s="1"/>
  <c r="AO30" i="3"/>
  <c r="AT30" i="3" s="1"/>
  <c r="AY30" i="3" s="1"/>
  <c r="AM20" i="3"/>
  <c r="AR20" i="3" s="1"/>
  <c r="AW20" i="3" s="1"/>
  <c r="AP20" i="3"/>
  <c r="AU20" i="3" s="1"/>
  <c r="AZ20" i="3" s="1"/>
  <c r="AL20" i="3"/>
  <c r="AQ20" i="3" s="1"/>
  <c r="AV20" i="3" s="1"/>
  <c r="AO20" i="3"/>
  <c r="AT20" i="3" s="1"/>
  <c r="AY20" i="3" s="1"/>
  <c r="AN20" i="3"/>
  <c r="AS20" i="3" s="1"/>
  <c r="AX20" i="3" s="1"/>
  <c r="AN6" i="3"/>
  <c r="AS6" i="3" s="1"/>
  <c r="AX6" i="3" s="1"/>
  <c r="AO6" i="3"/>
  <c r="AT6" i="3" s="1"/>
  <c r="AY6" i="3" s="1"/>
  <c r="AM6" i="3"/>
  <c r="AR6" i="3" s="1"/>
  <c r="AW6" i="3" s="1"/>
  <c r="AP6" i="3"/>
  <c r="AU6" i="3" s="1"/>
  <c r="AZ6" i="3" s="1"/>
  <c r="AL6" i="3"/>
  <c r="AQ6" i="3" s="1"/>
  <c r="AV6" i="3" s="1"/>
  <c r="BA6" i="3" s="1"/>
  <c r="AP11" i="3"/>
  <c r="AU11" i="3" s="1"/>
  <c r="AZ11" i="3" s="1"/>
  <c r="AL11" i="3"/>
  <c r="AQ11" i="3" s="1"/>
  <c r="AV11" i="3" s="1"/>
  <c r="AO11" i="3"/>
  <c r="AT11" i="3" s="1"/>
  <c r="AY11" i="3" s="1"/>
  <c r="AN11" i="3"/>
  <c r="AS11" i="3" s="1"/>
  <c r="AX11" i="3" s="1"/>
  <c r="AM11" i="3"/>
  <c r="AR11" i="3" s="1"/>
  <c r="AW11" i="3" s="1"/>
  <c r="AO8" i="3"/>
  <c r="AT8" i="3" s="1"/>
  <c r="AY8" i="3" s="1"/>
  <c r="AP8" i="3"/>
  <c r="AU8" i="3" s="1"/>
  <c r="AZ8" i="3" s="1"/>
  <c r="AL8" i="3"/>
  <c r="AQ8" i="3" s="1"/>
  <c r="AV8" i="3" s="1"/>
  <c r="AN8" i="3"/>
  <c r="AS8" i="3" s="1"/>
  <c r="AX8" i="3" s="1"/>
  <c r="AM8" i="3"/>
  <c r="AR8" i="3" s="1"/>
  <c r="AW8" i="3" s="1"/>
  <c r="AO40" i="3"/>
  <c r="AT40" i="3" s="1"/>
  <c r="AY40" i="3" s="1"/>
  <c r="AP40" i="3"/>
  <c r="AU40" i="3" s="1"/>
  <c r="AZ40" i="3" s="1"/>
  <c r="AN40" i="3"/>
  <c r="AS40" i="3" s="1"/>
  <c r="AX40" i="3" s="1"/>
  <c r="AM40" i="3"/>
  <c r="AR40" i="3" s="1"/>
  <c r="AW40" i="3" s="1"/>
  <c r="AL40" i="3"/>
  <c r="AQ40" i="3" s="1"/>
  <c r="AV40" i="3" s="1"/>
  <c r="BA40" i="3" s="1"/>
  <c r="W59" i="2"/>
  <c r="X59" i="2" s="1"/>
  <c r="Y59" i="2" s="1"/>
  <c r="Z59" i="2" s="1"/>
  <c r="W42" i="2"/>
  <c r="X42" i="2" s="1"/>
  <c r="Y42" i="2" s="1"/>
  <c r="Z42" i="2" s="1"/>
  <c r="W44" i="2"/>
  <c r="X44" i="2" s="1"/>
  <c r="Y44" i="2" s="1"/>
  <c r="Z44" i="2" s="1"/>
  <c r="W50" i="2"/>
  <c r="X50" i="2" s="1"/>
  <c r="Y50" i="2" s="1"/>
  <c r="Z50" i="2" s="1"/>
  <c r="W46" i="2"/>
  <c r="X46" i="2" s="1"/>
  <c r="Y46" i="2" s="1"/>
  <c r="Z46" i="2" s="1"/>
  <c r="W47" i="2"/>
  <c r="X47" i="2" s="1"/>
  <c r="Y47" i="2" s="1"/>
  <c r="Z47" i="2" s="1"/>
  <c r="W58" i="2"/>
  <c r="X58" i="2" s="1"/>
  <c r="Y58" i="2" s="1"/>
  <c r="Z58" i="2" s="1"/>
  <c r="W55" i="2"/>
  <c r="X55" i="2" s="1"/>
  <c r="Y55" i="2" s="1"/>
  <c r="Z55" i="2" s="1"/>
  <c r="X43" i="2"/>
  <c r="Y43" i="2" s="1"/>
  <c r="Z43" i="2" s="1"/>
  <c r="W57" i="2"/>
  <c r="X57" i="2" s="1"/>
  <c r="Y57" i="2" s="1"/>
  <c r="Z57" i="2" s="1"/>
  <c r="W53" i="2"/>
  <c r="X53" i="2" s="1"/>
  <c r="Y53" i="2" s="1"/>
  <c r="Z53" i="2" s="1"/>
  <c r="W54" i="2"/>
  <c r="X54" i="2" s="1"/>
  <c r="Y54" i="2" s="1"/>
  <c r="Z54" i="2" s="1"/>
  <c r="W49" i="2"/>
  <c r="X49" i="2" s="1"/>
  <c r="Y49" i="2" s="1"/>
  <c r="Z49" i="2" s="1"/>
  <c r="W45" i="2"/>
  <c r="X45" i="2" s="1"/>
  <c r="Y45" i="2" s="1"/>
  <c r="Z45" i="2" s="1"/>
  <c r="W48" i="2"/>
  <c r="X48" i="2" s="1"/>
  <c r="Y48" i="2" s="1"/>
  <c r="Z48" i="2" s="1"/>
  <c r="BA68" i="3" l="1"/>
  <c r="BA32" i="3"/>
  <c r="BA8" i="3"/>
  <c r="BA25" i="3"/>
  <c r="BA65" i="3"/>
  <c r="BA12" i="3"/>
  <c r="BA34" i="3"/>
  <c r="BA13" i="3"/>
  <c r="BA7" i="3"/>
  <c r="BA30" i="3"/>
  <c r="BA47" i="3"/>
  <c r="BA52" i="3"/>
  <c r="BA59" i="3"/>
  <c r="BA62" i="3"/>
  <c r="BA45" i="3"/>
  <c r="BA23" i="3"/>
  <c r="BA11" i="3"/>
  <c r="BA36" i="3"/>
  <c r="BA20" i="3"/>
  <c r="BA21" i="3"/>
  <c r="BA14" i="3"/>
  <c r="BA44" i="3"/>
</calcChain>
</file>

<file path=xl/sharedStrings.xml><?xml version="1.0" encoding="utf-8"?>
<sst xmlns="http://schemas.openxmlformats.org/spreadsheetml/2006/main" count="361" uniqueCount="261">
  <si>
    <t>V</t>
  </si>
  <si>
    <t>QDF</t>
  </si>
  <si>
    <t>laneCapacity</t>
  </si>
  <si>
    <t>D/C</t>
  </si>
  <si>
    <t>D</t>
  </si>
  <si>
    <t>n</t>
  </si>
  <si>
    <t>P</t>
  </si>
  <si>
    <t>mu</t>
  </si>
  <si>
    <t>D/C ((-n)*D</t>
  </si>
  <si>
    <t>s</t>
  </si>
  <si>
    <t>vc/[P^s]</t>
  </si>
  <si>
    <t>vc</t>
  </si>
  <si>
    <t>variables</t>
  </si>
  <si>
    <t>value</t>
  </si>
  <si>
    <t>unit</t>
  </si>
  <si>
    <t>mph</t>
  </si>
  <si>
    <t>veh/lane/hour</t>
  </si>
  <si>
    <t>veh</t>
  </si>
  <si>
    <t>hour</t>
  </si>
  <si>
    <t>Q_t2</t>
  </si>
  <si>
    <t>length</t>
  </si>
  <si>
    <t>gamma</t>
  </si>
  <si>
    <t>t2</t>
  </si>
  <si>
    <t>t0</t>
  </si>
  <si>
    <t>t2-P/2</t>
  </si>
  <si>
    <t>t3</t>
  </si>
  <si>
    <t>t2+P/2</t>
  </si>
  <si>
    <t>t</t>
  </si>
  <si>
    <t>Q(t)</t>
  </si>
  <si>
    <t>1/4*gamma*(t-t0)^2(t-t3)^2</t>
  </si>
  <si>
    <t>v(t)</t>
  </si>
  <si>
    <t>w(t)</t>
  </si>
  <si>
    <t>Q(t)/mu</t>
  </si>
  <si>
    <t>Demand</t>
  </si>
  <si>
    <t>ultimate capapcity</t>
  </si>
  <si>
    <t>critical_speed (or cut off speed)</t>
  </si>
  <si>
    <t>v_t2</t>
  </si>
  <si>
    <t>a</t>
  </si>
  <si>
    <t>b</t>
  </si>
  <si>
    <t>c</t>
  </si>
  <si>
    <t>critical density</t>
  </si>
  <si>
    <t>m</t>
  </si>
  <si>
    <t>free_speed</t>
  </si>
  <si>
    <t>x</t>
  </si>
  <si>
    <t>speed</t>
  </si>
  <si>
    <t>speed_uncongested</t>
  </si>
  <si>
    <t>Gamma</t>
  </si>
  <si>
    <t>Length</t>
  </si>
  <si>
    <t>wt_t2</t>
  </si>
  <si>
    <t>Period</t>
  </si>
  <si>
    <t>~P</t>
  </si>
  <si>
    <t>wt_cd</t>
  </si>
  <si>
    <t>adjustment</t>
  </si>
  <si>
    <t>formula 1</t>
  </si>
  <si>
    <t>formula 2</t>
  </si>
  <si>
    <t>GAMMA</t>
  </si>
  <si>
    <t>from_node_id</t>
  </si>
  <si>
    <t>to_node_id</t>
  </si>
  <si>
    <t>link_id</t>
  </si>
  <si>
    <t>LINK_ID</t>
  </si>
  <si>
    <t>30939-32497</t>
  </si>
  <si>
    <t>20315-39872</t>
  </si>
  <si>
    <t>20340-26666</t>
  </si>
  <si>
    <t>22362-41519</t>
  </si>
  <si>
    <t>22441-31096</t>
  </si>
  <si>
    <t>22652-22753</t>
  </si>
  <si>
    <t>22686-20331</t>
  </si>
  <si>
    <t>22753-22686</t>
  </si>
  <si>
    <t>23514-28924</t>
  </si>
  <si>
    <t>23515-26670</t>
  </si>
  <si>
    <t>24201-36951</t>
  </si>
  <si>
    <t>24646-23514</t>
  </si>
  <si>
    <t>24651-24646</t>
  </si>
  <si>
    <t>24652-30135</t>
  </si>
  <si>
    <t>24654-24657</t>
  </si>
  <si>
    <t>24655-24652</t>
  </si>
  <si>
    <t>24656-30131</t>
  </si>
  <si>
    <t>24657-30136</t>
  </si>
  <si>
    <t>24659-30132</t>
  </si>
  <si>
    <t>24749-22441</t>
  </si>
  <si>
    <t>24751-32498</t>
  </si>
  <si>
    <t>24797-25500</t>
  </si>
  <si>
    <t>24799-25245</t>
  </si>
  <si>
    <t>24868-40511</t>
  </si>
  <si>
    <t>24897-28932</t>
  </si>
  <si>
    <t>25241-34386</t>
  </si>
  <si>
    <t>25245-25565</t>
  </si>
  <si>
    <t>25500-25605</t>
  </si>
  <si>
    <t>25565-24797</t>
  </si>
  <si>
    <t>25605-20315</t>
  </si>
  <si>
    <t>26642-31260</t>
  </si>
  <si>
    <t>26666-30336</t>
  </si>
  <si>
    <t>26667-30130</t>
  </si>
  <si>
    <t>26670-26676</t>
  </si>
  <si>
    <t>26675-30338</t>
  </si>
  <si>
    <t>26676-26642</t>
  </si>
  <si>
    <t>26681-32508</t>
  </si>
  <si>
    <t>28929-24897</t>
  </si>
  <si>
    <t>28932-33237</t>
  </si>
  <si>
    <t>28936-24800</t>
  </si>
  <si>
    <t>28937-25241</t>
  </si>
  <si>
    <t>28942-34385</t>
  </si>
  <si>
    <t>30130-24659</t>
  </si>
  <si>
    <t>30132-30137</t>
  </si>
  <si>
    <t>30133-24656</t>
  </si>
  <si>
    <t>30134-24654</t>
  </si>
  <si>
    <t>30135-41518</t>
  </si>
  <si>
    <t>30136-30133</t>
  </si>
  <si>
    <t>30137-24655</t>
  </si>
  <si>
    <t>30336-23515</t>
  </si>
  <si>
    <t>30338-33528</t>
  </si>
  <si>
    <t>31096-41348</t>
  </si>
  <si>
    <t>31260-32506</t>
  </si>
  <si>
    <t>31401-26681</t>
  </si>
  <si>
    <t>32497-24751</t>
  </si>
  <si>
    <t>32501-31401</t>
  </si>
  <si>
    <t>32506-24749</t>
  </si>
  <si>
    <t>32508-26675</t>
  </si>
  <si>
    <t>33237-28937</t>
  </si>
  <si>
    <t>33528-24201</t>
  </si>
  <si>
    <t>34385-28936</t>
  </si>
  <si>
    <t>34386-24828</t>
  </si>
  <si>
    <t>36949-24868</t>
  </si>
  <si>
    <t>36951-26667</t>
  </si>
  <si>
    <t>40511-28929</t>
  </si>
  <si>
    <t>41518-36667</t>
  </si>
  <si>
    <t>ABNODE</t>
  </si>
  <si>
    <t>lanes</t>
  </si>
  <si>
    <t>capacity</t>
  </si>
  <si>
    <t>VDF_STA_VOC1</t>
  </si>
  <si>
    <t>VDF_STA_VOC2</t>
  </si>
  <si>
    <t>VDF_STA_VOC3</t>
  </si>
  <si>
    <t>VDF_STA_VOC4</t>
  </si>
  <si>
    <t>VDF_STA_speed</t>
  </si>
  <si>
    <t>VDF_STA_speed1</t>
  </si>
  <si>
    <t>VDF_STA_speed2</t>
  </si>
  <si>
    <t>VDF_STA_speed3</t>
  </si>
  <si>
    <t>VDF_STA_speed4</t>
  </si>
  <si>
    <t>VDF_STA_volume1</t>
  </si>
  <si>
    <t>VDF_STA_volume2</t>
  </si>
  <si>
    <t>VDF_STA_volume3</t>
  </si>
  <si>
    <t>VDF_STA_volume4</t>
  </si>
  <si>
    <t>QDM_m_factor</t>
  </si>
  <si>
    <t>QDM_vf</t>
  </si>
  <si>
    <t>QDM_cap</t>
  </si>
  <si>
    <t>QDM_vc</t>
  </si>
  <si>
    <t>QDM_kc</t>
  </si>
  <si>
    <t>QDM_D</t>
  </si>
  <si>
    <t>QDM_DC_ratio</t>
  </si>
  <si>
    <t>QDM_t0</t>
  </si>
  <si>
    <t>QDM_t3</t>
  </si>
  <si>
    <t>QDM_P</t>
  </si>
  <si>
    <t>QDM_speed</t>
  </si>
  <si>
    <t>vf</t>
    <phoneticPr fontId="3" type="noConversion"/>
  </si>
  <si>
    <t>vf</t>
    <phoneticPr fontId="3" type="noConversion"/>
  </si>
  <si>
    <t>given</t>
    <phoneticPr fontId="3" type="noConversion"/>
  </si>
  <si>
    <t>nl</t>
    <phoneticPr fontId="3" type="noConversion"/>
  </si>
  <si>
    <t>l</t>
    <phoneticPr fontId="3" type="noConversion"/>
  </si>
  <si>
    <t>V (given)</t>
    <phoneticPr fontId="3" type="noConversion"/>
  </si>
  <si>
    <t>QDM_n_factor</t>
    <phoneticPr fontId="3" type="noConversion"/>
  </si>
  <si>
    <t>QDM_s_factor</t>
    <phoneticPr fontId="3" type="noConversion"/>
  </si>
  <si>
    <t>s (given)</t>
    <phoneticPr fontId="3" type="noConversion"/>
  </si>
  <si>
    <t>n (given)</t>
    <phoneticPr fontId="3" type="noConversion"/>
  </si>
  <si>
    <t>t0 (given)</t>
    <phoneticPr fontId="3" type="noConversion"/>
  </si>
  <si>
    <t>t3 (given)</t>
  </si>
  <si>
    <t>QDM_V</t>
    <phoneticPr fontId="3" type="noConversion"/>
  </si>
  <si>
    <t>P=(D/C)^n</t>
    <phoneticPr fontId="3" type="noConversion"/>
  </si>
  <si>
    <t>vh06</t>
  </si>
  <si>
    <t>vh07</t>
  </si>
  <si>
    <t>vh08</t>
  </si>
  <si>
    <t>vh09</t>
  </si>
  <si>
    <t>vh10</t>
  </si>
  <si>
    <t>observed</t>
    <phoneticPr fontId="3" type="noConversion"/>
  </si>
  <si>
    <t>QDM_mu</t>
    <phoneticPr fontId="3" type="noConversion"/>
  </si>
  <si>
    <t>mu=D/P</t>
    <phoneticPr fontId="3" type="noConversion"/>
  </si>
  <si>
    <t>QDM_vt2</t>
    <phoneticPr fontId="3" type="noConversion"/>
  </si>
  <si>
    <t>QDM_Qt2</t>
    <phoneticPr fontId="3" type="noConversion"/>
  </si>
  <si>
    <t>L/vt2*mu</t>
    <phoneticPr fontId="4" type="noConversion"/>
  </si>
  <si>
    <t>Qt2=L/vt2*mu</t>
    <phoneticPr fontId="3" type="noConversion"/>
  </si>
  <si>
    <t>QDM_gamma</t>
    <phoneticPr fontId="3" type="noConversion"/>
  </si>
  <si>
    <t>Q_t2*4 /(P/2)^4</t>
    <phoneticPr fontId="4" type="noConversion"/>
  </si>
  <si>
    <t>gamma=Qt2*4 /(P/2)^4</t>
    <phoneticPr fontId="3" type="noConversion"/>
  </si>
  <si>
    <t>t0</t>
    <phoneticPr fontId="3" type="noConversion"/>
  </si>
  <si>
    <t>t2</t>
    <phoneticPr fontId="3" type="noConversion"/>
  </si>
  <si>
    <t>t3</t>
    <phoneticPr fontId="3" type="noConversion"/>
  </si>
  <si>
    <t>QDM_qhf</t>
    <phoneticPr fontId="3" type="noConversion"/>
  </si>
  <si>
    <t>C</t>
    <phoneticPr fontId="3" type="noConversion"/>
  </si>
  <si>
    <t>D/C</t>
    <phoneticPr fontId="3" type="noConversion"/>
  </si>
  <si>
    <t>vc/vt2=(D/C)^(s*n)</t>
    <phoneticPr fontId="3" type="noConversion"/>
  </si>
  <si>
    <t>45 from HCM</t>
  </si>
  <si>
    <t>vc=cap/kc</t>
  </si>
  <si>
    <t>2ln2/ln(vf/vc)</t>
  </si>
  <si>
    <t>m (derived)</t>
  </si>
  <si>
    <t>evh06</t>
  </si>
  <si>
    <t>evh07</t>
  </si>
  <si>
    <t>evh08</t>
  </si>
  <si>
    <t>evh09</t>
  </si>
  <si>
    <t>evh10</t>
  </si>
  <si>
    <t>evhdiff06</t>
  </si>
  <si>
    <t>evhdiff07</t>
  </si>
  <si>
    <t>evhdiff08</t>
  </si>
  <si>
    <t>evhdiff09</t>
  </si>
  <si>
    <t>evhdiff10</t>
  </si>
  <si>
    <t>MAE_evhdiff06</t>
  </si>
  <si>
    <t>MAE_v</t>
  </si>
  <si>
    <t>ultimate capacity</t>
  </si>
  <si>
    <t>free-speed</t>
  </si>
  <si>
    <t xml:space="preserve">n </t>
  </si>
  <si>
    <t xml:space="preserve">VC </t>
  </si>
  <si>
    <t>Vf</t>
  </si>
  <si>
    <t>tau</t>
  </si>
  <si>
    <t>limits without lhopital - Log-Sum-Exp as an approximation of min function - Mathematics Stack Exchange</t>
  </si>
  <si>
    <t>kc</t>
  </si>
  <si>
    <t>BPR (ADOT)</t>
  </si>
  <si>
    <t>vc_BPR when D/C=1</t>
  </si>
  <si>
    <t>qvdf calibration</t>
    <phoneticPr fontId="4" type="noConversion"/>
  </si>
  <si>
    <t>Fundamental diagram calibration</t>
    <phoneticPr fontId="4" type="noConversion"/>
  </si>
  <si>
    <t>assumption 1</t>
    <phoneticPr fontId="4" type="noConversion"/>
  </si>
  <si>
    <t>calibration formula</t>
  </si>
  <si>
    <t>calibration formula</t>
    <phoneticPr fontId="4" type="noConversion"/>
  </si>
  <si>
    <t>assumption 2</t>
    <phoneticPr fontId="4" type="noConversion"/>
  </si>
  <si>
    <t>speed_congested</t>
    <phoneticPr fontId="4" type="noConversion"/>
  </si>
  <si>
    <t>derive the overall speed-demand realtionship by maximizing congested and uncongested speed</t>
    <phoneticPr fontId="4" type="noConversion"/>
  </si>
  <si>
    <t>queue related formula</t>
    <phoneticPr fontId="4" type="noConversion"/>
  </si>
  <si>
    <t>n*s</t>
    <phoneticPr fontId="4" type="noConversion"/>
  </si>
  <si>
    <t>formula/meaning</t>
    <phoneticPr fontId="4" type="noConversion"/>
  </si>
  <si>
    <t>QDF</t>
    <phoneticPr fontId="4" type="noConversion"/>
  </si>
  <si>
    <t>vc</t>
    <phoneticPr fontId="4" type="noConversion"/>
  </si>
  <si>
    <t>t2</t>
    <phoneticPr fontId="4" type="noConversion"/>
  </si>
  <si>
    <t>vt2</t>
    <phoneticPr fontId="4" type="noConversion"/>
  </si>
  <si>
    <t>V/QDF</t>
    <phoneticPr fontId="4" type="noConversion"/>
  </si>
  <si>
    <t>(D/C)^n</t>
    <phoneticPr fontId="4" type="noConversion"/>
  </si>
  <si>
    <t>hourly capacity per lane</t>
    <phoneticPr fontId="4" type="noConversion"/>
  </si>
  <si>
    <t>length of link</t>
    <phoneticPr fontId="4" type="noConversion"/>
  </si>
  <si>
    <t>m PAQ</t>
    <phoneticPr fontId="4" type="noConversion"/>
  </si>
  <si>
    <t>(t2-t0)/(t3-t0)</t>
    <phoneticPr fontId="4" type="noConversion"/>
  </si>
  <si>
    <t>total volume during assignment period</t>
    <phoneticPr fontId="4" type="noConversion"/>
  </si>
  <si>
    <t>L/[(w(t)+1/vc]</t>
    <phoneticPr fontId="4" type="noConversion"/>
  </si>
  <si>
    <t>queue related derivation</t>
    <phoneticPr fontId="4" type="noConversion"/>
  </si>
  <si>
    <t>FD calibration m</t>
    <phoneticPr fontId="3" type="noConversion"/>
  </si>
  <si>
    <t>D=V/QDF</t>
    <phoneticPr fontId="3" type="noConversion"/>
  </si>
  <si>
    <t>QDF (given)</t>
    <phoneticPr fontId="3" type="noConversion"/>
  </si>
  <si>
    <t>start time of assignment period ts</t>
    <phoneticPr fontId="4" type="noConversion"/>
  </si>
  <si>
    <t>end time of assignment period te</t>
    <phoneticPr fontId="4" type="noConversion"/>
  </si>
  <si>
    <t>time with lowest speed
t2=(ts+te)/2</t>
    <phoneticPr fontId="4" type="noConversion"/>
  </si>
  <si>
    <t>observed speed</t>
    <phoneticPr fontId="3" type="noConversion"/>
  </si>
  <si>
    <t>estimated speed</t>
    <phoneticPr fontId="3" type="noConversion"/>
  </si>
  <si>
    <t>static traffic assignment</t>
    <phoneticPr fontId="3" type="noConversion"/>
  </si>
  <si>
    <t>beta=n*s</t>
    <phoneticPr fontId="4" type="noConversion"/>
  </si>
  <si>
    <t>alpha=w_bar/wt2=8/15</t>
    <phoneticPr fontId="4" type="noConversion"/>
  </si>
  <si>
    <t>given</t>
    <phoneticPr fontId="4" type="noConversion"/>
  </si>
  <si>
    <t>speed and demand analysis under uncongested and congested scenario</t>
    <phoneticPr fontId="4" type="noConversion"/>
  </si>
  <si>
    <t>BPR_alpha</t>
    <phoneticPr fontId="4" type="noConversion"/>
  </si>
  <si>
    <t>BPR_beta</t>
    <phoneticPr fontId="4" type="noConversion"/>
  </si>
  <si>
    <t>QVDF speed</t>
    <phoneticPr fontId="4" type="noConversion"/>
  </si>
  <si>
    <t>BPR speed</t>
    <phoneticPr fontId="4" type="noConversion"/>
  </si>
  <si>
    <t>LOGSUM speed</t>
    <phoneticPr fontId="4" type="noConversion"/>
  </si>
  <si>
    <t>Step 2: Derive time-dependent speed using calibrated QVDF (example)</t>
    <phoneticPr fontId="4" type="noConversion"/>
  </si>
  <si>
    <t>Step 3: Derive time-dependent speed using calibrated QVDF (link level)</t>
    <phoneticPr fontId="3" type="noConversion"/>
  </si>
  <si>
    <t xml:space="preserve">Step 1.2: Use LOGSUM to change the way of calculating average speed </t>
    <phoneticPr fontId="4" type="noConversion"/>
  </si>
  <si>
    <t>Step 1.1: Fundamental diagram and qvdf calibration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</si>
</sst>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/>
    <xf numFmtId="0" fontId="0" fillId="0" borderId="0" xfId="0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2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49" fontId="5" fillId="0" borderId="0" xfId="0" applyNumberFormat="1" applyFont="1" applyFill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1"/>
    <xf numFmtId="0" fontId="0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7" borderId="0" xfId="0" applyFont="1" applyFill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0" xfId="0" applyFont="1" applyFill="1" applyAlignment="1">
      <alignment wrapText="1"/>
    </xf>
    <xf numFmtId="0" fontId="7" fillId="7" borderId="0" xfId="0" applyFont="1" applyFill="1" applyAlignment="1">
      <alignment wrapText="1"/>
    </xf>
    <xf numFmtId="0" fontId="5" fillId="7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volume-speed FD</a:t>
            </a:r>
          </a:p>
        </c:rich>
      </c:tx>
      <c:layout>
        <c:manualLayout>
          <c:xMode val="edge"/>
          <c:yMode val="edge"/>
          <c:x val="0.45592053828125323"/>
          <c:y val="2.1418633086447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'Step1.1_FD&amp;QVDF'!$Y$19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'Step1.1_FD&amp;QVDF'!$B$20:$B$64</c:f>
              <c:numCache>
                <c:formatCode>General</c:formatCode>
                <c:ptCount val="45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1720</c:v>
                </c:pt>
                <c:pt idx="19">
                  <c:v>1740</c:v>
                </c:pt>
                <c:pt idx="20">
                  <c:v>1760</c:v>
                </c:pt>
                <c:pt idx="21">
                  <c:v>1780</c:v>
                </c:pt>
                <c:pt idx="22">
                  <c:v>1800</c:v>
                </c:pt>
                <c:pt idx="23">
                  <c:v>1900</c:v>
                </c:pt>
                <c:pt idx="24">
                  <c:v>2000</c:v>
                </c:pt>
                <c:pt idx="25">
                  <c:v>2100</c:v>
                </c:pt>
                <c:pt idx="26">
                  <c:v>2200</c:v>
                </c:pt>
                <c:pt idx="27">
                  <c:v>2300</c:v>
                </c:pt>
                <c:pt idx="28">
                  <c:v>2400</c:v>
                </c:pt>
                <c:pt idx="29">
                  <c:v>2500</c:v>
                </c:pt>
                <c:pt idx="30">
                  <c:v>2600</c:v>
                </c:pt>
                <c:pt idx="31">
                  <c:v>2700</c:v>
                </c:pt>
                <c:pt idx="32">
                  <c:v>2800</c:v>
                </c:pt>
                <c:pt idx="33">
                  <c:v>2900</c:v>
                </c:pt>
                <c:pt idx="34">
                  <c:v>3000</c:v>
                </c:pt>
                <c:pt idx="35">
                  <c:v>3100</c:v>
                </c:pt>
                <c:pt idx="36">
                  <c:v>3200</c:v>
                </c:pt>
                <c:pt idx="37">
                  <c:v>3300</c:v>
                </c:pt>
                <c:pt idx="38">
                  <c:v>3400</c:v>
                </c:pt>
                <c:pt idx="39">
                  <c:v>3500</c:v>
                </c:pt>
                <c:pt idx="40">
                  <c:v>3600</c:v>
                </c:pt>
                <c:pt idx="41">
                  <c:v>3700</c:v>
                </c:pt>
                <c:pt idx="42">
                  <c:v>3800</c:v>
                </c:pt>
                <c:pt idx="43">
                  <c:v>3900</c:v>
                </c:pt>
                <c:pt idx="44">
                  <c:v>4000</c:v>
                </c:pt>
              </c:numCache>
            </c:numRef>
          </c:xVal>
          <c:yVal>
            <c:numRef>
              <c:f>'Step1.1_FD&amp;QVDF'!$Y$20:$Y$64</c:f>
              <c:numCache>
                <c:formatCode>General</c:formatCode>
                <c:ptCount val="45"/>
                <c:pt idx="0">
                  <c:v>69.999999870400359</c:v>
                </c:pt>
                <c:pt idx="1">
                  <c:v>69.988709874759834</c:v>
                </c:pt>
                <c:pt idx="2">
                  <c:v>69.937385669670164</c:v>
                </c:pt>
                <c:pt idx="3">
                  <c:v>69.829183995899825</c:v>
                </c:pt>
                <c:pt idx="4">
                  <c:v>69.651159855415585</c:v>
                </c:pt>
                <c:pt idx="5">
                  <c:v>69.391603529135779</c:v>
                </c:pt>
                <c:pt idx="6">
                  <c:v>69.038927384496191</c:v>
                </c:pt>
                <c:pt idx="7">
                  <c:v>68.580868116323572</c:v>
                </c:pt>
                <c:pt idx="8">
                  <c:v>68.003712662546334</c:v>
                </c:pt>
                <c:pt idx="9">
                  <c:v>67.29137937581352</c:v>
                </c:pt>
                <c:pt idx="10">
                  <c:v>66.424169809067394</c:v>
                </c:pt>
                <c:pt idx="11">
                  <c:v>65.376900062694546</c:v>
                </c:pt>
                <c:pt idx="12">
                  <c:v>64.115864134533055</c:v>
                </c:pt>
                <c:pt idx="13">
                  <c:v>62.593468798111537</c:v>
                </c:pt>
                <c:pt idx="14">
                  <c:v>60.737760787103333</c:v>
                </c:pt>
                <c:pt idx="15">
                  <c:v>58.429051549059963</c:v>
                </c:pt>
                <c:pt idx="16">
                  <c:v>55.43601502772907</c:v>
                </c:pt>
                <c:pt idx="17">
                  <c:v>51.162899772417163</c:v>
                </c:pt>
                <c:pt idx="18">
                  <c:v>50.010494331443077</c:v>
                </c:pt>
                <c:pt idx="19">
                  <c:v>48.670942263905992</c:v>
                </c:pt>
                <c:pt idx="20">
                  <c:v>47.03472477984409</c:v>
                </c:pt>
                <c:pt idx="21">
                  <c:v>44.800611028158478</c:v>
                </c:pt>
                <c:pt idx="22">
                  <c:v>40</c:v>
                </c:pt>
                <c:pt idx="23">
                  <c:v>38.734656222564965</c:v>
                </c:pt>
                <c:pt idx="24">
                  <c:v>37.540864403200246</c:v>
                </c:pt>
                <c:pt idx="25">
                  <c:v>36.41302425866531</c:v>
                </c:pt>
                <c:pt idx="26">
                  <c:v>35.346075974881202</c:v>
                </c:pt>
                <c:pt idx="27">
                  <c:v>34.335440641808447</c:v>
                </c:pt>
                <c:pt idx="28">
                  <c:v>33.376967638237325</c:v>
                </c:pt>
                <c:pt idx="29">
                  <c:v>32.466888214455395</c:v>
                </c:pt>
                <c:pt idx="30">
                  <c:v>31.601774561065827</c:v>
                </c:pt>
                <c:pt idx="31">
                  <c:v>30.778503710482902</c:v>
                </c:pt>
                <c:pt idx="32">
                  <c:v>29.99422568245534</c:v>
                </c:pt>
                <c:pt idx="33">
                  <c:v>29.246335349941457</c:v>
                </c:pt>
                <c:pt idx="34">
                  <c:v>28.532447563322592</c:v>
                </c:pt>
                <c:pt idx="35">
                  <c:v>27.850375127605375</c:v>
                </c:pt>
                <c:pt idx="36">
                  <c:v>27.198109278277961</c:v>
                </c:pt>
                <c:pt idx="37">
                  <c:v>26.573802346797354</c:v>
                </c:pt>
                <c:pt idx="38">
                  <c:v>25.975752346563493</c:v>
                </c:pt>
                <c:pt idx="39">
                  <c:v>25.402389245115081</c:v>
                </c:pt>
                <c:pt idx="40">
                  <c:v>24.85226271865897</c:v>
                </c:pt>
                <c:pt idx="41">
                  <c:v>24.324031211427002</c:v>
                </c:pt>
                <c:pt idx="42">
                  <c:v>23.816452145226005</c:v>
                </c:pt>
                <c:pt idx="43">
                  <c:v>23.328373144356604</c:v>
                </c:pt>
                <c:pt idx="44">
                  <c:v>22.858724158226565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A-4027-9BDB-3BFCD4634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81184"/>
        <c:axId val="565475360"/>
      </c:scatterChart>
      <c:valAx>
        <c:axId val="5654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Flow (veh/h/ln)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75360"/>
        <c:crosses val="autoZero"/>
        <c:crossBetween val="midCat"/>
      </c:valAx>
      <c:valAx>
        <c:axId val="5654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(mi/h)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QVDF</a:t>
            </a:r>
          </a:p>
        </c:rich>
      </c:tx>
      <c:layout>
        <c:manualLayout>
          <c:xMode val="edge"/>
          <c:yMode val="edge"/>
          <c:x val="0.5230485564304463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Step1.2_QVDF!$C$19:$C$38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xVal>
          <c:yVal>
            <c:numRef>
              <c:f>Step1.2_QVDF!$D$19:$D$38</c:f>
              <c:numCache>
                <c:formatCode>General</c:formatCode>
                <c:ptCount val="20"/>
                <c:pt idx="0">
                  <c:v>77.142857142857139</c:v>
                </c:pt>
                <c:pt idx="1">
                  <c:v>70.722630592712363</c:v>
                </c:pt>
                <c:pt idx="2">
                  <c:v>64.57674108522508</c:v>
                </c:pt>
                <c:pt idx="3">
                  <c:v>59.160165178484149</c:v>
                </c:pt>
                <c:pt idx="4">
                  <c:v>54.436475377712028</c:v>
                </c:pt>
                <c:pt idx="5">
                  <c:v>50.316190828005325</c:v>
                </c:pt>
                <c:pt idx="6">
                  <c:v>46.708919627679542</c:v>
                </c:pt>
                <c:pt idx="7">
                  <c:v>43.535108422911222</c:v>
                </c:pt>
                <c:pt idx="8">
                  <c:v>40.727760678988155</c:v>
                </c:pt>
                <c:pt idx="9">
                  <c:v>38.231337180891082</c:v>
                </c:pt>
                <c:pt idx="10">
                  <c:v>36</c:v>
                </c:pt>
                <c:pt idx="11">
                  <c:v>33.995888161640949</c:v>
                </c:pt>
                <c:pt idx="12">
                  <c:v>32.187624743173643</c:v>
                </c:pt>
                <c:pt idx="13">
                  <c:v>30.549086280337939</c:v>
                </c:pt>
                <c:pt idx="14">
                  <c:v>29.058409736140785</c:v>
                </c:pt>
                <c:pt idx="15">
                  <c:v>27.69719812563422</c:v>
                </c:pt>
                <c:pt idx="16">
                  <c:v>26.449886550626896</c:v>
                </c:pt>
                <c:pt idx="17">
                  <c:v>25.303235699557337</c:v>
                </c:pt>
                <c:pt idx="18">
                  <c:v>24.245925957976549</c:v>
                </c:pt>
                <c:pt idx="19">
                  <c:v>23.268230802480122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6-40A1-8EC6-F6B7862A5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63056"/>
        <c:axId val="2107767632"/>
      </c:scatterChart>
      <c:valAx>
        <c:axId val="210776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67632"/>
        <c:crosses val="autoZero"/>
        <c:crossBetween val="midCat"/>
      </c:valAx>
      <c:valAx>
        <c:axId val="21077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QVDF vs. LOGSUM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Step1.2_QVDF!$C$19:$C$38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xVal>
          <c:yVal>
            <c:numRef>
              <c:f>Step1.2_QVDF!$D$19:$D$38</c:f>
              <c:numCache>
                <c:formatCode>General</c:formatCode>
                <c:ptCount val="20"/>
                <c:pt idx="0">
                  <c:v>77.142857142857139</c:v>
                </c:pt>
                <c:pt idx="1">
                  <c:v>70.722630592712363</c:v>
                </c:pt>
                <c:pt idx="2">
                  <c:v>64.57674108522508</c:v>
                </c:pt>
                <c:pt idx="3">
                  <c:v>59.160165178484149</c:v>
                </c:pt>
                <c:pt idx="4">
                  <c:v>54.436475377712028</c:v>
                </c:pt>
                <c:pt idx="5">
                  <c:v>50.316190828005325</c:v>
                </c:pt>
                <c:pt idx="6">
                  <c:v>46.708919627679542</c:v>
                </c:pt>
                <c:pt idx="7">
                  <c:v>43.535108422911222</c:v>
                </c:pt>
                <c:pt idx="8">
                  <c:v>40.727760678988155</c:v>
                </c:pt>
                <c:pt idx="9">
                  <c:v>38.231337180891082</c:v>
                </c:pt>
                <c:pt idx="10">
                  <c:v>36</c:v>
                </c:pt>
                <c:pt idx="11">
                  <c:v>33.995888161640949</c:v>
                </c:pt>
                <c:pt idx="12">
                  <c:v>32.187624743173643</c:v>
                </c:pt>
                <c:pt idx="13">
                  <c:v>30.549086280337939</c:v>
                </c:pt>
                <c:pt idx="14">
                  <c:v>29.058409736140785</c:v>
                </c:pt>
                <c:pt idx="15">
                  <c:v>27.69719812563422</c:v>
                </c:pt>
                <c:pt idx="16">
                  <c:v>26.449886550626896</c:v>
                </c:pt>
                <c:pt idx="17">
                  <c:v>25.303235699557337</c:v>
                </c:pt>
                <c:pt idx="18">
                  <c:v>24.245925957976549</c:v>
                </c:pt>
                <c:pt idx="19">
                  <c:v>23.268230802480122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5-4817-B5A6-4268058DAF5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Step1.2_QVDF!$C$19:$C$38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xVal>
          <c:yVal>
            <c:numRef>
              <c:f>Step1.2_QVDF!$E$19:$E$38</c:f>
              <c:numCache>
                <c:formatCode>General</c:formatCode>
                <c:ptCount val="20"/>
                <c:pt idx="0">
                  <c:v>51.5</c:v>
                </c:pt>
                <c:pt idx="1">
                  <c:v>51.345962113659027</c:v>
                </c:pt>
                <c:pt idx="2">
                  <c:v>50.889328063241109</c:v>
                </c:pt>
                <c:pt idx="3">
                  <c:v>50.146056475170404</c:v>
                </c:pt>
                <c:pt idx="4">
                  <c:v>49.141221374045799</c:v>
                </c:pt>
                <c:pt idx="5">
                  <c:v>47.906976744186046</c:v>
                </c:pt>
                <c:pt idx="6">
                  <c:v>46.480144404332123</c:v>
                </c:pt>
                <c:pt idx="7">
                  <c:v>44.899738448125547</c:v>
                </c:pt>
                <c:pt idx="8">
                  <c:v>43.20469798657718</c:v>
                </c:pt>
                <c:pt idx="9">
                  <c:v>41.432019308125504</c:v>
                </c:pt>
                <c:pt idx="10">
                  <c:v>39.615384615384613</c:v>
                </c:pt>
                <c:pt idx="11">
                  <c:v>37.784299339691856</c:v>
                </c:pt>
                <c:pt idx="12">
                  <c:v>35.963687150837991</c:v>
                </c:pt>
                <c:pt idx="13">
                  <c:v>34.173855341738552</c:v>
                </c:pt>
                <c:pt idx="14">
                  <c:v>32.430730478589425</c:v>
                </c:pt>
                <c:pt idx="15">
                  <c:v>30.746268656716421</c:v>
                </c:pt>
                <c:pt idx="16">
                  <c:v>29.128959276018097</c:v>
                </c:pt>
                <c:pt idx="17">
                  <c:v>27.584359935725765</c:v>
                </c:pt>
                <c:pt idx="18">
                  <c:v>26.115618661257606</c:v>
                </c:pt>
                <c:pt idx="19">
                  <c:v>24.723955832933267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5-4817-B5A6-4268058DA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07008"/>
        <c:axId val="2102707840"/>
      </c:scatterChart>
      <c:valAx>
        <c:axId val="21027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07840"/>
        <c:crosses val="autoZero"/>
        <c:crossBetween val="midCat"/>
      </c:valAx>
      <c:valAx>
        <c:axId val="21027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0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baseline="0">
                <a:solidFill>
                  <a:srgbClr val="FF0000"/>
                </a:solidFill>
                <a:effectLst/>
              </a:rPr>
              <a:t>AFTER</a:t>
            </a:r>
            <a:endParaRPr lang="zh-CN" altLang="zh-CN" sz="1600">
              <a:solidFill>
                <a:srgbClr val="FF0000"/>
              </a:solidFill>
              <a:effectLst/>
            </a:endParaRPr>
          </a:p>
          <a:p>
            <a:pPr>
              <a:defRPr sz="1600"/>
            </a:pPr>
            <a:r>
              <a:rPr lang="en-US" altLang="zh-CN" sz="1600" b="0" i="0" baseline="0">
                <a:effectLst/>
              </a:rPr>
              <a:t>D/C&lt;1: BPR</a:t>
            </a:r>
            <a:endParaRPr lang="zh-CN" altLang="zh-CN" sz="1600">
              <a:effectLst/>
            </a:endParaRPr>
          </a:p>
          <a:p>
            <a:pPr>
              <a:defRPr sz="1600"/>
            </a:pPr>
            <a:r>
              <a:rPr lang="en-US" altLang="zh-CN" sz="1600" b="0" i="0" baseline="0">
                <a:effectLst/>
              </a:rPr>
              <a:t>D/C&gt;1: QVDF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Step1.2_QVDF!$D$18</c:f>
              <c:strCache>
                <c:ptCount val="1"/>
                <c:pt idx="0">
                  <c:v>QVDF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Step1.2_QVDF!$C$19:$C$38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xVal>
          <c:yVal>
            <c:numRef>
              <c:f>Step1.2_QVDF!$D$19:$D$38</c:f>
              <c:numCache>
                <c:formatCode>General</c:formatCode>
                <c:ptCount val="20"/>
                <c:pt idx="0">
                  <c:v>77.142857142857139</c:v>
                </c:pt>
                <c:pt idx="1">
                  <c:v>70.722630592712363</c:v>
                </c:pt>
                <c:pt idx="2">
                  <c:v>64.57674108522508</c:v>
                </c:pt>
                <c:pt idx="3">
                  <c:v>59.160165178484149</c:v>
                </c:pt>
                <c:pt idx="4">
                  <c:v>54.436475377712028</c:v>
                </c:pt>
                <c:pt idx="5">
                  <c:v>50.316190828005325</c:v>
                </c:pt>
                <c:pt idx="6">
                  <c:v>46.708919627679542</c:v>
                </c:pt>
                <c:pt idx="7">
                  <c:v>43.535108422911222</c:v>
                </c:pt>
                <c:pt idx="8">
                  <c:v>40.727760678988155</c:v>
                </c:pt>
                <c:pt idx="9">
                  <c:v>38.231337180891082</c:v>
                </c:pt>
                <c:pt idx="10">
                  <c:v>36</c:v>
                </c:pt>
                <c:pt idx="11">
                  <c:v>33.995888161640949</c:v>
                </c:pt>
                <c:pt idx="12">
                  <c:v>32.187624743173643</c:v>
                </c:pt>
                <c:pt idx="13">
                  <c:v>30.549086280337939</c:v>
                </c:pt>
                <c:pt idx="14">
                  <c:v>29.058409736140785</c:v>
                </c:pt>
                <c:pt idx="15">
                  <c:v>27.69719812563422</c:v>
                </c:pt>
                <c:pt idx="16">
                  <c:v>26.449886550626896</c:v>
                </c:pt>
                <c:pt idx="17">
                  <c:v>25.303235699557337</c:v>
                </c:pt>
                <c:pt idx="18">
                  <c:v>24.245925957976549</c:v>
                </c:pt>
                <c:pt idx="19">
                  <c:v>23.268230802480122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4-4848-A1ED-AEB23D179C0B}"/>
            </c:ext>
          </c:extLst>
        </c:ser>
        <c:ser>
          <c:idx val="1"/>
          <c:order val="1"/>
          <c:tx>
            <c:strRef>
              <c:f>Step1.2_QVDF!$E$18</c:f>
              <c:strCache>
                <c:ptCount val="1"/>
                <c:pt idx="0">
                  <c:v>BPR 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Step1.2_QVDF!$C$19:$C$38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xVal>
          <c:yVal>
            <c:numRef>
              <c:f>Step1.2_QVDF!$E$19:$E$38</c:f>
              <c:numCache>
                <c:formatCode>General</c:formatCode>
                <c:ptCount val="20"/>
                <c:pt idx="0">
                  <c:v>51.5</c:v>
                </c:pt>
                <c:pt idx="1">
                  <c:v>51.345962113659027</c:v>
                </c:pt>
                <c:pt idx="2">
                  <c:v>50.889328063241109</c:v>
                </c:pt>
                <c:pt idx="3">
                  <c:v>50.146056475170404</c:v>
                </c:pt>
                <c:pt idx="4">
                  <c:v>49.141221374045799</c:v>
                </c:pt>
                <c:pt idx="5">
                  <c:v>47.906976744186046</c:v>
                </c:pt>
                <c:pt idx="6">
                  <c:v>46.480144404332123</c:v>
                </c:pt>
                <c:pt idx="7">
                  <c:v>44.899738448125547</c:v>
                </c:pt>
                <c:pt idx="8">
                  <c:v>43.20469798657718</c:v>
                </c:pt>
                <c:pt idx="9">
                  <c:v>41.432019308125504</c:v>
                </c:pt>
                <c:pt idx="10">
                  <c:v>39.615384615384613</c:v>
                </c:pt>
                <c:pt idx="11">
                  <c:v>37.784299339691856</c:v>
                </c:pt>
                <c:pt idx="12">
                  <c:v>35.963687150837991</c:v>
                </c:pt>
                <c:pt idx="13">
                  <c:v>34.173855341738552</c:v>
                </c:pt>
                <c:pt idx="14">
                  <c:v>32.430730478589425</c:v>
                </c:pt>
                <c:pt idx="15">
                  <c:v>30.746268656716421</c:v>
                </c:pt>
                <c:pt idx="16">
                  <c:v>29.128959276018097</c:v>
                </c:pt>
                <c:pt idx="17">
                  <c:v>27.584359935725765</c:v>
                </c:pt>
                <c:pt idx="18">
                  <c:v>26.115618661257606</c:v>
                </c:pt>
                <c:pt idx="19">
                  <c:v>24.723955832933267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04-4848-A1ED-AEB23D179C0B}"/>
            </c:ext>
          </c:extLst>
        </c:ser>
        <c:ser>
          <c:idx val="2"/>
          <c:order val="2"/>
          <c:tx>
            <c:strRef>
              <c:f>Step1.2_QVDF!$F$18</c:f>
              <c:strCache>
                <c:ptCount val="1"/>
                <c:pt idx="0">
                  <c:v>LOGSUM speed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Step1.2_QVDF!$C$19:$C$38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xVal>
          <c:yVal>
            <c:numRef>
              <c:f>Step1.2_QVDF!$F$19:$F$38</c:f>
              <c:numCache>
                <c:formatCode>General</c:formatCode>
                <c:ptCount val="20"/>
                <c:pt idx="0">
                  <c:v>51.499999999992696</c:v>
                </c:pt>
                <c:pt idx="1">
                  <c:v>51.345962109814707</c:v>
                </c:pt>
                <c:pt idx="2">
                  <c:v>50.889326926577894</c:v>
                </c:pt>
                <c:pt idx="3">
                  <c:v>50.145934801696008</c:v>
                </c:pt>
                <c:pt idx="4">
                  <c:v>49.136218568672284</c:v>
                </c:pt>
                <c:pt idx="5">
                  <c:v>47.820903723505268</c:v>
                </c:pt>
                <c:pt idx="6">
                  <c:v>45.894856790077569</c:v>
                </c:pt>
                <c:pt idx="7">
                  <c:v>43.307594294196441</c:v>
                </c:pt>
                <c:pt idx="8">
                  <c:v>40.647102685108855</c:v>
                </c:pt>
                <c:pt idx="9">
                  <c:v>38.191410554981672</c:v>
                </c:pt>
                <c:pt idx="10">
                  <c:v>35.973449042476517</c:v>
                </c:pt>
                <c:pt idx="11">
                  <c:v>33.973508924525234</c:v>
                </c:pt>
                <c:pt idx="12">
                  <c:v>32.164970562832778</c:v>
                </c:pt>
                <c:pt idx="13">
                  <c:v>30.522780089921078</c:v>
                </c:pt>
                <c:pt idx="14">
                  <c:v>29.024675275380989</c:v>
                </c:pt>
                <c:pt idx="15">
                  <c:v>27.650884393385375</c:v>
                </c:pt>
                <c:pt idx="16">
                  <c:v>26.383512127808668</c:v>
                </c:pt>
                <c:pt idx="17">
                  <c:v>25.205955389257451</c:v>
                </c:pt>
                <c:pt idx="18">
                  <c:v>24.102543593949751</c:v>
                </c:pt>
                <c:pt idx="19">
                  <c:v>23.058593083418423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04-4848-A1ED-AEB23D179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71856"/>
        <c:axId val="2105672272"/>
      </c:scatterChart>
      <c:valAx>
        <c:axId val="21056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72272"/>
        <c:crosses val="autoZero"/>
        <c:crossBetween val="midCat"/>
      </c:valAx>
      <c:valAx>
        <c:axId val="21056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7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FF0000"/>
                </a:solidFill>
              </a:rPr>
              <a:t>BEFORE</a:t>
            </a:r>
          </a:p>
          <a:p>
            <a:pPr>
              <a:defRPr sz="1600"/>
            </a:pPr>
            <a:r>
              <a:rPr lang="en-US" sz="1600"/>
              <a:t>D/C&lt;1: S3 </a:t>
            </a:r>
            <a:r>
              <a:rPr lang="en-US" altLang="zh-CN" sz="1600"/>
              <a:t>formula</a:t>
            </a:r>
          </a:p>
          <a:p>
            <a:pPr>
              <a:defRPr sz="1600"/>
            </a:pPr>
            <a:r>
              <a:rPr lang="en-US" sz="1600"/>
              <a:t>D/C&gt;1: QVDF </a:t>
            </a:r>
          </a:p>
        </c:rich>
      </c:tx>
      <c:layout>
        <c:manualLayout>
          <c:xMode val="edge"/>
          <c:yMode val="edge"/>
          <c:x val="0.43473610587291561"/>
          <c:y val="1.6829673371470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73301178943848"/>
          <c:y val="0.15151153540175025"/>
          <c:w val="0.82076110970253735"/>
          <c:h val="0.67584205613916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'Step1.1_FD&amp;QVDF'!$Y$19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'Step1.1_FD&amp;QVDF'!$B$20:$B$64</c:f>
              <c:numCache>
                <c:formatCode>General</c:formatCode>
                <c:ptCount val="45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1720</c:v>
                </c:pt>
                <c:pt idx="19">
                  <c:v>1740</c:v>
                </c:pt>
                <c:pt idx="20">
                  <c:v>1760</c:v>
                </c:pt>
                <c:pt idx="21">
                  <c:v>1780</c:v>
                </c:pt>
                <c:pt idx="22">
                  <c:v>1800</c:v>
                </c:pt>
                <c:pt idx="23">
                  <c:v>1900</c:v>
                </c:pt>
                <c:pt idx="24">
                  <c:v>2000</c:v>
                </c:pt>
                <c:pt idx="25">
                  <c:v>2100</c:v>
                </c:pt>
                <c:pt idx="26">
                  <c:v>2200</c:v>
                </c:pt>
                <c:pt idx="27">
                  <c:v>2300</c:v>
                </c:pt>
                <c:pt idx="28">
                  <c:v>2400</c:v>
                </c:pt>
                <c:pt idx="29">
                  <c:v>2500</c:v>
                </c:pt>
                <c:pt idx="30">
                  <c:v>2600</c:v>
                </c:pt>
                <c:pt idx="31">
                  <c:v>2700</c:v>
                </c:pt>
                <c:pt idx="32">
                  <c:v>2800</c:v>
                </c:pt>
                <c:pt idx="33">
                  <c:v>2900</c:v>
                </c:pt>
                <c:pt idx="34">
                  <c:v>3000</c:v>
                </c:pt>
                <c:pt idx="35">
                  <c:v>3100</c:v>
                </c:pt>
                <c:pt idx="36">
                  <c:v>3200</c:v>
                </c:pt>
                <c:pt idx="37">
                  <c:v>3300</c:v>
                </c:pt>
                <c:pt idx="38">
                  <c:v>3400</c:v>
                </c:pt>
                <c:pt idx="39">
                  <c:v>3500</c:v>
                </c:pt>
                <c:pt idx="40">
                  <c:v>3600</c:v>
                </c:pt>
                <c:pt idx="41">
                  <c:v>3700</c:v>
                </c:pt>
                <c:pt idx="42">
                  <c:v>3800</c:v>
                </c:pt>
                <c:pt idx="43">
                  <c:v>3900</c:v>
                </c:pt>
                <c:pt idx="44">
                  <c:v>4000</c:v>
                </c:pt>
              </c:numCache>
            </c:numRef>
          </c:xVal>
          <c:yVal>
            <c:numRef>
              <c:f>'Step1.1_FD&amp;QVDF'!$Y$20:$Y$64</c:f>
              <c:numCache>
                <c:formatCode>General</c:formatCode>
                <c:ptCount val="45"/>
                <c:pt idx="0">
                  <c:v>69.999999870400359</c:v>
                </c:pt>
                <c:pt idx="1">
                  <c:v>69.988709874759834</c:v>
                </c:pt>
                <c:pt idx="2">
                  <c:v>69.937385669670164</c:v>
                </c:pt>
                <c:pt idx="3">
                  <c:v>69.829183995899825</c:v>
                </c:pt>
                <c:pt idx="4">
                  <c:v>69.651159855415585</c:v>
                </c:pt>
                <c:pt idx="5">
                  <c:v>69.391603529135779</c:v>
                </c:pt>
                <c:pt idx="6">
                  <c:v>69.038927384496191</c:v>
                </c:pt>
                <c:pt idx="7">
                  <c:v>68.580868116323572</c:v>
                </c:pt>
                <c:pt idx="8">
                  <c:v>68.003712662546334</c:v>
                </c:pt>
                <c:pt idx="9">
                  <c:v>67.29137937581352</c:v>
                </c:pt>
                <c:pt idx="10">
                  <c:v>66.424169809067394</c:v>
                </c:pt>
                <c:pt idx="11">
                  <c:v>65.376900062694546</c:v>
                </c:pt>
                <c:pt idx="12">
                  <c:v>64.115864134533055</c:v>
                </c:pt>
                <c:pt idx="13">
                  <c:v>62.593468798111537</c:v>
                </c:pt>
                <c:pt idx="14">
                  <c:v>60.737760787103333</c:v>
                </c:pt>
                <c:pt idx="15">
                  <c:v>58.429051549059963</c:v>
                </c:pt>
                <c:pt idx="16">
                  <c:v>55.43601502772907</c:v>
                </c:pt>
                <c:pt idx="17">
                  <c:v>51.162899772417163</c:v>
                </c:pt>
                <c:pt idx="18">
                  <c:v>50.010494331443077</c:v>
                </c:pt>
                <c:pt idx="19">
                  <c:v>48.670942263905992</c:v>
                </c:pt>
                <c:pt idx="20">
                  <c:v>47.03472477984409</c:v>
                </c:pt>
                <c:pt idx="21">
                  <c:v>44.800611028158478</c:v>
                </c:pt>
                <c:pt idx="22">
                  <c:v>40</c:v>
                </c:pt>
                <c:pt idx="23">
                  <c:v>38.734656222564965</c:v>
                </c:pt>
                <c:pt idx="24">
                  <c:v>37.540864403200246</c:v>
                </c:pt>
                <c:pt idx="25">
                  <c:v>36.41302425866531</c:v>
                </c:pt>
                <c:pt idx="26">
                  <c:v>35.346075974881202</c:v>
                </c:pt>
                <c:pt idx="27">
                  <c:v>34.335440641808447</c:v>
                </c:pt>
                <c:pt idx="28">
                  <c:v>33.376967638237325</c:v>
                </c:pt>
                <c:pt idx="29">
                  <c:v>32.466888214455395</c:v>
                </c:pt>
                <c:pt idx="30">
                  <c:v>31.601774561065827</c:v>
                </c:pt>
                <c:pt idx="31">
                  <c:v>30.778503710482902</c:v>
                </c:pt>
                <c:pt idx="32">
                  <c:v>29.99422568245534</c:v>
                </c:pt>
                <c:pt idx="33">
                  <c:v>29.246335349941457</c:v>
                </c:pt>
                <c:pt idx="34">
                  <c:v>28.532447563322592</c:v>
                </c:pt>
                <c:pt idx="35">
                  <c:v>27.850375127605375</c:v>
                </c:pt>
                <c:pt idx="36">
                  <c:v>27.198109278277961</c:v>
                </c:pt>
                <c:pt idx="37">
                  <c:v>26.573802346797354</c:v>
                </c:pt>
                <c:pt idx="38">
                  <c:v>25.975752346563493</c:v>
                </c:pt>
                <c:pt idx="39">
                  <c:v>25.402389245115081</c:v>
                </c:pt>
                <c:pt idx="40">
                  <c:v>24.85226271865897</c:v>
                </c:pt>
                <c:pt idx="41">
                  <c:v>24.324031211427002</c:v>
                </c:pt>
                <c:pt idx="42">
                  <c:v>23.816452145226005</c:v>
                </c:pt>
                <c:pt idx="43">
                  <c:v>23.328373144356604</c:v>
                </c:pt>
                <c:pt idx="44">
                  <c:v>22.858724158226565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1-441A-8E66-25E6EBFBC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81184"/>
        <c:axId val="565475360"/>
      </c:scatterChart>
      <c:valAx>
        <c:axId val="5654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Flow (veh/h/ln)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75360"/>
        <c:crosses val="autoZero"/>
        <c:crossBetween val="midCat"/>
      </c:valAx>
      <c:valAx>
        <c:axId val="5654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(mi/h)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derived</a:t>
            </a:r>
            <a:r>
              <a:rPr lang="en-US" baseline="0"/>
              <a:t> time-dependent speed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'Step2_Time dependent speed'!$D$25:$P$25</c:f>
              <c:numCache>
                <c:formatCode>General</c:formatCode>
                <c:ptCount val="13"/>
                <c:pt idx="0">
                  <c:v>8.5279020223518387</c:v>
                </c:pt>
                <c:pt idx="1">
                  <c:v>6.3997873571276722</c:v>
                </c:pt>
                <c:pt idx="2">
                  <c:v>5.1749789599433038</c:v>
                </c:pt>
                <c:pt idx="3">
                  <c:v>4.4412522176729867</c:v>
                </c:pt>
                <c:pt idx="4">
                  <c:v>4.0054842329228775</c:v>
                </c:pt>
                <c:pt idx="5">
                  <c:v>3.7731224408683754</c:v>
                </c:pt>
                <c:pt idx="6">
                  <c:v>3.699999999999954</c:v>
                </c:pt>
                <c:pt idx="7">
                  <c:v>3.7731224408683754</c:v>
                </c:pt>
                <c:pt idx="8">
                  <c:v>4.0054842329228775</c:v>
                </c:pt>
                <c:pt idx="9">
                  <c:v>4.4412522176729867</c:v>
                </c:pt>
                <c:pt idx="10">
                  <c:v>5.1749789599433038</c:v>
                </c:pt>
                <c:pt idx="11">
                  <c:v>6.3997873571276713</c:v>
                </c:pt>
                <c:pt idx="12">
                  <c:v>8.5279020223518369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A-4C4A-9D77-98E26179E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812576"/>
        <c:axId val="2062811328"/>
      </c:lineChart>
      <c:catAx>
        <c:axId val="206281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11328"/>
        <c:crosses val="autoZero"/>
        <c:auto val="1"/>
        <c:lblAlgn val="ctr"/>
        <c:lblOffset val="100"/>
        <c:noMultiLvlLbl val="0"/>
      </c:catAx>
      <c:valAx>
        <c:axId val="20628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'Step3_Link level analysis'!$BI$2</c:f>
              <c:strCache>
                <c:ptCount val="1"/>
                <c:pt idx="0">
                  <c:v>VDF_STA_speed1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2268810148731411E-2"/>
                  <c:y val="-7.27110673665791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'Step3_Link level analysis'!$Y$3:$Y$69</c:f>
              <c:numCache>
                <c:formatCode>General</c:formatCode>
                <c:ptCount val="67"/>
                <c:pt idx="1">
                  <c:v>55.736214438461431</c:v>
                </c:pt>
                <c:pt idx="2">
                  <c:v>61.582510977821798</c:v>
                </c:pt>
                <c:pt idx="3">
                  <c:v>56.852669756388359</c:v>
                </c:pt>
                <c:pt idx="4">
                  <c:v>60.363061495659217</c:v>
                </c:pt>
                <c:pt idx="5">
                  <c:v>57.896382175854683</c:v>
                </c:pt>
                <c:pt idx="6">
                  <c:v>63.080990349439695</c:v>
                </c:pt>
                <c:pt idx="7">
                  <c:v>61.448035825095914</c:v>
                </c:pt>
                <c:pt idx="8">
                  <c:v>61.448035825095914</c:v>
                </c:pt>
                <c:pt idx="9">
                  <c:v>61.379531020685846</c:v>
                </c:pt>
                <c:pt idx="10">
                  <c:v>59.228420373538711</c:v>
                </c:pt>
                <c:pt idx="11">
                  <c:v>59.771862054835687</c:v>
                </c:pt>
                <c:pt idx="12">
                  <c:v>61.379531020685846</c:v>
                </c:pt>
                <c:pt idx="13">
                  <c:v>60.865687846763564</c:v>
                </c:pt>
                <c:pt idx="14">
                  <c:v>59.184262713876436</c:v>
                </c:pt>
                <c:pt idx="15">
                  <c:v>58.172186954927781</c:v>
                </c:pt>
                <c:pt idx="16">
                  <c:v>58.961164168345725</c:v>
                </c:pt>
                <c:pt idx="17">
                  <c:v>56.587861902487198</c:v>
                </c:pt>
                <c:pt idx="18">
                  <c:v>57.103501689269542</c:v>
                </c:pt>
                <c:pt idx="19">
                  <c:v>58.983239384897473</c:v>
                </c:pt>
                <c:pt idx="20">
                  <c:v>58.711141219600243</c:v>
                </c:pt>
                <c:pt idx="21">
                  <c:v>56.782413694946037</c:v>
                </c:pt>
                <c:pt idx="22">
                  <c:v>62.394368784794125</c:v>
                </c:pt>
                <c:pt idx="23">
                  <c:v>65.247025616337353</c:v>
                </c:pt>
                <c:pt idx="24">
                  <c:v>62.15112268868733</c:v>
                </c:pt>
                <c:pt idx="25">
                  <c:v>62.337426900245937</c:v>
                </c:pt>
                <c:pt idx="26">
                  <c:v>66.144703041289659</c:v>
                </c:pt>
                <c:pt idx="27">
                  <c:v>65.247025616337353</c:v>
                </c:pt>
                <c:pt idx="28">
                  <c:v>63.131811586494848</c:v>
                </c:pt>
                <c:pt idx="29">
                  <c:v>61.610723188153528</c:v>
                </c:pt>
                <c:pt idx="30">
                  <c:v>61.582510977821798</c:v>
                </c:pt>
                <c:pt idx="31">
                  <c:v>59.352277765589783</c:v>
                </c:pt>
                <c:pt idx="32">
                  <c:v>56.852669756388359</c:v>
                </c:pt>
                <c:pt idx="33">
                  <c:v>59.771862054835687</c:v>
                </c:pt>
                <c:pt idx="34">
                  <c:v>59.228420373538711</c:v>
                </c:pt>
                <c:pt idx="35">
                  <c:v>58.727415469760537</c:v>
                </c:pt>
                <c:pt idx="36">
                  <c:v>58.952311311489275</c:v>
                </c:pt>
                <c:pt idx="37">
                  <c:v>58.783218545347403</c:v>
                </c:pt>
                <c:pt idx="38">
                  <c:v>62.15112268868733</c:v>
                </c:pt>
                <c:pt idx="39">
                  <c:v>62.337426900245937</c:v>
                </c:pt>
                <c:pt idx="40">
                  <c:v>65.97734403819895</c:v>
                </c:pt>
                <c:pt idx="41">
                  <c:v>61.015934256116175</c:v>
                </c:pt>
                <c:pt idx="42">
                  <c:v>65.104610721044722</c:v>
                </c:pt>
                <c:pt idx="43">
                  <c:v>58.983239384897473</c:v>
                </c:pt>
                <c:pt idx="44">
                  <c:v>59.04615876736753</c:v>
                </c:pt>
                <c:pt idx="45">
                  <c:v>56.739639315435532</c:v>
                </c:pt>
                <c:pt idx="46">
                  <c:v>59.70440800377169</c:v>
                </c:pt>
                <c:pt idx="47">
                  <c:v>60.95486920880569</c:v>
                </c:pt>
                <c:pt idx="48">
                  <c:v>57.103501689269542</c:v>
                </c:pt>
                <c:pt idx="49">
                  <c:v>58.914398351798184</c:v>
                </c:pt>
                <c:pt idx="50">
                  <c:v>58.433320304350005</c:v>
                </c:pt>
                <c:pt idx="51">
                  <c:v>59.107894629115684</c:v>
                </c:pt>
                <c:pt idx="52">
                  <c:v>57.896382175854683</c:v>
                </c:pt>
                <c:pt idx="53">
                  <c:v>58.564356078911864</c:v>
                </c:pt>
                <c:pt idx="54">
                  <c:v>56.782413694946037</c:v>
                </c:pt>
                <c:pt idx="55">
                  <c:v>56.039861796244892</c:v>
                </c:pt>
                <c:pt idx="56">
                  <c:v>56.782413694946037</c:v>
                </c:pt>
                <c:pt idx="57">
                  <c:v>58.564356078911864</c:v>
                </c:pt>
                <c:pt idx="58">
                  <c:v>58.783218545347403</c:v>
                </c:pt>
                <c:pt idx="59">
                  <c:v>62.540892491218663</c:v>
                </c:pt>
                <c:pt idx="60">
                  <c:v>59.107894629115684</c:v>
                </c:pt>
                <c:pt idx="61">
                  <c:v>65.104610721044722</c:v>
                </c:pt>
                <c:pt idx="62">
                  <c:v>66.144703041289659</c:v>
                </c:pt>
                <c:pt idx="63">
                  <c:v>62.263166899160943</c:v>
                </c:pt>
                <c:pt idx="64">
                  <c:v>59.771862054835687</c:v>
                </c:pt>
                <c:pt idx="65">
                  <c:v>62.15112268868733</c:v>
                </c:pt>
                <c:pt idx="66">
                  <c:v>60.95486920880569</c:v>
                </c:pt>
              </c:numCache>
            </c:numRef>
          </c:xVal>
          <c:yVal>
            <c:numRef>
              <c:f>'Step3_Link level analysis'!$BI$3:$BI$69</c:f>
              <c:numCache>
                <c:formatCode>General</c:formatCode>
                <c:ptCount val="67"/>
                <c:pt idx="1">
                  <c:v>54.14</c:v>
                </c:pt>
                <c:pt idx="2">
                  <c:v>58.44</c:v>
                </c:pt>
                <c:pt idx="3">
                  <c:v>47.22</c:v>
                </c:pt>
                <c:pt idx="4">
                  <c:v>56.24</c:v>
                </c:pt>
                <c:pt idx="5">
                  <c:v>56.48</c:v>
                </c:pt>
                <c:pt idx="6">
                  <c:v>60.12</c:v>
                </c:pt>
                <c:pt idx="7">
                  <c:v>58.2</c:v>
                </c:pt>
                <c:pt idx="8">
                  <c:v>60.83</c:v>
                </c:pt>
                <c:pt idx="9">
                  <c:v>63.95</c:v>
                </c:pt>
                <c:pt idx="10">
                  <c:v>55.17</c:v>
                </c:pt>
                <c:pt idx="11">
                  <c:v>57.49</c:v>
                </c:pt>
                <c:pt idx="12">
                  <c:v>63.29</c:v>
                </c:pt>
                <c:pt idx="13">
                  <c:v>63.18</c:v>
                </c:pt>
                <c:pt idx="14">
                  <c:v>57.05</c:v>
                </c:pt>
                <c:pt idx="15">
                  <c:v>50.35</c:v>
                </c:pt>
                <c:pt idx="16">
                  <c:v>57.66</c:v>
                </c:pt>
                <c:pt idx="17">
                  <c:v>48.42</c:v>
                </c:pt>
                <c:pt idx="18">
                  <c:v>48.21</c:v>
                </c:pt>
                <c:pt idx="19">
                  <c:v>56.95</c:v>
                </c:pt>
                <c:pt idx="20">
                  <c:v>55.38</c:v>
                </c:pt>
                <c:pt idx="21">
                  <c:v>54.82</c:v>
                </c:pt>
                <c:pt idx="22">
                  <c:v>59.2</c:v>
                </c:pt>
                <c:pt idx="23">
                  <c:v>57.11</c:v>
                </c:pt>
                <c:pt idx="24">
                  <c:v>64.290000000000006</c:v>
                </c:pt>
                <c:pt idx="25">
                  <c:v>64.239999999999995</c:v>
                </c:pt>
                <c:pt idx="26">
                  <c:v>67.64</c:v>
                </c:pt>
                <c:pt idx="27">
                  <c:v>56.03</c:v>
                </c:pt>
                <c:pt idx="28">
                  <c:v>60.72</c:v>
                </c:pt>
                <c:pt idx="29">
                  <c:v>62.14</c:v>
                </c:pt>
                <c:pt idx="30">
                  <c:v>60.72</c:v>
                </c:pt>
                <c:pt idx="31">
                  <c:v>55.04</c:v>
                </c:pt>
                <c:pt idx="32">
                  <c:v>47.71</c:v>
                </c:pt>
                <c:pt idx="33">
                  <c:v>56.65</c:v>
                </c:pt>
                <c:pt idx="34">
                  <c:v>54.6</c:v>
                </c:pt>
                <c:pt idx="35">
                  <c:v>57.66</c:v>
                </c:pt>
                <c:pt idx="36">
                  <c:v>56.9</c:v>
                </c:pt>
                <c:pt idx="37">
                  <c:v>58.76</c:v>
                </c:pt>
                <c:pt idx="38">
                  <c:v>63.94</c:v>
                </c:pt>
                <c:pt idx="39">
                  <c:v>61.66</c:v>
                </c:pt>
                <c:pt idx="40">
                  <c:v>65.260000000000005</c:v>
                </c:pt>
                <c:pt idx="41">
                  <c:v>63.29</c:v>
                </c:pt>
                <c:pt idx="42">
                  <c:v>66</c:v>
                </c:pt>
                <c:pt idx="43">
                  <c:v>57.13</c:v>
                </c:pt>
                <c:pt idx="44">
                  <c:v>57.72</c:v>
                </c:pt>
                <c:pt idx="45">
                  <c:v>47.68</c:v>
                </c:pt>
                <c:pt idx="46">
                  <c:v>56.76</c:v>
                </c:pt>
                <c:pt idx="47">
                  <c:v>62.31</c:v>
                </c:pt>
                <c:pt idx="48">
                  <c:v>49.11</c:v>
                </c:pt>
                <c:pt idx="49">
                  <c:v>57.24</c:v>
                </c:pt>
                <c:pt idx="50">
                  <c:v>59.26</c:v>
                </c:pt>
                <c:pt idx="51">
                  <c:v>58.84</c:v>
                </c:pt>
                <c:pt idx="52">
                  <c:v>55.96</c:v>
                </c:pt>
                <c:pt idx="53">
                  <c:v>55.83</c:v>
                </c:pt>
                <c:pt idx="54">
                  <c:v>57.11</c:v>
                </c:pt>
                <c:pt idx="55">
                  <c:v>55.33</c:v>
                </c:pt>
                <c:pt idx="56">
                  <c:v>57.81</c:v>
                </c:pt>
                <c:pt idx="57">
                  <c:v>56.89</c:v>
                </c:pt>
                <c:pt idx="58">
                  <c:v>57.31</c:v>
                </c:pt>
                <c:pt idx="59">
                  <c:v>60.66</c:v>
                </c:pt>
                <c:pt idx="60">
                  <c:v>57.13</c:v>
                </c:pt>
                <c:pt idx="61">
                  <c:v>65.14</c:v>
                </c:pt>
                <c:pt idx="62">
                  <c:v>67.64</c:v>
                </c:pt>
                <c:pt idx="63">
                  <c:v>63.4</c:v>
                </c:pt>
                <c:pt idx="64">
                  <c:v>57.39</c:v>
                </c:pt>
                <c:pt idx="65">
                  <c:v>64.17</c:v>
                </c:pt>
                <c:pt idx="66">
                  <c:v>62.25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6-49AF-A220-0AFB8614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254528"/>
        <c:axId val="754257024"/>
      </c:scatterChart>
      <c:valAx>
        <c:axId val="75425452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QDM_speed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57024"/>
        <c:crosses val="autoZero"/>
        <c:crossBetween val="midCat"/>
      </c:valAx>
      <c:valAx>
        <c:axId val="7542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 (Cube) </a:t>
                </a:r>
              </a:p>
              <a:p>
                <a:pPr>
                  <a:defRPr/>
                </a:pPr>
                <a:r>
                  <a:rPr lang="en-US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0.png"/><Relationship Id="rId6" Type="http://schemas.openxmlformats.org/officeDocument/2006/relationships/chart" Target="../charts/chart5.xml"/><Relationship Id="rId5" Type="http://schemas.openxmlformats.org/officeDocument/2006/relationships/image" Target="../media/image11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chart" Target="../charts/chart7.xml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1183414</xdr:colOff>
      <xdr:row>42</xdr:row>
      <xdr:rowOff>166031</xdr:rowOff>
    </xdr:from>
    <xdr:to>
      <xdr:col>23</xdr:col>
      <xdr:colOff>803249</xdr:colOff>
      <xdr:row>62</xdr:row>
      <xdr:rowOff>28301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7C698A-9594-494C-8C80-AF3592F22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17928</xdr:colOff>
      <xdr:row>8</xdr:row>
      <xdr:rowOff>17929</xdr:rowOff>
    </xdr:from>
    <xdr:to>
      <xdr:col>11</xdr:col>
      <xdr:colOff>806822</xdr:colOff>
      <xdr:row>17</xdr:row>
      <xdr:rowOff>141433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A5D36-1A64-654C-1C6C-2C27FCE56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1387" y="1452282"/>
          <a:ext cx="3621741" cy="1737151"/>
        </a:xfrm>
        <a:prstGeom prst="rect">
          <a:avLst/>
        </a:prstGeom>
      </xdr:spPr>
    </xdr:pic>
    <xdr:clientData/>
  </xdr:twoCellAnchor>
  <xdr:twoCellAnchor editAs="oneCell">
    <xdr:from>
      <xdr:col>1</xdr:col>
      <xdr:colOff>528919</xdr:colOff>
      <xdr:row>3</xdr:row>
      <xdr:rowOff>26893</xdr:rowOff>
    </xdr:from>
    <xdr:to>
      <xdr:col>3</xdr:col>
      <xdr:colOff>588070</xdr:colOff>
      <xdr:row>7</xdr:row>
      <xdr:rowOff>71621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352BE06-0C75-FA3F-43B6-D3A60F6E0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52048" y="564775"/>
          <a:ext cx="1923810" cy="7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26894</xdr:colOff>
      <xdr:row>8</xdr:row>
      <xdr:rowOff>35859</xdr:rowOff>
    </xdr:from>
    <xdr:to>
      <xdr:col>4</xdr:col>
      <xdr:colOff>521402</xdr:colOff>
      <xdr:row>12</xdr:row>
      <xdr:rowOff>4397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CAD8836-F26F-0522-28FF-E7DC276C1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1470212"/>
          <a:ext cx="1857143" cy="6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788894</xdr:colOff>
      <xdr:row>9</xdr:row>
      <xdr:rowOff>71717</xdr:rowOff>
    </xdr:from>
    <xdr:to>
      <xdr:col>7</xdr:col>
      <xdr:colOff>888955</xdr:colOff>
      <xdr:row>13</xdr:row>
      <xdr:rowOff>107575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F801FC3-BA60-6095-0ACF-88E9ED2A8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26188" y="1685364"/>
          <a:ext cx="1848179" cy="753035"/>
        </a:xfrm>
        <a:prstGeom prst="rect">
          <a:avLst/>
        </a:prstGeom>
      </xdr:spPr>
    </xdr:pic>
    <xdr:clientData/>
  </xdr:twoCellAnchor>
  <xdr:twoCellAnchor editAs="oneCell">
    <xdr:from>
      <xdr:col>5</xdr:col>
      <xdr:colOff>788895</xdr:colOff>
      <xdr:row>14</xdr:row>
      <xdr:rowOff>89647</xdr:rowOff>
    </xdr:from>
    <xdr:to>
      <xdr:col>7</xdr:col>
      <xdr:colOff>897920</xdr:colOff>
      <xdr:row>17</xdr:row>
      <xdr:rowOff>132717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900F22B-3827-3011-2E40-3BD96FCD1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26189" y="2599765"/>
          <a:ext cx="1857143" cy="580952"/>
        </a:xfrm>
        <a:prstGeom prst="rect">
          <a:avLst/>
        </a:prstGeom>
      </xdr:spPr>
    </xdr:pic>
    <xdr:clientData/>
  </xdr:twoCellAnchor>
  <xdr:twoCellAnchor editAs="oneCell">
    <xdr:from>
      <xdr:col>16</xdr:col>
      <xdr:colOff>320040</xdr:colOff>
      <xdr:row>11</xdr:row>
      <xdr:rowOff>26503</xdr:rowOff>
    </xdr:from>
    <xdr:to>
      <xdr:col>19</xdr:col>
      <xdr:colOff>145807</xdr:colOff>
      <xdr:row>14</xdr:row>
      <xdr:rowOff>174170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78E73E6-6F92-4F99-B7AE-9F9DE862BC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0684" b="45488"/>
        <a:stretch/>
      </xdr:blipFill>
      <xdr:spPr>
        <a:xfrm>
          <a:off x="18569940" y="1954363"/>
          <a:ext cx="2675647" cy="674537"/>
        </a:xfrm>
        <a:prstGeom prst="rect">
          <a:avLst/>
        </a:prstGeom>
      </xdr:spPr>
    </xdr:pic>
    <xdr:clientData/>
  </xdr:twoCellAnchor>
  <xdr:twoCellAnchor>
    <xdr:from>
      <xdr:col>18</xdr:col>
      <xdr:colOff>57664</xdr:colOff>
      <xdr:row>15</xdr:row>
      <xdr:rowOff>0</xdr:rowOff>
    </xdr:from>
    <xdr:to>
      <xdr:col>18</xdr:col>
      <xdr:colOff>746760</xdr:colOff>
      <xdr:row>18</xdr:row>
      <xdr:rowOff>22860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43185F9C-31A6-7C24-8FFF-331A066870C5}"/>
            </a:ext>
          </a:extLst>
        </xdr:cNvPr>
        <xdr:cNvCxnSpPr>
          <a:endCxn id="8" idx="2"/>
        </xdr:cNvCxnSpPr>
      </xdr:nvCxnSpPr>
      <xdr:spPr>
        <a:xfrm flipH="1" flipV="1">
          <a:off x="19907764" y="2628900"/>
          <a:ext cx="689096" cy="7239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349624</xdr:colOff>
      <xdr:row>10</xdr:row>
      <xdr:rowOff>117226</xdr:rowOff>
    </xdr:from>
    <xdr:to>
      <xdr:col>23</xdr:col>
      <xdr:colOff>1090828</xdr:colOff>
      <xdr:row>14</xdr:row>
      <xdr:rowOff>62041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B39A864E-0796-CB43-D972-16F105D95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236518" y="1910167"/>
          <a:ext cx="2731369" cy="661992"/>
        </a:xfrm>
        <a:prstGeom prst="rect">
          <a:avLst/>
        </a:prstGeom>
      </xdr:spPr>
    </xdr:pic>
    <xdr:clientData/>
  </xdr:twoCellAnchor>
  <xdr:twoCellAnchor>
    <xdr:from>
      <xdr:col>22</xdr:col>
      <xdr:colOff>564776</xdr:colOff>
      <xdr:row>14</xdr:row>
      <xdr:rowOff>62041</xdr:rowOff>
    </xdr:from>
    <xdr:to>
      <xdr:col>22</xdr:col>
      <xdr:colOff>827803</xdr:colOff>
      <xdr:row>18</xdr:row>
      <xdr:rowOff>26894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C4816F1C-401D-8B87-8494-DD8B70FEAA90}"/>
            </a:ext>
          </a:extLst>
        </xdr:cNvPr>
        <xdr:cNvCxnSpPr>
          <a:endCxn id="10" idx="2"/>
        </xdr:cNvCxnSpPr>
      </xdr:nvCxnSpPr>
      <xdr:spPr>
        <a:xfrm flipV="1">
          <a:off x="24339176" y="2572159"/>
          <a:ext cx="263027" cy="85235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394447</xdr:colOff>
      <xdr:row>10</xdr:row>
      <xdr:rowOff>43836</xdr:rowOff>
    </xdr:from>
    <xdr:to>
      <xdr:col>21</xdr:col>
      <xdr:colOff>321306</xdr:colOff>
      <xdr:row>15</xdr:row>
      <xdr:rowOff>38502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5235B433-D17B-65E2-ACAB-794470980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506329" y="1836777"/>
          <a:ext cx="1701871" cy="891137"/>
        </a:xfrm>
        <a:prstGeom prst="rect">
          <a:avLst/>
        </a:prstGeom>
      </xdr:spPr>
    </xdr:pic>
    <xdr:clientData/>
  </xdr:twoCellAnchor>
  <xdr:twoCellAnchor>
    <xdr:from>
      <xdr:col>20</xdr:col>
      <xdr:colOff>357877</xdr:colOff>
      <xdr:row>15</xdr:row>
      <xdr:rowOff>38502</xdr:rowOff>
    </xdr:from>
    <xdr:to>
      <xdr:col>20</xdr:col>
      <xdr:colOff>525780</xdr:colOff>
      <xdr:row>17</xdr:row>
      <xdr:rowOff>342900</xdr:rowOff>
    </xdr:to>
    <xdr:cxnSp macro="">
      <xdr:nvCxnSpPr>
        <xdr:cNvPr id="18" name="直接箭头连接符 17">
          <a:extLst>
            <a:ext uri="{FF2B5EF4-FFF2-40B4-BE49-F238E27FC236}">
              <a16:creationId xmlns:a16="http://schemas.microsoft.com/office/drawing/2014/main" id="{CCCF91A8-9BF0-196D-7234-9CCD2A2344A0}"/>
            </a:ext>
          </a:extLst>
        </xdr:cNvPr>
        <xdr:cNvCxnSpPr>
          <a:endCxn id="15" idx="2"/>
        </xdr:cNvCxnSpPr>
      </xdr:nvCxnSpPr>
      <xdr:spPr>
        <a:xfrm flipH="1" flipV="1">
          <a:off x="22349197" y="2667402"/>
          <a:ext cx="167903" cy="654918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117928</xdr:colOff>
      <xdr:row>10</xdr:row>
      <xdr:rowOff>79081</xdr:rowOff>
    </xdr:from>
    <xdr:to>
      <xdr:col>24</xdr:col>
      <xdr:colOff>1420456</xdr:colOff>
      <xdr:row>14</xdr:row>
      <xdr:rowOff>91440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3728A88-9660-7852-E4F2-171CA5A8F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102128" y="1831681"/>
          <a:ext cx="1302528" cy="713399"/>
        </a:xfrm>
        <a:prstGeom prst="rect">
          <a:avLst/>
        </a:prstGeom>
      </xdr:spPr>
    </xdr:pic>
    <xdr:clientData/>
  </xdr:twoCellAnchor>
  <xdr:twoCellAnchor>
    <xdr:from>
      <xdr:col>23</xdr:col>
      <xdr:colOff>647700</xdr:colOff>
      <xdr:row>14</xdr:row>
      <xdr:rowOff>91440</xdr:rowOff>
    </xdr:from>
    <xdr:to>
      <xdr:col>24</xdr:col>
      <xdr:colOff>769192</xdr:colOff>
      <xdr:row>18</xdr:row>
      <xdr:rowOff>83820</xdr:rowOff>
    </xdr:to>
    <xdr:cxnSp macro="">
      <xdr:nvCxnSpPr>
        <xdr:cNvPr id="23" name="直接箭头连接符 22">
          <a:extLst>
            <a:ext uri="{FF2B5EF4-FFF2-40B4-BE49-F238E27FC236}">
              <a16:creationId xmlns:a16="http://schemas.microsoft.com/office/drawing/2014/main" id="{D3641666-F62A-CED9-FF76-CF224669EF9E}"/>
            </a:ext>
          </a:extLst>
        </xdr:cNvPr>
        <xdr:cNvCxnSpPr>
          <a:endCxn id="21" idx="2"/>
        </xdr:cNvCxnSpPr>
      </xdr:nvCxnSpPr>
      <xdr:spPr>
        <a:xfrm flipV="1">
          <a:off x="25527000" y="2545080"/>
          <a:ext cx="1226392" cy="86868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225335</xdr:colOff>
      <xdr:row>0</xdr:row>
      <xdr:rowOff>25037</xdr:rowOff>
    </xdr:from>
    <xdr:to>
      <xdr:col>12</xdr:col>
      <xdr:colOff>314145</xdr:colOff>
      <xdr:row>9</xdr:row>
      <xdr:rowOff>153234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13B888-5BE6-4659-BA08-75916B268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1678" y="25037"/>
          <a:ext cx="7338696" cy="2142054"/>
        </a:xfrm>
        <a:prstGeom prst="rect">
          <a:avLst/>
        </a:prstGeom>
      </xdr:spPr>
    </xdr:pic>
    <xdr:clientData/>
  </xdr:twoCellAnchor>
  <xdr:twoCellAnchor>
    <xdr:from>
      <xdr:col>9</xdr:col>
      <xdr:colOff>16328</xdr:colOff>
      <xdr:row>40</xdr:row>
      <xdr:rowOff>171995</xdr:rowOff>
    </xdr:from>
    <xdr:to>
      <xdr:col>18</xdr:col>
      <xdr:colOff>587828</xdr:colOff>
      <xdr:row>65</xdr:row>
      <xdr:rowOff>13855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AE5C9-C33D-452A-8A62-A546587B6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374073</xdr:colOff>
      <xdr:row>41</xdr:row>
      <xdr:rowOff>13854</xdr:rowOff>
    </xdr:from>
    <xdr:to>
      <xdr:col>29</xdr:col>
      <xdr:colOff>595746</xdr:colOff>
      <xdr:row>65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2401C6-4616-480C-89F5-458CE3880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304800</xdr:colOff>
      <xdr:row>39</xdr:row>
      <xdr:rowOff>121921</xdr:rowOff>
    </xdr:to>
    <xdr:sp macro="" textlink="">
      <xdr:nvSpPr>
        <xdr:cNvPr id="5121" name="AutoShape 1" descr="{\displaystyle \mathrm {LSE} (x_{1},\dots ,x_{n})=\log \left(\exp(x_{1})+\cdots +\exp(x_{n})\right).}">
          <a:extLst>
            <a:ext uri="{FF2B5EF4-FFF2-40B4-BE49-F238E27FC236}">
              <a16:creationId xmlns:a16="http://schemas.microsoft.com/office/drawing/2014/main" id="{08287D5E-AE2F-409C-8941-BAB496446E98}"/>
            </a:ext>
          </a:extLst>
        </xdr:cNvPr>
        <xdr:cNvSpPr>
          <a:spLocks noChangeAspect="1" noChangeArrowheads="1"/>
        </xdr:cNvSpPr>
      </xdr:nvSpPr>
      <xdr:spPr bwMode="auto">
        <a:xfrm>
          <a:off x="304800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347253</xdr:colOff>
      <xdr:row>10</xdr:row>
      <xdr:rowOff>138545</xdr:rowOff>
    </xdr:from>
    <xdr:to>
      <xdr:col>30</xdr:col>
      <xdr:colOff>13854</xdr:colOff>
      <xdr:row>38</xdr:row>
      <xdr:rowOff>68579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C7D1C9-8B5A-48F4-A0B2-5C8EB5490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0</xdr:colOff>
      <xdr:row>82</xdr:row>
      <xdr:rowOff>0</xdr:rowOff>
    </xdr:from>
    <xdr:to>
      <xdr:col>18</xdr:col>
      <xdr:colOff>259702</xdr:colOff>
      <xdr:row>111</xdr:row>
      <xdr:rowOff>160493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177482-04C7-4C44-A2F8-D749C8003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67200" y="14996160"/>
          <a:ext cx="7178662" cy="5464013"/>
        </a:xfrm>
        <a:prstGeom prst="rect">
          <a:avLst/>
        </a:prstGeom>
      </xdr:spPr>
    </xdr:pic>
    <xdr:clientData/>
  </xdr:twoCellAnchor>
  <xdr:twoCellAnchor>
    <xdr:from>
      <xdr:col>9</xdr:col>
      <xdr:colOff>12963</xdr:colOff>
      <xdr:row>11</xdr:row>
      <xdr:rowOff>21771</xdr:rowOff>
    </xdr:from>
    <xdr:to>
      <xdr:col>18</xdr:col>
      <xdr:colOff>587828</xdr:colOff>
      <xdr:row>38</xdr:row>
      <xdr:rowOff>41563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75C540-9341-4613-8658-CA3A30692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838200</xdr:colOff>
      <xdr:row>9</xdr:row>
      <xdr:rowOff>153234</xdr:rowOff>
    </xdr:from>
    <xdr:to>
      <xdr:col>6</xdr:col>
      <xdr:colOff>520112</xdr:colOff>
      <xdr:row>17</xdr:row>
      <xdr:rowOff>119743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646157DA-BE3F-409C-2884-A3270A018F86}"/>
            </a:ext>
          </a:extLst>
        </xdr:cNvPr>
        <xdr:cNvCxnSpPr>
          <a:endCxn id="3" idx="2"/>
        </xdr:cNvCxnSpPr>
      </xdr:nvCxnSpPr>
      <xdr:spPr>
        <a:xfrm flipV="1">
          <a:off x="4234543" y="2167091"/>
          <a:ext cx="3056483" cy="17082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</xdr:colOff>
      <xdr:row>0</xdr:row>
      <xdr:rowOff>53341</xdr:rowOff>
    </xdr:from>
    <xdr:to>
      <xdr:col>16</xdr:col>
      <xdr:colOff>533542</xdr:colOff>
      <xdr:row>11</xdr:row>
      <xdr:rowOff>106681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7EBD07-BB29-4527-A290-BDFAB4237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1180" y="53341"/>
          <a:ext cx="7635382" cy="2369820"/>
        </a:xfrm>
        <a:prstGeom prst="rect">
          <a:avLst/>
        </a:prstGeom>
      </xdr:spPr>
    </xdr:pic>
    <xdr:clientData/>
  </xdr:twoCellAnchor>
  <xdr:twoCellAnchor>
    <xdr:from>
      <xdr:col>6</xdr:col>
      <xdr:colOff>6276</xdr:colOff>
      <xdr:row>5</xdr:row>
      <xdr:rowOff>97267</xdr:rowOff>
    </xdr:from>
    <xdr:to>
      <xdr:col>13</xdr:col>
      <xdr:colOff>394896</xdr:colOff>
      <xdr:row>20</xdr:row>
      <xdr:rowOff>218739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5F2AF-C701-4AAF-8DD6-619A738E9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354448</xdr:colOff>
      <xdr:row>1</xdr:row>
      <xdr:rowOff>76200</xdr:rowOff>
    </xdr:from>
    <xdr:to>
      <xdr:col>24</xdr:col>
      <xdr:colOff>500743</xdr:colOff>
      <xdr:row>6</xdr:row>
      <xdr:rowOff>119743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96CAF9D7-A0D0-481F-8896-9D68237747F7}"/>
            </a:ext>
          </a:extLst>
        </xdr:cNvPr>
        <xdr:cNvCxnSpPr>
          <a:endCxn id="3" idx="0"/>
        </xdr:cNvCxnSpPr>
      </xdr:nvCxnSpPr>
      <xdr:spPr>
        <a:xfrm flipH="1">
          <a:off x="18250562" y="772886"/>
          <a:ext cx="1419924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524510</xdr:colOff>
      <xdr:row>4</xdr:row>
      <xdr:rowOff>116840</xdr:rowOff>
    </xdr:from>
    <xdr:to>
      <xdr:col>41</xdr:col>
      <xdr:colOff>345674</xdr:colOff>
      <xdr:row>9</xdr:row>
      <xdr:rowOff>8792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E08558A9-3216-4538-97AB-EF2989B37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642310" y="1343660"/>
          <a:ext cx="2930124" cy="768252"/>
        </a:xfrm>
        <a:prstGeom prst="rect">
          <a:avLst/>
        </a:prstGeom>
      </xdr:spPr>
    </xdr:pic>
    <xdr:clientData/>
  </xdr:twoCellAnchor>
  <xdr:twoCellAnchor>
    <xdr:from>
      <xdr:col>37</xdr:col>
      <xdr:colOff>388620</xdr:colOff>
      <xdr:row>0</xdr:row>
      <xdr:rowOff>541020</xdr:rowOff>
    </xdr:from>
    <xdr:to>
      <xdr:col>39</xdr:col>
      <xdr:colOff>99812</xdr:colOff>
      <xdr:row>4</xdr:row>
      <xdr:rowOff>116840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9190FF9E-AD14-4EDA-B21C-0B142E67E8D3}"/>
            </a:ext>
          </a:extLst>
        </xdr:cNvPr>
        <xdr:cNvCxnSpPr>
          <a:endCxn id="11" idx="0"/>
        </xdr:cNvCxnSpPr>
      </xdr:nvCxnSpPr>
      <xdr:spPr>
        <a:xfrm>
          <a:off x="29100780" y="541020"/>
          <a:ext cx="1006592" cy="8026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121920</xdr:colOff>
      <xdr:row>7</xdr:row>
      <xdr:rowOff>87630</xdr:rowOff>
    </xdr:from>
    <xdr:to>
      <xdr:col>32</xdr:col>
      <xdr:colOff>320040</xdr:colOff>
      <xdr:row>22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03214E-7229-4C6B-AB81-F804CD7E0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491180</xdr:colOff>
      <xdr:row>6</xdr:row>
      <xdr:rowOff>119743</xdr:rowOff>
    </xdr:from>
    <xdr:to>
      <xdr:col>24</xdr:col>
      <xdr:colOff>653144</xdr:colOff>
      <xdr:row>15</xdr:row>
      <xdr:rowOff>92634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F5955C9-E723-5739-0BD8-94C79C830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78237" y="1687286"/>
          <a:ext cx="3144650" cy="1540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math.stackexchange.com/questions/3233404/log-sum-exp-as-an-approximation-of-min-functi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F55C-6A3D-40B8-A33D-259E4134AA50}">
  <dimension ref="A1:AC69"/>
  <sheetViews>
    <sheetView tabSelected="1" zoomScale="70" zoomScaleNormal="70" workbookViewId="0"/>
  </sheetViews>
  <sheetFormatPr defaultRowHeight="14.4"/>
  <cols>
    <col min="1" max="1" width="51.33203125" style="4" bestFit="1" customWidth="1"/>
    <col min="2" max="2" width="19.33203125" style="4" bestFit="1" customWidth="1"/>
    <col min="3" max="3" width="7.77734375" style="4" customWidth="1"/>
    <col min="4" max="5" width="12" style="4" bestFit="1" customWidth="1"/>
    <col min="6" max="6" width="13.44140625" style="4" customWidth="1"/>
    <col min="7" max="7" width="12" style="6" customWidth="1"/>
    <col min="8" max="8" width="17.5546875" style="6" bestFit="1" customWidth="1"/>
    <col min="9" max="9" width="19.33203125" style="6" bestFit="1" customWidth="1"/>
    <col min="10" max="10" width="29.33203125" style="6" bestFit="1" customWidth="1"/>
    <col min="11" max="16" width="12" style="6" customWidth="1"/>
    <col min="17" max="17" width="10.33203125" style="6" customWidth="1"/>
    <col min="18" max="18" width="13" bestFit="1" customWidth="1"/>
    <col min="19" max="19" width="18.21875" bestFit="1" customWidth="1"/>
    <col min="20" max="22" width="13" customWidth="1"/>
    <col min="23" max="23" width="16.109375" bestFit="1" customWidth="1"/>
    <col min="24" max="24" width="16.109375" customWidth="1"/>
    <col min="25" max="25" width="27.109375" bestFit="1" customWidth="1"/>
    <col min="26" max="27" width="27.109375" customWidth="1"/>
    <col min="28" max="28" width="14.5546875" customWidth="1"/>
  </cols>
  <sheetData>
    <row r="1" spans="1:11" ht="36" customHeight="1">
      <c r="A1" s="28" t="s">
        <v>260</v>
      </c>
      <c r="C1" s="24"/>
      <c r="D1" s="24"/>
      <c r="E1" s="24"/>
      <c r="F1" s="33" t="s">
        <v>205</v>
      </c>
      <c r="G1" s="34" t="s">
        <v>206</v>
      </c>
      <c r="H1" s="34" t="s">
        <v>41</v>
      </c>
      <c r="I1" s="34" t="s">
        <v>207</v>
      </c>
      <c r="J1" s="34" t="s">
        <v>9</v>
      </c>
      <c r="K1" s="35" t="s">
        <v>224</v>
      </c>
    </row>
    <row r="2" spans="1:11">
      <c r="C2" s="24"/>
      <c r="D2" s="24"/>
      <c r="E2" s="24"/>
      <c r="F2" s="33">
        <v>1800</v>
      </c>
      <c r="G2" s="34">
        <v>70</v>
      </c>
      <c r="H2" s="34">
        <v>2.4700000000000002</v>
      </c>
      <c r="I2" s="33">
        <v>1.28</v>
      </c>
      <c r="J2" s="33">
        <v>0.85899999999999999</v>
      </c>
      <c r="K2" s="35">
        <f>I2*J2</f>
        <v>1.0995200000000001</v>
      </c>
    </row>
    <row r="3" spans="1:11">
      <c r="A3" s="28" t="s">
        <v>216</v>
      </c>
      <c r="B3" s="4" t="s">
        <v>219</v>
      </c>
      <c r="C3" s="24"/>
      <c r="D3" s="24"/>
      <c r="E3" s="24"/>
      <c r="F3" s="24"/>
      <c r="G3" s="25"/>
      <c r="H3" s="25"/>
      <c r="I3" s="24"/>
      <c r="J3" s="24"/>
    </row>
    <row r="4" spans="1:11">
      <c r="C4" s="24"/>
      <c r="D4" s="24"/>
      <c r="E4" s="24"/>
      <c r="F4" s="24"/>
      <c r="G4" s="25"/>
      <c r="H4" s="25"/>
      <c r="I4" s="24"/>
      <c r="J4" s="24"/>
    </row>
    <row r="5" spans="1:11">
      <c r="C5" s="24"/>
      <c r="D5" s="24"/>
      <c r="E5" s="24"/>
      <c r="F5" s="24"/>
      <c r="G5" s="25"/>
      <c r="H5" s="25"/>
      <c r="I5" s="24"/>
      <c r="J5" s="24"/>
    </row>
    <row r="6" spans="1:11">
      <c r="C6" s="24"/>
      <c r="D6" s="24"/>
      <c r="E6" s="24"/>
      <c r="F6" s="24"/>
      <c r="G6" s="25"/>
      <c r="H6" s="25"/>
      <c r="I6" s="24"/>
      <c r="J6" s="24"/>
    </row>
    <row r="7" spans="1:11">
      <c r="C7" s="24"/>
      <c r="D7" s="24"/>
      <c r="E7" s="24"/>
      <c r="F7" s="24"/>
      <c r="G7" s="25"/>
      <c r="H7" s="25"/>
      <c r="I7" s="24"/>
      <c r="J7" s="24"/>
    </row>
    <row r="8" spans="1:11">
      <c r="C8" s="24"/>
      <c r="D8" s="24"/>
      <c r="E8" s="24"/>
      <c r="F8" s="24"/>
      <c r="G8" s="25"/>
      <c r="H8" s="25"/>
      <c r="I8" s="24"/>
      <c r="J8" s="24"/>
    </row>
    <row r="9" spans="1:11">
      <c r="A9" s="28" t="s">
        <v>215</v>
      </c>
      <c r="B9" s="4" t="s">
        <v>217</v>
      </c>
      <c r="C9" s="24"/>
      <c r="D9" s="24"/>
      <c r="E9" s="24"/>
      <c r="F9" s="27" t="s">
        <v>220</v>
      </c>
      <c r="G9" s="25"/>
      <c r="H9" s="25"/>
      <c r="I9" s="27" t="s">
        <v>218</v>
      </c>
      <c r="J9" s="24"/>
    </row>
    <row r="18" spans="1:29" ht="57.6">
      <c r="A18" s="29" t="s">
        <v>251</v>
      </c>
      <c r="Y18" s="30" t="s">
        <v>222</v>
      </c>
    </row>
    <row r="19" spans="1:29">
      <c r="A19" s="4" t="s">
        <v>49</v>
      </c>
      <c r="B19" s="4" t="s">
        <v>33</v>
      </c>
      <c r="C19" s="4" t="s">
        <v>47</v>
      </c>
      <c r="D19" s="4" t="s">
        <v>3</v>
      </c>
      <c r="E19" s="5" t="s">
        <v>6</v>
      </c>
      <c r="F19" s="5" t="s">
        <v>50</v>
      </c>
      <c r="G19" s="6" t="s">
        <v>36</v>
      </c>
      <c r="H19" s="4" t="s">
        <v>34</v>
      </c>
      <c r="I19" s="4" t="s">
        <v>42</v>
      </c>
      <c r="J19" s="4" t="s">
        <v>35</v>
      </c>
      <c r="K19" s="4" t="s">
        <v>40</v>
      </c>
      <c r="L19" s="4" t="s">
        <v>41</v>
      </c>
      <c r="M19" s="4" t="s">
        <v>5</v>
      </c>
      <c r="N19" s="4" t="s">
        <v>9</v>
      </c>
      <c r="O19" s="6" t="s">
        <v>37</v>
      </c>
      <c r="P19" s="6" t="s">
        <v>38</v>
      </c>
      <c r="Q19" s="6" t="s">
        <v>39</v>
      </c>
      <c r="R19" s="6" t="s">
        <v>43</v>
      </c>
      <c r="S19" s="6" t="s">
        <v>45</v>
      </c>
      <c r="T19" s="6" t="s">
        <v>7</v>
      </c>
      <c r="U19" s="6" t="s">
        <v>48</v>
      </c>
      <c r="V19" s="6" t="s">
        <v>46</v>
      </c>
      <c r="W19" s="4" t="s">
        <v>51</v>
      </c>
      <c r="X19" s="4" t="s">
        <v>221</v>
      </c>
      <c r="Y19" s="4" t="s">
        <v>44</v>
      </c>
      <c r="Z19" s="4" t="s">
        <v>52</v>
      </c>
      <c r="AA19" s="4"/>
      <c r="AB19" s="4"/>
      <c r="AC19" s="4"/>
    </row>
    <row r="20" spans="1:29">
      <c r="A20" s="4">
        <v>3</v>
      </c>
      <c r="B20" s="4">
        <v>1</v>
      </c>
      <c r="C20" s="4">
        <v>1</v>
      </c>
      <c r="D20" s="4">
        <f>B20/H20</f>
        <v>5.5555555555555556E-4</v>
      </c>
      <c r="E20" s="5">
        <f>MAX(D20^M20,1)</f>
        <v>1</v>
      </c>
      <c r="F20" s="5">
        <f t="shared" ref="F20:F64" si="0">MAX(A20-E20,0)</f>
        <v>2</v>
      </c>
      <c r="G20" s="6">
        <f t="shared" ref="G20:G38" si="1">IF(E20&gt;=1,J20/(E20^N20),"")</f>
        <v>40</v>
      </c>
      <c r="H20" s="4">
        <f>$F$2</f>
        <v>1800</v>
      </c>
      <c r="I20" s="4">
        <f>$G$2</f>
        <v>70</v>
      </c>
      <c r="J20" s="4">
        <f>H20/45</f>
        <v>40</v>
      </c>
      <c r="K20" s="4">
        <f>H20/J20</f>
        <v>45</v>
      </c>
      <c r="L20" s="4">
        <f>$H$2</f>
        <v>2.4700000000000002</v>
      </c>
      <c r="M20" s="4">
        <f>$I$2</f>
        <v>1.28</v>
      </c>
      <c r="N20" s="4">
        <f>$J$2</f>
        <v>0.85899999999999999</v>
      </c>
      <c r="O20" s="6">
        <f>K20^L20</f>
        <v>12118.110519423921</v>
      </c>
      <c r="P20" s="6">
        <f>O20*(I20^L20)^0.5</f>
        <v>2302136.0646511102</v>
      </c>
      <c r="Q20" s="6">
        <f>B20^L20</f>
        <v>1</v>
      </c>
      <c r="R20">
        <f>IFERROR((P20+(P20^2-4*O20*Q20)^0.5)/(2*O20),"")</f>
        <v>189.97483606847777</v>
      </c>
      <c r="S20">
        <f>IFERROR((R20^2)^(1/L20),"")</f>
        <v>69.999999870400359</v>
      </c>
      <c r="T20">
        <f>B20/E20</f>
        <v>1</v>
      </c>
      <c r="U20">
        <f t="shared" ref="U20:U38" si="2">IFERROR(C20/G20-C20/J20,"")</f>
        <v>0</v>
      </c>
      <c r="W20" s="4">
        <f>(V20/(120*T20))*(E20)^4</f>
        <v>0</v>
      </c>
      <c r="X20" s="4">
        <f>C20/((C20/J20)+W20)</f>
        <v>40</v>
      </c>
      <c r="Y20" s="4">
        <f>MAX(X20,S20)</f>
        <v>69.999999870400359</v>
      </c>
      <c r="Z20" s="4">
        <f t="shared" ref="Z20:Z64" si="3">(F20/A20)*(I20+MAX(J20,Y20))/2+Y20*(E20/A20)</f>
        <v>69.999999913600234</v>
      </c>
      <c r="AA20" s="4"/>
      <c r="AB20" s="4"/>
      <c r="AC20" s="4"/>
    </row>
    <row r="21" spans="1:29">
      <c r="A21" s="4">
        <v>3</v>
      </c>
      <c r="B21" s="4">
        <v>100</v>
      </c>
      <c r="C21" s="4">
        <v>1</v>
      </c>
      <c r="D21" s="4">
        <f t="shared" ref="D21:D59" si="4">B21/H21</f>
        <v>5.5555555555555552E-2</v>
      </c>
      <c r="E21" s="5">
        <f>MAX(D21^M21,1)</f>
        <v>1</v>
      </c>
      <c r="F21" s="5">
        <f t="shared" si="0"/>
        <v>2</v>
      </c>
      <c r="G21" s="6">
        <f t="shared" si="1"/>
        <v>40</v>
      </c>
      <c r="H21" s="4">
        <f t="shared" ref="H21:H64" si="5">$F$2</f>
        <v>1800</v>
      </c>
      <c r="I21" s="4">
        <f t="shared" ref="I21:I64" si="6">$G$2</f>
        <v>70</v>
      </c>
      <c r="J21" s="4">
        <f t="shared" ref="J21:J64" si="7">H21/45</f>
        <v>40</v>
      </c>
      <c r="K21" s="4">
        <f t="shared" ref="K21:K59" si="8">H21/J21</f>
        <v>45</v>
      </c>
      <c r="L21" s="4">
        <f t="shared" ref="L21:L64" si="9">$H$2</f>
        <v>2.4700000000000002</v>
      </c>
      <c r="M21" s="4">
        <f t="shared" ref="M21:M64" si="10">$I$2</f>
        <v>1.28</v>
      </c>
      <c r="N21" s="4">
        <f t="shared" ref="N21:N64" si="11">$J$2</f>
        <v>0.85899999999999999</v>
      </c>
      <c r="O21" s="6">
        <f t="shared" ref="O21:O59" si="12">K21^L21</f>
        <v>12118.110519423921</v>
      </c>
      <c r="P21" s="6">
        <f t="shared" ref="P21:P59" si="13">O21*(I21^L21)^0.5</f>
        <v>2302136.0646511102</v>
      </c>
      <c r="Q21" s="6">
        <f t="shared" ref="Q21:Q59" si="14">B21^L21</f>
        <v>87096.358995608287</v>
      </c>
      <c r="R21">
        <f t="shared" ref="R21:R59" si="15">IFERROR((P21+(P21^2-4*O21*Q21)^0.5)/(2*O21),"")</f>
        <v>189.93699611966227</v>
      </c>
      <c r="S21">
        <f t="shared" ref="S21:S59" si="16">IFERROR((R21^2)^(1/L21),"")</f>
        <v>69.988709874759834</v>
      </c>
      <c r="T21">
        <f t="shared" ref="T21:T59" si="17">B21/E21</f>
        <v>100</v>
      </c>
      <c r="U21">
        <f t="shared" si="2"/>
        <v>0</v>
      </c>
      <c r="W21" s="4">
        <f t="shared" ref="W21:W59" si="18">(V21/(120*T21))*(E21)^4</f>
        <v>0</v>
      </c>
      <c r="X21" s="4">
        <f t="shared" ref="X21:X38" si="19">C21/((C21/J21)+W21)</f>
        <v>40</v>
      </c>
      <c r="Y21" s="4">
        <f t="shared" ref="Y21:Y38" si="20">MAX(X21,S21)</f>
        <v>69.988709874759834</v>
      </c>
      <c r="Z21" s="4">
        <f>(F21/A21)*(I21+MAX(J21,Y21))/2+Y21*(E21/A21)</f>
        <v>69.992473249839875</v>
      </c>
    </row>
    <row r="22" spans="1:29">
      <c r="A22" s="4">
        <v>3</v>
      </c>
      <c r="B22" s="4">
        <v>200</v>
      </c>
      <c r="C22" s="4">
        <v>1</v>
      </c>
      <c r="D22" s="4">
        <f t="shared" si="4"/>
        <v>0.1111111111111111</v>
      </c>
      <c r="E22" s="5">
        <f t="shared" ref="E22:E64" si="21">MAX(D22^M22,1)</f>
        <v>1</v>
      </c>
      <c r="F22" s="5">
        <f t="shared" si="0"/>
        <v>2</v>
      </c>
      <c r="G22" s="6">
        <f t="shared" si="1"/>
        <v>40</v>
      </c>
      <c r="H22" s="4">
        <f t="shared" si="5"/>
        <v>1800</v>
      </c>
      <c r="I22" s="4">
        <f t="shared" si="6"/>
        <v>70</v>
      </c>
      <c r="J22" s="4">
        <f t="shared" si="7"/>
        <v>40</v>
      </c>
      <c r="K22" s="4">
        <f t="shared" si="8"/>
        <v>45</v>
      </c>
      <c r="L22" s="4">
        <f t="shared" si="9"/>
        <v>2.4700000000000002</v>
      </c>
      <c r="M22" s="4">
        <f t="shared" si="10"/>
        <v>1.28</v>
      </c>
      <c r="N22" s="4">
        <f t="shared" si="11"/>
        <v>0.85899999999999999</v>
      </c>
      <c r="O22" s="6">
        <f t="shared" si="12"/>
        <v>12118.110519423921</v>
      </c>
      <c r="P22" s="6">
        <f t="shared" si="13"/>
        <v>2302136.0646511102</v>
      </c>
      <c r="Q22" s="6">
        <f t="shared" si="14"/>
        <v>482551.96593121946</v>
      </c>
      <c r="R22">
        <f>IFERROR((P22+(P22^2-4*O22*Q22)^0.5)/(2*O22),"")</f>
        <v>189.76499418302444</v>
      </c>
      <c r="S22">
        <f t="shared" si="16"/>
        <v>69.937385669670164</v>
      </c>
      <c r="T22">
        <f t="shared" si="17"/>
        <v>200</v>
      </c>
      <c r="U22">
        <f t="shared" si="2"/>
        <v>0</v>
      </c>
      <c r="W22" s="4">
        <f t="shared" si="18"/>
        <v>0</v>
      </c>
      <c r="X22" s="4">
        <f t="shared" si="19"/>
        <v>40</v>
      </c>
      <c r="Y22" s="4">
        <f t="shared" si="20"/>
        <v>69.937385669670164</v>
      </c>
      <c r="Z22" s="4">
        <f t="shared" si="3"/>
        <v>69.958257113113433</v>
      </c>
    </row>
    <row r="23" spans="1:29">
      <c r="A23" s="4">
        <v>3</v>
      </c>
      <c r="B23" s="4">
        <v>300</v>
      </c>
      <c r="C23" s="4">
        <v>1</v>
      </c>
      <c r="D23" s="4">
        <f t="shared" si="4"/>
        <v>0.16666666666666666</v>
      </c>
      <c r="E23" s="5">
        <f t="shared" si="21"/>
        <v>1</v>
      </c>
      <c r="F23" s="5">
        <f t="shared" si="0"/>
        <v>2</v>
      </c>
      <c r="G23" s="6">
        <f t="shared" si="1"/>
        <v>40</v>
      </c>
      <c r="H23" s="4">
        <f t="shared" si="5"/>
        <v>1800</v>
      </c>
      <c r="I23" s="4">
        <f t="shared" si="6"/>
        <v>70</v>
      </c>
      <c r="J23" s="4">
        <f t="shared" si="7"/>
        <v>40</v>
      </c>
      <c r="K23" s="4">
        <f t="shared" si="8"/>
        <v>45</v>
      </c>
      <c r="L23" s="4">
        <f t="shared" si="9"/>
        <v>2.4700000000000002</v>
      </c>
      <c r="M23" s="4">
        <f t="shared" si="10"/>
        <v>1.28</v>
      </c>
      <c r="N23" s="4">
        <f t="shared" si="11"/>
        <v>0.85899999999999999</v>
      </c>
      <c r="O23" s="6">
        <f t="shared" si="12"/>
        <v>12118.110519423921</v>
      </c>
      <c r="P23" s="6">
        <f t="shared" si="13"/>
        <v>2302136.0646511102</v>
      </c>
      <c r="Q23" s="6">
        <f t="shared" si="14"/>
        <v>1313679.7310044728</v>
      </c>
      <c r="R23">
        <f t="shared" si="15"/>
        <v>189.40247694983066</v>
      </c>
      <c r="S23">
        <f t="shared" si="16"/>
        <v>69.829183995899825</v>
      </c>
      <c r="T23">
        <f t="shared" si="17"/>
        <v>300</v>
      </c>
      <c r="U23">
        <f t="shared" si="2"/>
        <v>0</v>
      </c>
      <c r="W23" s="4">
        <f t="shared" si="18"/>
        <v>0</v>
      </c>
      <c r="X23" s="4">
        <f t="shared" si="19"/>
        <v>40</v>
      </c>
      <c r="Y23" s="4">
        <f t="shared" si="20"/>
        <v>69.829183995899825</v>
      </c>
      <c r="Z23" s="4">
        <f t="shared" si="3"/>
        <v>69.886122663933207</v>
      </c>
    </row>
    <row r="24" spans="1:29">
      <c r="A24" s="4">
        <v>3</v>
      </c>
      <c r="B24" s="4">
        <v>400</v>
      </c>
      <c r="C24" s="4">
        <v>1</v>
      </c>
      <c r="D24" s="4">
        <f t="shared" si="4"/>
        <v>0.22222222222222221</v>
      </c>
      <c r="E24" s="5">
        <f t="shared" si="21"/>
        <v>1</v>
      </c>
      <c r="F24" s="5">
        <f t="shared" si="0"/>
        <v>2</v>
      </c>
      <c r="G24" s="6">
        <f t="shared" si="1"/>
        <v>40</v>
      </c>
      <c r="H24" s="4">
        <f t="shared" si="5"/>
        <v>1800</v>
      </c>
      <c r="I24" s="4">
        <f t="shared" si="6"/>
        <v>70</v>
      </c>
      <c r="J24" s="4">
        <f t="shared" si="7"/>
        <v>40</v>
      </c>
      <c r="K24" s="4">
        <f t="shared" si="8"/>
        <v>45</v>
      </c>
      <c r="L24" s="4">
        <f t="shared" si="9"/>
        <v>2.4700000000000002</v>
      </c>
      <c r="M24" s="4">
        <f t="shared" si="10"/>
        <v>1.28</v>
      </c>
      <c r="N24" s="4">
        <f t="shared" si="11"/>
        <v>0.85899999999999999</v>
      </c>
      <c r="O24" s="6">
        <f t="shared" si="12"/>
        <v>12118.110519423921</v>
      </c>
      <c r="P24" s="6">
        <f t="shared" si="13"/>
        <v>2302136.0646511102</v>
      </c>
      <c r="Q24" s="6">
        <f t="shared" si="14"/>
        <v>2673549.187467488</v>
      </c>
      <c r="R24">
        <f t="shared" si="15"/>
        <v>188.80631487836521</v>
      </c>
      <c r="S24">
        <f t="shared" si="16"/>
        <v>69.651159855415585</v>
      </c>
      <c r="T24">
        <f t="shared" si="17"/>
        <v>400</v>
      </c>
      <c r="U24">
        <f t="shared" si="2"/>
        <v>0</v>
      </c>
      <c r="W24" s="4">
        <f t="shared" si="18"/>
        <v>0</v>
      </c>
      <c r="X24" s="4">
        <f t="shared" si="19"/>
        <v>40</v>
      </c>
      <c r="Y24" s="4">
        <f t="shared" si="20"/>
        <v>69.651159855415585</v>
      </c>
      <c r="Z24" s="4">
        <f t="shared" si="3"/>
        <v>69.767439903610381</v>
      </c>
    </row>
    <row r="25" spans="1:29">
      <c r="A25" s="4">
        <v>3</v>
      </c>
      <c r="B25" s="4">
        <v>500</v>
      </c>
      <c r="C25" s="4">
        <v>1</v>
      </c>
      <c r="D25" s="4">
        <f t="shared" si="4"/>
        <v>0.27777777777777779</v>
      </c>
      <c r="E25" s="5">
        <f t="shared" si="21"/>
        <v>1</v>
      </c>
      <c r="F25" s="5">
        <f t="shared" si="0"/>
        <v>2</v>
      </c>
      <c r="G25" s="6">
        <f t="shared" si="1"/>
        <v>40</v>
      </c>
      <c r="H25" s="4">
        <f t="shared" si="5"/>
        <v>1800</v>
      </c>
      <c r="I25" s="4">
        <f t="shared" si="6"/>
        <v>70</v>
      </c>
      <c r="J25" s="4">
        <f t="shared" si="7"/>
        <v>40</v>
      </c>
      <c r="K25" s="4">
        <f t="shared" si="8"/>
        <v>45</v>
      </c>
      <c r="L25" s="4">
        <f t="shared" si="9"/>
        <v>2.4700000000000002</v>
      </c>
      <c r="M25" s="4">
        <f t="shared" si="10"/>
        <v>1.28</v>
      </c>
      <c r="N25" s="4">
        <f t="shared" si="11"/>
        <v>0.85899999999999999</v>
      </c>
      <c r="O25" s="6">
        <f t="shared" si="12"/>
        <v>12118.110519423921</v>
      </c>
      <c r="P25" s="6">
        <f t="shared" si="13"/>
        <v>2302136.0646511102</v>
      </c>
      <c r="Q25" s="6">
        <f t="shared" si="14"/>
        <v>4639336.8934848318</v>
      </c>
      <c r="R25">
        <f t="shared" si="15"/>
        <v>187.93776182047981</v>
      </c>
      <c r="S25">
        <f t="shared" si="16"/>
        <v>69.391603529135779</v>
      </c>
      <c r="T25">
        <f t="shared" si="17"/>
        <v>500</v>
      </c>
      <c r="U25">
        <f t="shared" si="2"/>
        <v>0</v>
      </c>
      <c r="W25" s="4">
        <f t="shared" si="18"/>
        <v>0</v>
      </c>
      <c r="X25" s="4">
        <f t="shared" si="19"/>
        <v>40</v>
      </c>
      <c r="Y25" s="4">
        <f t="shared" si="20"/>
        <v>69.391603529135779</v>
      </c>
      <c r="Z25" s="4">
        <f t="shared" si="3"/>
        <v>69.594402352757186</v>
      </c>
    </row>
    <row r="26" spans="1:29">
      <c r="A26" s="4">
        <v>3</v>
      </c>
      <c r="B26" s="4">
        <v>600</v>
      </c>
      <c r="C26" s="4">
        <v>1</v>
      </c>
      <c r="D26" s="4">
        <f t="shared" si="4"/>
        <v>0.33333333333333331</v>
      </c>
      <c r="E26" s="5">
        <f t="shared" si="21"/>
        <v>1</v>
      </c>
      <c r="F26" s="5">
        <f t="shared" si="0"/>
        <v>2</v>
      </c>
      <c r="G26" s="6">
        <f t="shared" si="1"/>
        <v>40</v>
      </c>
      <c r="H26" s="4">
        <f t="shared" si="5"/>
        <v>1800</v>
      </c>
      <c r="I26" s="4">
        <f t="shared" si="6"/>
        <v>70</v>
      </c>
      <c r="J26" s="4">
        <f t="shared" si="7"/>
        <v>40</v>
      </c>
      <c r="K26" s="4">
        <f t="shared" si="8"/>
        <v>45</v>
      </c>
      <c r="L26" s="4">
        <f t="shared" si="9"/>
        <v>2.4700000000000002</v>
      </c>
      <c r="M26" s="4">
        <f t="shared" si="10"/>
        <v>1.28</v>
      </c>
      <c r="N26" s="4">
        <f t="shared" si="11"/>
        <v>0.85899999999999999</v>
      </c>
      <c r="O26" s="6">
        <f t="shared" si="12"/>
        <v>12118.110519423921</v>
      </c>
      <c r="P26" s="6">
        <f t="shared" si="13"/>
        <v>2302136.0646511102</v>
      </c>
      <c r="Q26" s="6">
        <f t="shared" si="14"/>
        <v>7278360.9339188272</v>
      </c>
      <c r="R26">
        <f t="shared" si="15"/>
        <v>186.75882535342805</v>
      </c>
      <c r="S26">
        <f t="shared" si="16"/>
        <v>69.038927384496191</v>
      </c>
      <c r="T26">
        <f t="shared" si="17"/>
        <v>600</v>
      </c>
      <c r="U26">
        <f t="shared" si="2"/>
        <v>0</v>
      </c>
      <c r="W26" s="4">
        <f t="shared" si="18"/>
        <v>0</v>
      </c>
      <c r="X26" s="4">
        <f t="shared" si="19"/>
        <v>40</v>
      </c>
      <c r="Y26" s="4">
        <f t="shared" si="20"/>
        <v>69.038927384496191</v>
      </c>
      <c r="Z26" s="4">
        <f t="shared" si="3"/>
        <v>69.35928492299746</v>
      </c>
    </row>
    <row r="27" spans="1:29">
      <c r="A27" s="4">
        <v>3</v>
      </c>
      <c r="B27" s="4">
        <v>700</v>
      </c>
      <c r="C27" s="4">
        <v>1</v>
      </c>
      <c r="D27" s="4">
        <f t="shared" si="4"/>
        <v>0.3888888888888889</v>
      </c>
      <c r="E27" s="5">
        <f t="shared" si="21"/>
        <v>1</v>
      </c>
      <c r="F27" s="5">
        <f t="shared" si="0"/>
        <v>2</v>
      </c>
      <c r="G27" s="6">
        <f t="shared" si="1"/>
        <v>40</v>
      </c>
      <c r="H27" s="4">
        <f t="shared" si="5"/>
        <v>1800</v>
      </c>
      <c r="I27" s="4">
        <f t="shared" si="6"/>
        <v>70</v>
      </c>
      <c r="J27" s="4">
        <f t="shared" si="7"/>
        <v>40</v>
      </c>
      <c r="K27" s="4">
        <f t="shared" si="8"/>
        <v>45</v>
      </c>
      <c r="L27" s="4">
        <f t="shared" si="9"/>
        <v>2.4700000000000002</v>
      </c>
      <c r="M27" s="4">
        <f t="shared" si="10"/>
        <v>1.28</v>
      </c>
      <c r="N27" s="4">
        <f t="shared" si="11"/>
        <v>0.85899999999999999</v>
      </c>
      <c r="O27" s="6">
        <f t="shared" si="12"/>
        <v>12118.110519423921</v>
      </c>
      <c r="P27" s="6">
        <f t="shared" si="13"/>
        <v>2302136.0646511102</v>
      </c>
      <c r="Q27" s="6">
        <f t="shared" si="14"/>
        <v>10651043.510828823</v>
      </c>
      <c r="R27">
        <f t="shared" si="15"/>
        <v>185.22972336604104</v>
      </c>
      <c r="S27">
        <f t="shared" si="16"/>
        <v>68.580868116323572</v>
      </c>
      <c r="T27">
        <f t="shared" si="17"/>
        <v>700</v>
      </c>
      <c r="U27">
        <f t="shared" si="2"/>
        <v>0</v>
      </c>
      <c r="W27" s="4">
        <f t="shared" si="18"/>
        <v>0</v>
      </c>
      <c r="X27" s="4">
        <f t="shared" si="19"/>
        <v>40</v>
      </c>
      <c r="Y27" s="4">
        <f t="shared" si="20"/>
        <v>68.580868116323572</v>
      </c>
      <c r="Z27" s="4">
        <f t="shared" si="3"/>
        <v>69.053912077549057</v>
      </c>
    </row>
    <row r="28" spans="1:29">
      <c r="A28" s="4">
        <v>3</v>
      </c>
      <c r="B28" s="4">
        <v>800</v>
      </c>
      <c r="C28" s="4">
        <v>1</v>
      </c>
      <c r="D28" s="4">
        <f t="shared" si="4"/>
        <v>0.44444444444444442</v>
      </c>
      <c r="E28" s="5">
        <f t="shared" si="21"/>
        <v>1</v>
      </c>
      <c r="F28" s="5">
        <f t="shared" si="0"/>
        <v>2</v>
      </c>
      <c r="G28" s="6">
        <f t="shared" si="1"/>
        <v>40</v>
      </c>
      <c r="H28" s="4">
        <f t="shared" si="5"/>
        <v>1800</v>
      </c>
      <c r="I28" s="4">
        <f t="shared" si="6"/>
        <v>70</v>
      </c>
      <c r="J28" s="4">
        <f t="shared" si="7"/>
        <v>40</v>
      </c>
      <c r="K28" s="4">
        <f t="shared" si="8"/>
        <v>45</v>
      </c>
      <c r="L28" s="4">
        <f t="shared" si="9"/>
        <v>2.4700000000000002</v>
      </c>
      <c r="M28" s="4">
        <f t="shared" si="10"/>
        <v>1.28</v>
      </c>
      <c r="N28" s="4">
        <f t="shared" si="11"/>
        <v>0.85899999999999999</v>
      </c>
      <c r="O28" s="6">
        <f t="shared" si="12"/>
        <v>12118.110519423921</v>
      </c>
      <c r="P28" s="6">
        <f t="shared" si="13"/>
        <v>2302136.0646511102</v>
      </c>
      <c r="Q28" s="6">
        <f t="shared" si="14"/>
        <v>14812633.172085995</v>
      </c>
      <c r="R28">
        <f t="shared" si="15"/>
        <v>183.30646835132652</v>
      </c>
      <c r="S28">
        <f t="shared" si="16"/>
        <v>68.003712662546334</v>
      </c>
      <c r="T28">
        <f t="shared" si="17"/>
        <v>800</v>
      </c>
      <c r="U28">
        <f t="shared" si="2"/>
        <v>0</v>
      </c>
      <c r="W28" s="4">
        <f t="shared" si="18"/>
        <v>0</v>
      </c>
      <c r="X28" s="4">
        <f t="shared" si="19"/>
        <v>40</v>
      </c>
      <c r="Y28" s="4">
        <f t="shared" si="20"/>
        <v>68.003712662546334</v>
      </c>
      <c r="Z28" s="4">
        <f t="shared" si="3"/>
        <v>68.66914177503088</v>
      </c>
    </row>
    <row r="29" spans="1:29">
      <c r="A29" s="4">
        <v>3</v>
      </c>
      <c r="B29" s="4">
        <v>900</v>
      </c>
      <c r="C29" s="4">
        <v>1</v>
      </c>
      <c r="D29" s="4">
        <f t="shared" si="4"/>
        <v>0.5</v>
      </c>
      <c r="E29" s="5">
        <f t="shared" si="21"/>
        <v>1</v>
      </c>
      <c r="F29" s="5">
        <f t="shared" si="0"/>
        <v>2</v>
      </c>
      <c r="G29" s="6">
        <f t="shared" si="1"/>
        <v>40</v>
      </c>
      <c r="H29" s="4">
        <f t="shared" si="5"/>
        <v>1800</v>
      </c>
      <c r="I29" s="4">
        <f t="shared" si="6"/>
        <v>70</v>
      </c>
      <c r="J29" s="4">
        <f t="shared" si="7"/>
        <v>40</v>
      </c>
      <c r="K29" s="4">
        <f t="shared" si="8"/>
        <v>45</v>
      </c>
      <c r="L29" s="4">
        <f t="shared" si="9"/>
        <v>2.4700000000000002</v>
      </c>
      <c r="M29" s="4">
        <f t="shared" si="10"/>
        <v>1.28</v>
      </c>
      <c r="N29" s="4">
        <f t="shared" si="11"/>
        <v>0.85899999999999999</v>
      </c>
      <c r="O29" s="6">
        <f t="shared" si="12"/>
        <v>12118.110519423921</v>
      </c>
      <c r="P29" s="6">
        <f t="shared" si="13"/>
        <v>2302136.0646511102</v>
      </c>
      <c r="Q29" s="6">
        <f t="shared" si="14"/>
        <v>19814312.051081292</v>
      </c>
      <c r="R29">
        <f t="shared" si="15"/>
        <v>180.93804645843483</v>
      </c>
      <c r="S29">
        <f t="shared" si="16"/>
        <v>67.29137937581352</v>
      </c>
      <c r="T29">
        <f t="shared" si="17"/>
        <v>900</v>
      </c>
      <c r="U29">
        <f t="shared" si="2"/>
        <v>0</v>
      </c>
      <c r="W29" s="4">
        <f t="shared" si="18"/>
        <v>0</v>
      </c>
      <c r="X29" s="4">
        <f t="shared" si="19"/>
        <v>40</v>
      </c>
      <c r="Y29" s="4">
        <f t="shared" si="20"/>
        <v>67.29137937581352</v>
      </c>
      <c r="Z29" s="4">
        <f t="shared" si="3"/>
        <v>68.194252917208999</v>
      </c>
    </row>
    <row r="30" spans="1:29">
      <c r="A30" s="4">
        <v>3</v>
      </c>
      <c r="B30" s="4">
        <v>1000</v>
      </c>
      <c r="C30" s="4">
        <v>1</v>
      </c>
      <c r="D30" s="4">
        <f t="shared" si="4"/>
        <v>0.55555555555555558</v>
      </c>
      <c r="E30" s="5">
        <f t="shared" si="21"/>
        <v>1</v>
      </c>
      <c r="F30" s="5">
        <f t="shared" si="0"/>
        <v>2</v>
      </c>
      <c r="G30" s="6">
        <f t="shared" si="1"/>
        <v>40</v>
      </c>
      <c r="H30" s="4">
        <f t="shared" si="5"/>
        <v>1800</v>
      </c>
      <c r="I30" s="4">
        <f t="shared" si="6"/>
        <v>70</v>
      </c>
      <c r="J30" s="4">
        <f t="shared" si="7"/>
        <v>40</v>
      </c>
      <c r="K30" s="4">
        <f t="shared" si="8"/>
        <v>45</v>
      </c>
      <c r="L30" s="4">
        <f t="shared" si="9"/>
        <v>2.4700000000000002</v>
      </c>
      <c r="M30" s="4">
        <f t="shared" si="10"/>
        <v>1.28</v>
      </c>
      <c r="N30" s="4">
        <f t="shared" si="11"/>
        <v>0.85899999999999999</v>
      </c>
      <c r="O30" s="6">
        <f t="shared" si="12"/>
        <v>12118.110519423921</v>
      </c>
      <c r="P30" s="6">
        <f t="shared" si="13"/>
        <v>2302136.0646511102</v>
      </c>
      <c r="Q30" s="6">
        <f t="shared" si="14"/>
        <v>25703957.827688646</v>
      </c>
      <c r="R30">
        <f t="shared" si="15"/>
        <v>178.0626272414253</v>
      </c>
      <c r="S30">
        <f t="shared" si="16"/>
        <v>66.424169809067394</v>
      </c>
      <c r="T30">
        <f t="shared" si="17"/>
        <v>1000</v>
      </c>
      <c r="U30">
        <f t="shared" si="2"/>
        <v>0</v>
      </c>
      <c r="W30" s="4">
        <f t="shared" si="18"/>
        <v>0</v>
      </c>
      <c r="X30" s="4">
        <f t="shared" si="19"/>
        <v>40</v>
      </c>
      <c r="Y30" s="4">
        <f t="shared" si="20"/>
        <v>66.424169809067394</v>
      </c>
      <c r="Z30" s="4">
        <f t="shared" si="3"/>
        <v>67.616113206044929</v>
      </c>
    </row>
    <row r="31" spans="1:29">
      <c r="A31" s="4">
        <v>3</v>
      </c>
      <c r="B31" s="4">
        <v>1100</v>
      </c>
      <c r="C31" s="4">
        <v>1</v>
      </c>
      <c r="D31" s="4">
        <f t="shared" si="4"/>
        <v>0.61111111111111116</v>
      </c>
      <c r="E31" s="5">
        <f t="shared" si="21"/>
        <v>1</v>
      </c>
      <c r="F31" s="5">
        <f t="shared" si="0"/>
        <v>2</v>
      </c>
      <c r="G31" s="6">
        <f t="shared" si="1"/>
        <v>40</v>
      </c>
      <c r="H31" s="4">
        <f t="shared" si="5"/>
        <v>1800</v>
      </c>
      <c r="I31" s="4">
        <f t="shared" si="6"/>
        <v>70</v>
      </c>
      <c r="J31" s="4">
        <f t="shared" si="7"/>
        <v>40</v>
      </c>
      <c r="K31" s="4">
        <f t="shared" si="8"/>
        <v>45</v>
      </c>
      <c r="L31" s="4">
        <f t="shared" si="9"/>
        <v>2.4700000000000002</v>
      </c>
      <c r="M31" s="4">
        <f t="shared" si="10"/>
        <v>1.28</v>
      </c>
      <c r="N31" s="4">
        <f t="shared" si="11"/>
        <v>0.85899999999999999</v>
      </c>
      <c r="O31" s="6">
        <f t="shared" si="12"/>
        <v>12118.110519423921</v>
      </c>
      <c r="P31" s="6">
        <f t="shared" si="13"/>
        <v>2302136.0646511102</v>
      </c>
      <c r="Q31" s="6">
        <f t="shared" si="14"/>
        <v>32526694.623957157</v>
      </c>
      <c r="R31">
        <f t="shared" si="15"/>
        <v>174.60193009638397</v>
      </c>
      <c r="S31">
        <f t="shared" si="16"/>
        <v>65.376900062694546</v>
      </c>
      <c r="T31">
        <f t="shared" si="17"/>
        <v>1100</v>
      </c>
      <c r="U31">
        <f t="shared" si="2"/>
        <v>0</v>
      </c>
      <c r="W31" s="4">
        <f t="shared" si="18"/>
        <v>0</v>
      </c>
      <c r="X31" s="4">
        <f t="shared" si="19"/>
        <v>40</v>
      </c>
      <c r="Y31" s="4">
        <f t="shared" si="20"/>
        <v>65.376900062694546</v>
      </c>
      <c r="Z31" s="4">
        <f t="shared" si="3"/>
        <v>66.917933375129692</v>
      </c>
    </row>
    <row r="32" spans="1:29">
      <c r="A32" s="4">
        <v>3</v>
      </c>
      <c r="B32" s="4">
        <v>1200</v>
      </c>
      <c r="C32" s="4">
        <v>1</v>
      </c>
      <c r="D32" s="4">
        <f t="shared" si="4"/>
        <v>0.66666666666666663</v>
      </c>
      <c r="E32" s="5">
        <f t="shared" si="21"/>
        <v>1</v>
      </c>
      <c r="F32" s="5">
        <f t="shared" si="0"/>
        <v>2</v>
      </c>
      <c r="G32" s="6">
        <f t="shared" si="1"/>
        <v>40</v>
      </c>
      <c r="H32" s="4">
        <f t="shared" si="5"/>
        <v>1800</v>
      </c>
      <c r="I32" s="4">
        <f t="shared" si="6"/>
        <v>70</v>
      </c>
      <c r="J32" s="4">
        <f t="shared" si="7"/>
        <v>40</v>
      </c>
      <c r="K32" s="4">
        <f t="shared" si="8"/>
        <v>45</v>
      </c>
      <c r="L32" s="4">
        <f t="shared" si="9"/>
        <v>2.4700000000000002</v>
      </c>
      <c r="M32" s="4">
        <f t="shared" si="10"/>
        <v>1.28</v>
      </c>
      <c r="N32" s="4">
        <f t="shared" si="11"/>
        <v>0.85899999999999999</v>
      </c>
      <c r="O32" s="6">
        <f t="shared" si="12"/>
        <v>12118.110519423921</v>
      </c>
      <c r="P32" s="6">
        <f t="shared" si="13"/>
        <v>2302136.0646511102</v>
      </c>
      <c r="Q32" s="6">
        <f t="shared" si="14"/>
        <v>40325306.567598611</v>
      </c>
      <c r="R32">
        <f t="shared" si="15"/>
        <v>170.4521142222172</v>
      </c>
      <c r="S32">
        <f t="shared" si="16"/>
        <v>64.115864134533055</v>
      </c>
      <c r="T32">
        <f t="shared" si="17"/>
        <v>1200</v>
      </c>
      <c r="U32">
        <f t="shared" si="2"/>
        <v>0</v>
      </c>
      <c r="W32" s="4">
        <f t="shared" si="18"/>
        <v>0</v>
      </c>
      <c r="X32" s="4">
        <f t="shared" si="19"/>
        <v>40</v>
      </c>
      <c r="Y32" s="4">
        <f t="shared" si="20"/>
        <v>64.115864134533055</v>
      </c>
      <c r="Z32" s="4">
        <f t="shared" si="3"/>
        <v>66.077242756355361</v>
      </c>
    </row>
    <row r="33" spans="1:29">
      <c r="A33" s="4">
        <v>3</v>
      </c>
      <c r="B33" s="4">
        <v>1300</v>
      </c>
      <c r="C33" s="4">
        <v>1</v>
      </c>
      <c r="D33" s="4">
        <f t="shared" si="4"/>
        <v>0.72222222222222221</v>
      </c>
      <c r="E33" s="5">
        <f t="shared" si="21"/>
        <v>1</v>
      </c>
      <c r="F33" s="5">
        <f t="shared" si="0"/>
        <v>2</v>
      </c>
      <c r="G33" s="6">
        <f t="shared" si="1"/>
        <v>40</v>
      </c>
      <c r="H33" s="4">
        <f t="shared" si="5"/>
        <v>1800</v>
      </c>
      <c r="I33" s="4">
        <f t="shared" si="6"/>
        <v>70</v>
      </c>
      <c r="J33" s="4">
        <f t="shared" si="7"/>
        <v>40</v>
      </c>
      <c r="K33" s="4">
        <f t="shared" si="8"/>
        <v>45</v>
      </c>
      <c r="L33" s="4">
        <f t="shared" si="9"/>
        <v>2.4700000000000002</v>
      </c>
      <c r="M33" s="4">
        <f t="shared" si="10"/>
        <v>1.28</v>
      </c>
      <c r="N33" s="4">
        <f t="shared" si="11"/>
        <v>0.85899999999999999</v>
      </c>
      <c r="O33" s="6">
        <f t="shared" si="12"/>
        <v>12118.110519423921</v>
      </c>
      <c r="P33" s="6">
        <f t="shared" si="13"/>
        <v>2302136.0646511102</v>
      </c>
      <c r="Q33" s="6">
        <f t="shared" si="14"/>
        <v>49140557.607681014</v>
      </c>
      <c r="R33">
        <f t="shared" si="15"/>
        <v>165.46774165544022</v>
      </c>
      <c r="S33">
        <f t="shared" si="16"/>
        <v>62.593468798111537</v>
      </c>
      <c r="T33">
        <f t="shared" si="17"/>
        <v>1300</v>
      </c>
      <c r="U33">
        <f t="shared" si="2"/>
        <v>0</v>
      </c>
      <c r="W33" s="4">
        <f t="shared" si="18"/>
        <v>0</v>
      </c>
      <c r="X33" s="4">
        <f t="shared" si="19"/>
        <v>40</v>
      </c>
      <c r="Y33" s="4">
        <f t="shared" si="20"/>
        <v>62.593468798111537</v>
      </c>
      <c r="Z33" s="4">
        <f t="shared" si="3"/>
        <v>65.062312532074358</v>
      </c>
    </row>
    <row r="34" spans="1:29">
      <c r="A34" s="4">
        <v>3</v>
      </c>
      <c r="B34" s="4">
        <v>1400</v>
      </c>
      <c r="C34" s="4">
        <v>1</v>
      </c>
      <c r="D34" s="4">
        <f t="shared" si="4"/>
        <v>0.77777777777777779</v>
      </c>
      <c r="E34" s="5">
        <f t="shared" si="21"/>
        <v>1</v>
      </c>
      <c r="F34" s="5">
        <f t="shared" si="0"/>
        <v>2</v>
      </c>
      <c r="G34" s="6">
        <f t="shared" si="1"/>
        <v>40</v>
      </c>
      <c r="H34" s="4">
        <f t="shared" si="5"/>
        <v>1800</v>
      </c>
      <c r="I34" s="4">
        <f t="shared" si="6"/>
        <v>70</v>
      </c>
      <c r="J34" s="4">
        <f t="shared" si="7"/>
        <v>40</v>
      </c>
      <c r="K34" s="4">
        <f t="shared" si="8"/>
        <v>45</v>
      </c>
      <c r="L34" s="4">
        <f t="shared" si="9"/>
        <v>2.4700000000000002</v>
      </c>
      <c r="M34" s="4">
        <f t="shared" si="10"/>
        <v>1.28</v>
      </c>
      <c r="N34" s="4">
        <f t="shared" si="11"/>
        <v>0.85899999999999999</v>
      </c>
      <c r="O34" s="6">
        <f t="shared" si="12"/>
        <v>12118.110519423921</v>
      </c>
      <c r="P34" s="6">
        <f t="shared" si="13"/>
        <v>2302136.0646511102</v>
      </c>
      <c r="Q34" s="6">
        <f t="shared" si="14"/>
        <v>59011444.84844178</v>
      </c>
      <c r="R34">
        <f t="shared" si="15"/>
        <v>159.43056652393378</v>
      </c>
      <c r="S34">
        <f t="shared" si="16"/>
        <v>60.737760787103333</v>
      </c>
      <c r="T34">
        <f t="shared" si="17"/>
        <v>1400</v>
      </c>
      <c r="U34">
        <f t="shared" si="2"/>
        <v>0</v>
      </c>
      <c r="W34" s="4">
        <f t="shared" si="18"/>
        <v>0</v>
      </c>
      <c r="X34" s="4">
        <f t="shared" si="19"/>
        <v>40</v>
      </c>
      <c r="Y34" s="4">
        <f t="shared" si="20"/>
        <v>60.737760787103333</v>
      </c>
      <c r="Z34" s="4">
        <f t="shared" si="3"/>
        <v>63.825173858068879</v>
      </c>
    </row>
    <row r="35" spans="1:29">
      <c r="A35" s="4">
        <v>3</v>
      </c>
      <c r="B35" s="4">
        <v>1500</v>
      </c>
      <c r="C35" s="4">
        <v>1</v>
      </c>
      <c r="D35" s="4">
        <f t="shared" si="4"/>
        <v>0.83333333333333337</v>
      </c>
      <c r="E35" s="5">
        <f t="shared" si="21"/>
        <v>1</v>
      </c>
      <c r="F35" s="5">
        <f t="shared" si="0"/>
        <v>2</v>
      </c>
      <c r="G35" s="6">
        <f t="shared" si="1"/>
        <v>40</v>
      </c>
      <c r="H35" s="4">
        <f t="shared" si="5"/>
        <v>1800</v>
      </c>
      <c r="I35" s="4">
        <f t="shared" si="6"/>
        <v>70</v>
      </c>
      <c r="J35" s="4">
        <f t="shared" si="7"/>
        <v>40</v>
      </c>
      <c r="K35" s="4">
        <f t="shared" si="8"/>
        <v>45</v>
      </c>
      <c r="L35" s="4">
        <f t="shared" si="9"/>
        <v>2.4700000000000002</v>
      </c>
      <c r="M35" s="4">
        <f t="shared" si="10"/>
        <v>1.28</v>
      </c>
      <c r="N35" s="4">
        <f t="shared" si="11"/>
        <v>0.85899999999999999</v>
      </c>
      <c r="O35" s="6">
        <f t="shared" si="12"/>
        <v>12118.110519423921</v>
      </c>
      <c r="P35" s="6">
        <f t="shared" si="13"/>
        <v>2302136.0646511102</v>
      </c>
      <c r="Q35" s="6">
        <f t="shared" si="14"/>
        <v>69975403.249400958</v>
      </c>
      <c r="R35">
        <f t="shared" si="15"/>
        <v>151.98006058140464</v>
      </c>
      <c r="S35">
        <f t="shared" si="16"/>
        <v>58.429051549059963</v>
      </c>
      <c r="T35">
        <f t="shared" si="17"/>
        <v>1500</v>
      </c>
      <c r="U35">
        <f t="shared" si="2"/>
        <v>0</v>
      </c>
      <c r="W35" s="4">
        <f t="shared" si="18"/>
        <v>0</v>
      </c>
      <c r="X35" s="4">
        <f t="shared" si="19"/>
        <v>40</v>
      </c>
      <c r="Y35" s="4">
        <f t="shared" si="20"/>
        <v>58.429051549059963</v>
      </c>
      <c r="Z35" s="4">
        <f t="shared" si="3"/>
        <v>62.286034366039978</v>
      </c>
    </row>
    <row r="36" spans="1:29">
      <c r="A36" s="4">
        <v>3</v>
      </c>
      <c r="B36" s="4">
        <v>1600</v>
      </c>
      <c r="C36" s="4">
        <v>1</v>
      </c>
      <c r="D36" s="4">
        <f t="shared" si="4"/>
        <v>0.88888888888888884</v>
      </c>
      <c r="E36" s="5">
        <f t="shared" si="21"/>
        <v>1</v>
      </c>
      <c r="F36" s="5">
        <f t="shared" si="0"/>
        <v>2</v>
      </c>
      <c r="G36" s="6">
        <f t="shared" si="1"/>
        <v>40</v>
      </c>
      <c r="H36" s="4">
        <f t="shared" si="5"/>
        <v>1800</v>
      </c>
      <c r="I36" s="4">
        <f t="shared" si="6"/>
        <v>70</v>
      </c>
      <c r="J36" s="4">
        <f t="shared" si="7"/>
        <v>40</v>
      </c>
      <c r="K36" s="4">
        <f t="shared" si="8"/>
        <v>45</v>
      </c>
      <c r="L36" s="4">
        <f t="shared" si="9"/>
        <v>2.4700000000000002</v>
      </c>
      <c r="M36" s="4">
        <f t="shared" si="10"/>
        <v>1.28</v>
      </c>
      <c r="N36" s="4">
        <f t="shared" si="11"/>
        <v>0.85899999999999999</v>
      </c>
      <c r="O36" s="6">
        <f t="shared" si="12"/>
        <v>12118.110519423921</v>
      </c>
      <c r="P36" s="6">
        <f t="shared" si="13"/>
        <v>2302136.0646511102</v>
      </c>
      <c r="Q36" s="6">
        <f t="shared" si="14"/>
        <v>82068473.817240894</v>
      </c>
      <c r="R36">
        <f t="shared" si="15"/>
        <v>142.42398225530508</v>
      </c>
      <c r="S36">
        <f t="shared" si="16"/>
        <v>55.43601502772907</v>
      </c>
      <c r="T36">
        <f t="shared" si="17"/>
        <v>1600</v>
      </c>
      <c r="U36">
        <f t="shared" si="2"/>
        <v>0</v>
      </c>
      <c r="W36" s="4">
        <f t="shared" si="18"/>
        <v>0</v>
      </c>
      <c r="X36" s="4">
        <f t="shared" si="19"/>
        <v>40</v>
      </c>
      <c r="Y36" s="4">
        <f t="shared" si="20"/>
        <v>55.43601502772907</v>
      </c>
      <c r="Z36" s="4">
        <f t="shared" si="3"/>
        <v>60.290676685152711</v>
      </c>
    </row>
    <row r="37" spans="1:29">
      <c r="A37" s="4">
        <v>3</v>
      </c>
      <c r="B37" s="4">
        <v>1700</v>
      </c>
      <c r="C37" s="4">
        <v>1</v>
      </c>
      <c r="D37" s="4">
        <f t="shared" si="4"/>
        <v>0.94444444444444442</v>
      </c>
      <c r="E37" s="5">
        <f t="shared" si="21"/>
        <v>1</v>
      </c>
      <c r="F37" s="5">
        <f t="shared" si="0"/>
        <v>2</v>
      </c>
      <c r="G37" s="6">
        <f t="shared" si="1"/>
        <v>40</v>
      </c>
      <c r="H37" s="4">
        <f t="shared" si="5"/>
        <v>1800</v>
      </c>
      <c r="I37" s="4">
        <f t="shared" si="6"/>
        <v>70</v>
      </c>
      <c r="J37" s="4">
        <f t="shared" si="7"/>
        <v>40</v>
      </c>
      <c r="K37" s="4">
        <f t="shared" si="8"/>
        <v>45</v>
      </c>
      <c r="L37" s="4">
        <f t="shared" si="9"/>
        <v>2.4700000000000002</v>
      </c>
      <c r="M37" s="4">
        <f t="shared" si="10"/>
        <v>1.28</v>
      </c>
      <c r="N37" s="4">
        <f t="shared" si="11"/>
        <v>0.85899999999999999</v>
      </c>
      <c r="O37" s="6">
        <f t="shared" si="12"/>
        <v>12118.110519423921</v>
      </c>
      <c r="P37" s="6">
        <f t="shared" si="13"/>
        <v>2302136.0646511102</v>
      </c>
      <c r="Q37" s="6">
        <f t="shared" si="14"/>
        <v>95325443.786717102</v>
      </c>
      <c r="R37">
        <f t="shared" si="15"/>
        <v>128.99105999863724</v>
      </c>
      <c r="S37">
        <f t="shared" si="16"/>
        <v>51.162899772417163</v>
      </c>
      <c r="T37">
        <f t="shared" si="17"/>
        <v>1700</v>
      </c>
      <c r="U37">
        <f t="shared" si="2"/>
        <v>0</v>
      </c>
      <c r="W37" s="4">
        <f t="shared" si="18"/>
        <v>0</v>
      </c>
      <c r="X37" s="4">
        <f t="shared" si="19"/>
        <v>40</v>
      </c>
      <c r="Y37" s="4">
        <f t="shared" si="20"/>
        <v>51.162899772417163</v>
      </c>
      <c r="Z37" s="4">
        <f t="shared" si="3"/>
        <v>57.441933181611439</v>
      </c>
      <c r="AA37" t="s">
        <v>53</v>
      </c>
      <c r="AB37" t="s">
        <v>54</v>
      </c>
      <c r="AC37" t="s">
        <v>55</v>
      </c>
    </row>
    <row r="38" spans="1:29">
      <c r="A38" s="4">
        <v>3</v>
      </c>
      <c r="B38" s="4">
        <v>1720</v>
      </c>
      <c r="C38" s="4">
        <v>1</v>
      </c>
      <c r="D38" s="4">
        <f>B38/H38</f>
        <v>0.9555555555555556</v>
      </c>
      <c r="E38" s="5">
        <f>MAX(D38^M38,1)</f>
        <v>1</v>
      </c>
      <c r="F38" s="5">
        <f t="shared" si="0"/>
        <v>2</v>
      </c>
      <c r="G38" s="6">
        <f t="shared" si="1"/>
        <v>40</v>
      </c>
      <c r="H38" s="4">
        <f t="shared" si="5"/>
        <v>1800</v>
      </c>
      <c r="I38" s="4">
        <f t="shared" si="6"/>
        <v>70</v>
      </c>
      <c r="J38" s="4">
        <f t="shared" si="7"/>
        <v>40</v>
      </c>
      <c r="K38" s="4">
        <f>H38/J38</f>
        <v>45</v>
      </c>
      <c r="L38" s="4">
        <f t="shared" si="9"/>
        <v>2.4700000000000002</v>
      </c>
      <c r="M38" s="4">
        <f t="shared" si="10"/>
        <v>1.28</v>
      </c>
      <c r="N38" s="4">
        <f t="shared" si="11"/>
        <v>0.85899999999999999</v>
      </c>
      <c r="O38" s="6">
        <f>K38^L38</f>
        <v>12118.110519423921</v>
      </c>
      <c r="P38" s="6">
        <f>O38*(I38^L38)^0.5</f>
        <v>2302136.0646511102</v>
      </c>
      <c r="Q38" s="6">
        <f>B38^L38</f>
        <v>98119485.859411627</v>
      </c>
      <c r="R38">
        <f>IFERROR((P38+(P38^2-4*O38*Q38)^0.5)/(2*O38),"")</f>
        <v>125.41241098727113</v>
      </c>
      <c r="S38">
        <f>IFERROR((R38^2)^(1/L38),"")</f>
        <v>50.010494331443077</v>
      </c>
      <c r="T38">
        <f t="shared" ref="T38:T43" si="22">B38/E38</f>
        <v>1720</v>
      </c>
      <c r="U38">
        <f t="shared" si="2"/>
        <v>0</v>
      </c>
      <c r="W38" s="4">
        <f>(V38/(120*T38))*(E38)^4</f>
        <v>0</v>
      </c>
      <c r="X38" s="4">
        <f t="shared" si="19"/>
        <v>40</v>
      </c>
      <c r="Y38" s="4">
        <f t="shared" si="20"/>
        <v>50.010494331443077</v>
      </c>
      <c r="Z38" s="4">
        <f t="shared" si="3"/>
        <v>56.673662887628716</v>
      </c>
    </row>
    <row r="39" spans="1:29">
      <c r="A39" s="4">
        <v>3</v>
      </c>
      <c r="B39" s="4">
        <v>1740</v>
      </c>
      <c r="C39" s="4">
        <v>1</v>
      </c>
      <c r="D39" s="4">
        <f>B39/H39</f>
        <v>0.96666666666666667</v>
      </c>
      <c r="E39" s="5">
        <f>MAX(D39^M39,1)</f>
        <v>1</v>
      </c>
      <c r="F39" s="5">
        <f t="shared" si="0"/>
        <v>2</v>
      </c>
      <c r="G39" s="6">
        <f>IF(E39&gt;=1,J39/(E39^N39),"")</f>
        <v>40</v>
      </c>
      <c r="H39" s="4">
        <f t="shared" si="5"/>
        <v>1800</v>
      </c>
      <c r="I39" s="4">
        <f t="shared" si="6"/>
        <v>70</v>
      </c>
      <c r="J39" s="4">
        <f t="shared" si="7"/>
        <v>40</v>
      </c>
      <c r="K39" s="4">
        <f>H39/J39</f>
        <v>45</v>
      </c>
      <c r="L39" s="4">
        <f t="shared" si="9"/>
        <v>2.4700000000000002</v>
      </c>
      <c r="M39" s="4">
        <f t="shared" si="10"/>
        <v>1.28</v>
      </c>
      <c r="N39" s="4">
        <f t="shared" si="11"/>
        <v>0.85899999999999999</v>
      </c>
      <c r="O39" s="6">
        <f>K39^L39</f>
        <v>12118.110519423921</v>
      </c>
      <c r="P39" s="6">
        <f>O39*(I39^L39)^0.5</f>
        <v>2302136.0646511102</v>
      </c>
      <c r="Q39" s="6">
        <f>B39^L39</f>
        <v>100961697.35358635</v>
      </c>
      <c r="R39">
        <f>IFERROR((P39+(P39^2-4*O39*Q39)^0.5)/(2*O39),"")</f>
        <v>121.27691652502466</v>
      </c>
      <c r="S39">
        <f>IFERROR((R39^2)^(1/L39),"")</f>
        <v>48.670942263905992</v>
      </c>
      <c r="T39">
        <f t="shared" si="22"/>
        <v>1740</v>
      </c>
      <c r="U39">
        <f>IFERROR(C39/G39-C39/J39,"")</f>
        <v>0</v>
      </c>
      <c r="W39" s="4">
        <f>(V39/(120*T39))*(E39)^4</f>
        <v>0</v>
      </c>
      <c r="X39" s="4">
        <f>C39/((C39/J39)+W39)</f>
        <v>40</v>
      </c>
      <c r="Y39" s="4">
        <f>MAX(X39,S39)</f>
        <v>48.670942263905992</v>
      </c>
      <c r="Z39" s="4">
        <f t="shared" si="3"/>
        <v>55.780628175937331</v>
      </c>
    </row>
    <row r="40" spans="1:29">
      <c r="A40" s="4">
        <v>3</v>
      </c>
      <c r="B40" s="4">
        <v>1760</v>
      </c>
      <c r="C40" s="4">
        <v>1</v>
      </c>
      <c r="D40" s="4">
        <f>B40/H40</f>
        <v>0.97777777777777775</v>
      </c>
      <c r="E40" s="5">
        <f>MAX(D40^M40,1)</f>
        <v>1</v>
      </c>
      <c r="F40" s="5">
        <f t="shared" si="0"/>
        <v>2</v>
      </c>
      <c r="G40" s="6">
        <f>IF(E40&gt;=1,J40/(E40^N40),"")</f>
        <v>40</v>
      </c>
      <c r="H40" s="4">
        <f t="shared" si="5"/>
        <v>1800</v>
      </c>
      <c r="I40" s="4">
        <f t="shared" si="6"/>
        <v>70</v>
      </c>
      <c r="J40" s="4">
        <f t="shared" si="7"/>
        <v>40</v>
      </c>
      <c r="K40" s="4">
        <f>H40/J40</f>
        <v>45</v>
      </c>
      <c r="L40" s="4">
        <f t="shared" si="9"/>
        <v>2.4700000000000002</v>
      </c>
      <c r="M40" s="4">
        <f t="shared" si="10"/>
        <v>1.28</v>
      </c>
      <c r="N40" s="4">
        <f t="shared" si="11"/>
        <v>0.85899999999999999</v>
      </c>
      <c r="O40" s="6">
        <f>K40^L40</f>
        <v>12118.110519423921</v>
      </c>
      <c r="P40" s="6">
        <f>O40*(I40^L40)^0.5</f>
        <v>2302136.0646511102</v>
      </c>
      <c r="Q40" s="6">
        <f>B40^L40</f>
        <v>103852340.71743175</v>
      </c>
      <c r="R40">
        <f>IFERROR((P40+(P40^2-4*O40*Q40)^0.5)/(2*O40),"")</f>
        <v>116.2617832022102</v>
      </c>
      <c r="S40">
        <f>IFERROR((R40^2)^(1/L40),"")</f>
        <v>47.03472477984409</v>
      </c>
      <c r="T40">
        <f t="shared" si="22"/>
        <v>1760</v>
      </c>
      <c r="U40">
        <f>IFERROR(C40/G40-C40/J40,"")</f>
        <v>0</v>
      </c>
      <c r="W40" s="4">
        <f>(V40/(120*T40))*(E40)^4</f>
        <v>0</v>
      </c>
      <c r="X40" s="4">
        <f>C40/((C40/J40)+W40)</f>
        <v>40</v>
      </c>
      <c r="Y40" s="4">
        <f>MAX(X40,S40)</f>
        <v>47.03472477984409</v>
      </c>
      <c r="Z40" s="4">
        <f t="shared" si="3"/>
        <v>54.689816519896056</v>
      </c>
    </row>
    <row r="41" spans="1:29">
      <c r="A41" s="4">
        <v>3</v>
      </c>
      <c r="B41" s="4">
        <v>1780</v>
      </c>
      <c r="C41" s="4">
        <v>1</v>
      </c>
      <c r="D41" s="4">
        <f>B41/H41</f>
        <v>0.98888888888888893</v>
      </c>
      <c r="E41" s="5">
        <f>MAX(D41^M41,1)</f>
        <v>1</v>
      </c>
      <c r="F41" s="5">
        <f t="shared" si="0"/>
        <v>2</v>
      </c>
      <c r="G41" s="6">
        <f>IF(E41&gt;=1,J41/(E41^N41),"")</f>
        <v>40</v>
      </c>
      <c r="H41" s="4">
        <f t="shared" si="5"/>
        <v>1800</v>
      </c>
      <c r="I41" s="4">
        <f t="shared" si="6"/>
        <v>70</v>
      </c>
      <c r="J41" s="4">
        <f t="shared" si="7"/>
        <v>40</v>
      </c>
      <c r="K41" s="4">
        <f>H41/J41</f>
        <v>45</v>
      </c>
      <c r="L41" s="4">
        <f t="shared" si="9"/>
        <v>2.4700000000000002</v>
      </c>
      <c r="M41" s="4">
        <f t="shared" si="10"/>
        <v>1.28</v>
      </c>
      <c r="N41" s="4">
        <f t="shared" si="11"/>
        <v>0.85899999999999999</v>
      </c>
      <c r="O41" s="6">
        <f>K41^L41</f>
        <v>12118.110519423921</v>
      </c>
      <c r="P41" s="6">
        <f>O41*(I41^L41)^0.5</f>
        <v>2302136.0646511102</v>
      </c>
      <c r="Q41" s="6">
        <f>B41^L41</f>
        <v>106791676.8050777</v>
      </c>
      <c r="R41">
        <f>IFERROR((P41+(P41^2-4*O41*Q41)^0.5)/(2*O41),"")</f>
        <v>109.48022028371838</v>
      </c>
      <c r="S41">
        <f>IFERROR((R41^2)^(1/L41),"")</f>
        <v>44.800611028158478</v>
      </c>
      <c r="T41">
        <f t="shared" si="22"/>
        <v>1780</v>
      </c>
      <c r="U41">
        <f>IFERROR(C41/G41-C41/J41,"")</f>
        <v>0</v>
      </c>
      <c r="W41" s="4">
        <f>(V41/(120*T41))*(E41)^4</f>
        <v>0</v>
      </c>
      <c r="X41" s="4">
        <f>C41/((C41/J41)+W41)</f>
        <v>40</v>
      </c>
      <c r="Y41" s="4">
        <f>MAX(X41,S41)</f>
        <v>44.800611028158478</v>
      </c>
      <c r="Z41" s="4">
        <f t="shared" si="3"/>
        <v>53.200407352105643</v>
      </c>
    </row>
    <row r="42" spans="1:29" s="10" customFormat="1">
      <c r="A42" s="9">
        <v>3</v>
      </c>
      <c r="B42" s="9">
        <v>1800</v>
      </c>
      <c r="C42" s="9">
        <v>1</v>
      </c>
      <c r="D42" s="9">
        <f t="shared" si="4"/>
        <v>1</v>
      </c>
      <c r="E42" s="9">
        <f t="shared" si="21"/>
        <v>1</v>
      </c>
      <c r="F42" s="9">
        <f t="shared" si="0"/>
        <v>2</v>
      </c>
      <c r="G42" s="9">
        <f t="shared" ref="G42:G59" si="23">IF(E42&gt;=1,J42/(E42^N42),"")</f>
        <v>40</v>
      </c>
      <c r="H42" s="4">
        <f t="shared" si="5"/>
        <v>1800</v>
      </c>
      <c r="I42" s="4">
        <f t="shared" si="6"/>
        <v>70</v>
      </c>
      <c r="J42" s="4">
        <f t="shared" si="7"/>
        <v>40</v>
      </c>
      <c r="K42" s="9">
        <f t="shared" si="8"/>
        <v>45</v>
      </c>
      <c r="L42" s="4">
        <f t="shared" si="9"/>
        <v>2.4700000000000002</v>
      </c>
      <c r="M42" s="4">
        <f t="shared" si="10"/>
        <v>1.28</v>
      </c>
      <c r="N42" s="4">
        <f t="shared" si="11"/>
        <v>0.85899999999999999</v>
      </c>
      <c r="O42" s="9">
        <f t="shared" si="12"/>
        <v>12118.110519423921</v>
      </c>
      <c r="P42" s="9">
        <f t="shared" si="13"/>
        <v>2302136.0646511102</v>
      </c>
      <c r="Q42" s="9">
        <f t="shared" si="14"/>
        <v>109779964.90422851</v>
      </c>
      <c r="R42" s="10" t="str">
        <f t="shared" si="15"/>
        <v/>
      </c>
      <c r="S42" s="10" t="str">
        <f t="shared" si="16"/>
        <v/>
      </c>
      <c r="T42" s="10">
        <f t="shared" si="22"/>
        <v>1800</v>
      </c>
      <c r="U42" s="10">
        <f t="shared" ref="U42:U59" si="24">IFERROR(C42/G42-C42/J42,"")</f>
        <v>0</v>
      </c>
      <c r="V42" s="10">
        <f t="shared" ref="V42:V59" si="25">U42*4*T42/(E42/2)^4</f>
        <v>0</v>
      </c>
      <c r="W42" s="9">
        <f t="shared" si="18"/>
        <v>0</v>
      </c>
      <c r="X42" s="9">
        <f t="shared" ref="X42:X59" si="26">C42/((C42/J42)+W42)</f>
        <v>40</v>
      </c>
      <c r="Y42" s="9">
        <f t="shared" ref="Y42:Y59" si="27">MAX(X42,S42)</f>
        <v>40</v>
      </c>
      <c r="Z42" s="9">
        <f t="shared" si="3"/>
        <v>50</v>
      </c>
      <c r="AA42" s="10">
        <f>J42/((7/15)+(8/15)*(D42^(N42*M42)))</f>
        <v>40</v>
      </c>
      <c r="AB42" s="10">
        <f>15*I42/(2^(2/L42+LOG(7,2))+(2^(2/L42+3))*(D42^(M42*N42)))</f>
        <v>39.934573971646032</v>
      </c>
      <c r="AC42" s="10">
        <f>(C42/AA42-C42/J42)*120*T42/(E42)^4</f>
        <v>0</v>
      </c>
    </row>
    <row r="43" spans="1:29">
      <c r="A43" s="4">
        <v>3</v>
      </c>
      <c r="B43" s="4">
        <v>1900</v>
      </c>
      <c r="C43" s="4">
        <v>1</v>
      </c>
      <c r="D43" s="4">
        <f t="shared" si="4"/>
        <v>1.0555555555555556</v>
      </c>
      <c r="E43" s="5">
        <f t="shared" si="21"/>
        <v>1.0716569940661194</v>
      </c>
      <c r="F43" s="5">
        <f t="shared" si="0"/>
        <v>1.9283430059338806</v>
      </c>
      <c r="G43" s="6">
        <f t="shared" si="23"/>
        <v>37.691381578797383</v>
      </c>
      <c r="H43" s="4">
        <f t="shared" si="5"/>
        <v>1800</v>
      </c>
      <c r="I43" s="4">
        <f t="shared" si="6"/>
        <v>70</v>
      </c>
      <c r="J43" s="4">
        <f t="shared" si="7"/>
        <v>40</v>
      </c>
      <c r="K43" s="4">
        <f t="shared" si="8"/>
        <v>45</v>
      </c>
      <c r="L43" s="4">
        <f t="shared" si="9"/>
        <v>2.4700000000000002</v>
      </c>
      <c r="M43" s="4">
        <f t="shared" si="10"/>
        <v>1.28</v>
      </c>
      <c r="N43" s="4">
        <f t="shared" si="11"/>
        <v>0.85899999999999999</v>
      </c>
      <c r="O43" s="6">
        <f t="shared" si="12"/>
        <v>12118.110519423921</v>
      </c>
      <c r="P43" s="6">
        <f t="shared" si="13"/>
        <v>2302136.0646511102</v>
      </c>
      <c r="Q43" s="6">
        <f t="shared" si="14"/>
        <v>125464654.31344116</v>
      </c>
      <c r="R43" t="str">
        <f t="shared" si="15"/>
        <v/>
      </c>
      <c r="S43" t="str">
        <f t="shared" si="16"/>
        <v/>
      </c>
      <c r="T43">
        <f t="shared" si="22"/>
        <v>1772.9553490720496</v>
      </c>
      <c r="U43">
        <f t="shared" si="24"/>
        <v>1.5312641275673534E-3</v>
      </c>
      <c r="V43">
        <f t="shared" si="25"/>
        <v>131.7360599295362</v>
      </c>
      <c r="W43" s="4">
        <f>(V43/(120*T43))*(E43)^4</f>
        <v>8.1667420136925513E-4</v>
      </c>
      <c r="X43" s="4">
        <f t="shared" si="26"/>
        <v>38.734656222564965</v>
      </c>
      <c r="Y43" s="4">
        <f t="shared" si="27"/>
        <v>38.734656222564965</v>
      </c>
      <c r="Z43" s="4">
        <f t="shared" si="3"/>
        <v>49.189710193340638</v>
      </c>
      <c r="AA43" s="8">
        <f t="shared" ref="AA43:AA64" si="28">J43/((7/15)+(8/15)*(D43^(N43*M43)))</f>
        <v>38.734656222564972</v>
      </c>
      <c r="AB43" s="8">
        <f t="shared" ref="AB43:AB64" si="29">15*I43/(2^(2/L43+LOG(7,2))+(2^(2/L43+3))*(D43^(M43*N43)))</f>
        <v>38.671299854657491</v>
      </c>
      <c r="AC43" s="7">
        <f t="shared" ref="AC43:AC64" si="30">(C43/AA43-C43/J43)*120*T43/(E43)^4</f>
        <v>131.73605992953497</v>
      </c>
    </row>
    <row r="44" spans="1:29">
      <c r="A44" s="4">
        <v>3</v>
      </c>
      <c r="B44" s="4">
        <v>2000</v>
      </c>
      <c r="C44" s="4">
        <v>1</v>
      </c>
      <c r="D44" s="4">
        <f t="shared" si="4"/>
        <v>1.1111111111111112</v>
      </c>
      <c r="E44" s="5">
        <f t="shared" si="21"/>
        <v>1.1443782312565245</v>
      </c>
      <c r="F44" s="5">
        <f t="shared" si="0"/>
        <v>1.8556217687434755</v>
      </c>
      <c r="G44" s="6">
        <f t="shared" si="23"/>
        <v>35.624494889140038</v>
      </c>
      <c r="H44" s="4">
        <f t="shared" si="5"/>
        <v>1800</v>
      </c>
      <c r="I44" s="4">
        <f t="shared" si="6"/>
        <v>70</v>
      </c>
      <c r="J44" s="4">
        <f t="shared" si="7"/>
        <v>40</v>
      </c>
      <c r="K44" s="4">
        <f t="shared" si="8"/>
        <v>45</v>
      </c>
      <c r="L44" s="4">
        <f t="shared" si="9"/>
        <v>2.4700000000000002</v>
      </c>
      <c r="M44" s="4">
        <f t="shared" si="10"/>
        <v>1.28</v>
      </c>
      <c r="N44" s="4">
        <f t="shared" si="11"/>
        <v>0.85899999999999999</v>
      </c>
      <c r="O44" s="6">
        <f t="shared" si="12"/>
        <v>12118.110519423921</v>
      </c>
      <c r="P44" s="6">
        <f t="shared" si="13"/>
        <v>2302136.0646511102</v>
      </c>
      <c r="Q44" s="6">
        <f t="shared" si="14"/>
        <v>142411181.42022201</v>
      </c>
      <c r="R44" t="str">
        <f t="shared" si="15"/>
        <v/>
      </c>
      <c r="S44" t="str">
        <f t="shared" si="16"/>
        <v/>
      </c>
      <c r="T44">
        <f t="shared" si="17"/>
        <v>1747.6739292777397</v>
      </c>
      <c r="U44">
        <f t="shared" si="24"/>
        <v>3.0705734386382924E-3</v>
      </c>
      <c r="V44">
        <f t="shared" si="25"/>
        <v>200.25414716989087</v>
      </c>
      <c r="W44" s="4">
        <f t="shared" si="18"/>
        <v>1.6376391672737558E-3</v>
      </c>
      <c r="X44" s="4">
        <f t="shared" si="26"/>
        <v>37.540864403200246</v>
      </c>
      <c r="Y44" s="4">
        <f t="shared" si="27"/>
        <v>37.540864403200246</v>
      </c>
      <c r="Z44" s="4">
        <f t="shared" si="3"/>
        <v>48.340048428822158</v>
      </c>
      <c r="AA44" s="8">
        <f t="shared" si="28"/>
        <v>37.540864403200253</v>
      </c>
      <c r="AB44" s="8">
        <f t="shared" si="29"/>
        <v>37.479460661728332</v>
      </c>
      <c r="AC44" s="7">
        <f t="shared" si="30"/>
        <v>200.25414716989016</v>
      </c>
    </row>
    <row r="45" spans="1:29">
      <c r="A45" s="4">
        <v>3</v>
      </c>
      <c r="B45" s="4">
        <v>2100</v>
      </c>
      <c r="C45" s="4">
        <v>1</v>
      </c>
      <c r="D45" s="4">
        <f t="shared" si="4"/>
        <v>1.1666666666666667</v>
      </c>
      <c r="E45" s="5">
        <f t="shared" si="21"/>
        <v>1.2181250961090948</v>
      </c>
      <c r="F45" s="5">
        <f t="shared" si="0"/>
        <v>1.7818749038909052</v>
      </c>
      <c r="G45" s="6">
        <f t="shared" si="23"/>
        <v>33.763748543843334</v>
      </c>
      <c r="H45" s="4">
        <f t="shared" si="5"/>
        <v>1800</v>
      </c>
      <c r="I45" s="4">
        <f t="shared" si="6"/>
        <v>70</v>
      </c>
      <c r="J45" s="4">
        <f t="shared" si="7"/>
        <v>40</v>
      </c>
      <c r="K45" s="4">
        <f t="shared" si="8"/>
        <v>45</v>
      </c>
      <c r="L45" s="4">
        <f t="shared" si="9"/>
        <v>2.4700000000000002</v>
      </c>
      <c r="M45" s="4">
        <f t="shared" si="10"/>
        <v>1.28</v>
      </c>
      <c r="N45" s="4">
        <f t="shared" si="11"/>
        <v>0.85899999999999999</v>
      </c>
      <c r="O45" s="6">
        <f t="shared" si="12"/>
        <v>12118.110519423921</v>
      </c>
      <c r="P45" s="6">
        <f t="shared" si="13"/>
        <v>2302136.0646511102</v>
      </c>
      <c r="Q45" s="6">
        <f t="shared" si="14"/>
        <v>160650343.31605181</v>
      </c>
      <c r="R45" t="str">
        <f t="shared" si="15"/>
        <v/>
      </c>
      <c r="S45" t="str">
        <f t="shared" si="16"/>
        <v/>
      </c>
      <c r="T45">
        <f>B45/E45</f>
        <v>1723.9608696247769</v>
      </c>
      <c r="U45">
        <f t="shared" si="24"/>
        <v>4.6175644923272426E-3</v>
      </c>
      <c r="V45">
        <f t="shared" si="25"/>
        <v>231.39436833974511</v>
      </c>
      <c r="W45" s="4">
        <f t="shared" si="18"/>
        <v>2.4627010625745296E-3</v>
      </c>
      <c r="X45" s="4">
        <f t="shared" si="26"/>
        <v>36.41302425866531</v>
      </c>
      <c r="Y45" s="4">
        <f t="shared" si="27"/>
        <v>36.41302425866531</v>
      </c>
      <c r="Z45" s="4">
        <f t="shared" si="3"/>
        <v>47.452912796236419</v>
      </c>
      <c r="AA45" s="8">
        <f t="shared" si="28"/>
        <v>36.41302425866531</v>
      </c>
      <c r="AB45" s="8">
        <f t="shared" si="29"/>
        <v>36.353465269725277</v>
      </c>
      <c r="AC45" s="7">
        <f t="shared" si="30"/>
        <v>231.39436833974523</v>
      </c>
    </row>
    <row r="46" spans="1:29">
      <c r="A46" s="4">
        <v>3</v>
      </c>
      <c r="B46" s="4">
        <v>2200</v>
      </c>
      <c r="C46" s="4">
        <v>1</v>
      </c>
      <c r="D46" s="4">
        <f t="shared" si="4"/>
        <v>1.2222222222222223</v>
      </c>
      <c r="E46" s="5">
        <f t="shared" si="21"/>
        <v>1.2928621611371738</v>
      </c>
      <c r="F46" s="5">
        <f t="shared" si="0"/>
        <v>1.7071378388628262</v>
      </c>
      <c r="G46" s="6">
        <f t="shared" si="23"/>
        <v>32.08016771599619</v>
      </c>
      <c r="H46" s="4">
        <f t="shared" si="5"/>
        <v>1800</v>
      </c>
      <c r="I46" s="4">
        <f t="shared" si="6"/>
        <v>70</v>
      </c>
      <c r="J46" s="4">
        <f t="shared" si="7"/>
        <v>40</v>
      </c>
      <c r="K46" s="4">
        <f t="shared" si="8"/>
        <v>45</v>
      </c>
      <c r="L46" s="4">
        <f t="shared" si="9"/>
        <v>2.4700000000000002</v>
      </c>
      <c r="M46" s="4">
        <f t="shared" si="10"/>
        <v>1.28</v>
      </c>
      <c r="N46" s="4">
        <f t="shared" si="11"/>
        <v>0.85899999999999999</v>
      </c>
      <c r="O46" s="6">
        <f t="shared" si="12"/>
        <v>12118.110519423921</v>
      </c>
      <c r="P46" s="6">
        <f t="shared" si="13"/>
        <v>2302136.0646511102</v>
      </c>
      <c r="Q46" s="6">
        <f t="shared" si="14"/>
        <v>180212130.75998268</v>
      </c>
      <c r="R46" t="str">
        <f t="shared" si="15"/>
        <v/>
      </c>
      <c r="S46" t="str">
        <f t="shared" si="16"/>
        <v/>
      </c>
      <c r="T46">
        <f t="shared" si="17"/>
        <v>1701.6508535333166</v>
      </c>
      <c r="U46">
        <f t="shared" si="24"/>
        <v>6.1719068570008813E-3</v>
      </c>
      <c r="V46">
        <f t="shared" si="25"/>
        <v>240.58076056336233</v>
      </c>
      <c r="W46" s="4">
        <f t="shared" si="18"/>
        <v>3.2916836570671365E-3</v>
      </c>
      <c r="X46" s="4">
        <f t="shared" si="26"/>
        <v>35.346075974881202</v>
      </c>
      <c r="Y46" s="4">
        <f t="shared" si="27"/>
        <v>35.346075974881202</v>
      </c>
      <c r="Z46" s="4">
        <f t="shared" si="3"/>
        <v>46.530061770019699</v>
      </c>
      <c r="AA46" s="8">
        <f t="shared" si="28"/>
        <v>35.346075974881209</v>
      </c>
      <c r="AB46" s="8">
        <f t="shared" si="29"/>
        <v>35.288262140657849</v>
      </c>
      <c r="AC46" s="7">
        <f t="shared" si="30"/>
        <v>240.58076056336211</v>
      </c>
    </row>
    <row r="47" spans="1:29">
      <c r="A47" s="4">
        <v>3</v>
      </c>
      <c r="B47" s="4">
        <v>2300</v>
      </c>
      <c r="C47" s="4">
        <v>1</v>
      </c>
      <c r="D47" s="4">
        <f t="shared" si="4"/>
        <v>1.2777777777777777</v>
      </c>
      <c r="E47" s="5">
        <f t="shared" si="21"/>
        <v>1.3685567895266726</v>
      </c>
      <c r="F47" s="5">
        <f t="shared" si="0"/>
        <v>1.6314432104733274</v>
      </c>
      <c r="G47" s="6">
        <f t="shared" si="23"/>
        <v>30.549930451168244</v>
      </c>
      <c r="H47" s="4">
        <f t="shared" si="5"/>
        <v>1800</v>
      </c>
      <c r="I47" s="4">
        <f t="shared" si="6"/>
        <v>70</v>
      </c>
      <c r="J47" s="4">
        <f t="shared" si="7"/>
        <v>40</v>
      </c>
      <c r="K47" s="4">
        <f t="shared" si="8"/>
        <v>45</v>
      </c>
      <c r="L47" s="4">
        <f t="shared" si="9"/>
        <v>2.4700000000000002</v>
      </c>
      <c r="M47" s="4">
        <f t="shared" si="10"/>
        <v>1.28</v>
      </c>
      <c r="N47" s="4">
        <f t="shared" si="11"/>
        <v>0.85899999999999999</v>
      </c>
      <c r="O47" s="6">
        <f t="shared" si="12"/>
        <v>12118.110519423921</v>
      </c>
      <c r="P47" s="6">
        <f t="shared" si="13"/>
        <v>2302136.0646511102</v>
      </c>
      <c r="Q47" s="6">
        <f t="shared" si="14"/>
        <v>201125786.29143113</v>
      </c>
      <c r="R47" t="str">
        <f t="shared" si="15"/>
        <v/>
      </c>
      <c r="S47" t="str">
        <f t="shared" si="16"/>
        <v/>
      </c>
      <c r="T47">
        <f t="shared" si="17"/>
        <v>1680.6025278611019</v>
      </c>
      <c r="U47">
        <f t="shared" si="24"/>
        <v>7.7332987418228111E-3</v>
      </c>
      <c r="V47">
        <f t="shared" si="25"/>
        <v>237.11470036318943</v>
      </c>
      <c r="W47" s="4">
        <f t="shared" si="18"/>
        <v>4.1244259956388328E-3</v>
      </c>
      <c r="X47" s="4">
        <f t="shared" si="26"/>
        <v>34.335440641808447</v>
      </c>
      <c r="Y47" s="4">
        <f t="shared" si="27"/>
        <v>34.335440641808447</v>
      </c>
      <c r="Z47" s="4">
        <f t="shared" si="3"/>
        <v>45.573125662590002</v>
      </c>
      <c r="AA47" s="8">
        <f t="shared" si="28"/>
        <v>34.335440641808439</v>
      </c>
      <c r="AB47" s="8">
        <f t="shared" si="29"/>
        <v>34.279279853984015</v>
      </c>
      <c r="AC47" s="7">
        <f t="shared" si="30"/>
        <v>237.11470036318963</v>
      </c>
    </row>
    <row r="48" spans="1:29">
      <c r="A48" s="4">
        <v>3</v>
      </c>
      <c r="B48" s="4">
        <v>2400</v>
      </c>
      <c r="C48" s="4">
        <v>1</v>
      </c>
      <c r="D48" s="4">
        <f t="shared" si="4"/>
        <v>1.3333333333333333</v>
      </c>
      <c r="E48" s="5">
        <f t="shared" si="21"/>
        <v>1.4451788026077625</v>
      </c>
      <c r="F48" s="5">
        <f t="shared" si="0"/>
        <v>1.5548211973922375</v>
      </c>
      <c r="G48" s="6">
        <f t="shared" si="23"/>
        <v>29.153275157771549</v>
      </c>
      <c r="H48" s="4">
        <f t="shared" si="5"/>
        <v>1800</v>
      </c>
      <c r="I48" s="4">
        <f t="shared" si="6"/>
        <v>70</v>
      </c>
      <c r="J48" s="4">
        <f t="shared" si="7"/>
        <v>40</v>
      </c>
      <c r="K48" s="4">
        <f t="shared" si="8"/>
        <v>45</v>
      </c>
      <c r="L48" s="4">
        <f t="shared" si="9"/>
        <v>2.4700000000000002</v>
      </c>
      <c r="M48" s="4">
        <f t="shared" si="10"/>
        <v>1.28</v>
      </c>
      <c r="N48" s="4">
        <f t="shared" si="11"/>
        <v>0.85899999999999999</v>
      </c>
      <c r="O48" s="6">
        <f t="shared" si="12"/>
        <v>12118.110519423921</v>
      </c>
      <c r="P48" s="6">
        <f t="shared" si="13"/>
        <v>2302136.0646511102</v>
      </c>
      <c r="Q48" s="6">
        <f t="shared" si="14"/>
        <v>223419855.72502622</v>
      </c>
      <c r="R48" t="str">
        <f t="shared" si="15"/>
        <v/>
      </c>
      <c r="S48" t="str">
        <f t="shared" si="16"/>
        <v/>
      </c>
      <c r="T48">
        <f t="shared" si="17"/>
        <v>1660.6941616285155</v>
      </c>
      <c r="U48">
        <f t="shared" si="24"/>
        <v>9.3014633720638548E-3</v>
      </c>
      <c r="V48">
        <f t="shared" si="25"/>
        <v>226.6389667767597</v>
      </c>
      <c r="W48" s="4">
        <f t="shared" si="18"/>
        <v>4.9607804651007224E-3</v>
      </c>
      <c r="X48" s="4">
        <f t="shared" si="26"/>
        <v>33.376967638237325</v>
      </c>
      <c r="Y48" s="4">
        <f t="shared" si="27"/>
        <v>33.376967638237325</v>
      </c>
      <c r="Z48" s="4">
        <f t="shared" si="3"/>
        <v>44.583617327559637</v>
      </c>
      <c r="AA48" s="8">
        <f t="shared" si="28"/>
        <v>33.376967638237332</v>
      </c>
      <c r="AB48" s="8">
        <f t="shared" si="29"/>
        <v>33.322374577460607</v>
      </c>
      <c r="AC48" s="7">
        <f t="shared" si="30"/>
        <v>226.63896677675956</v>
      </c>
    </row>
    <row r="49" spans="1:29">
      <c r="A49" s="4">
        <v>3</v>
      </c>
      <c r="B49" s="4">
        <v>2500</v>
      </c>
      <c r="C49" s="4">
        <v>1</v>
      </c>
      <c r="D49" s="4">
        <f t="shared" si="4"/>
        <v>1.3888888888888888</v>
      </c>
      <c r="E49" s="5">
        <f t="shared" si="21"/>
        <v>1.522700199260012</v>
      </c>
      <c r="F49" s="5">
        <f t="shared" si="0"/>
        <v>1.477299800739988</v>
      </c>
      <c r="G49" s="6">
        <f t="shared" si="23"/>
        <v>27.873674090721885</v>
      </c>
      <c r="H49" s="4">
        <f t="shared" si="5"/>
        <v>1800</v>
      </c>
      <c r="I49" s="4">
        <f t="shared" si="6"/>
        <v>70</v>
      </c>
      <c r="J49" s="4">
        <f t="shared" si="7"/>
        <v>40</v>
      </c>
      <c r="K49" s="4">
        <f t="shared" si="8"/>
        <v>45</v>
      </c>
      <c r="L49" s="4">
        <f t="shared" si="9"/>
        <v>2.4700000000000002</v>
      </c>
      <c r="M49" s="4">
        <f t="shared" si="10"/>
        <v>1.28</v>
      </c>
      <c r="N49" s="4">
        <f t="shared" si="11"/>
        <v>0.85899999999999999</v>
      </c>
      <c r="O49" s="6">
        <f t="shared" si="12"/>
        <v>12118.110519423921</v>
      </c>
      <c r="P49" s="6">
        <f t="shared" si="13"/>
        <v>2302136.0646511102</v>
      </c>
      <c r="Q49" s="6">
        <f t="shared" si="14"/>
        <v>247122234.03431657</v>
      </c>
      <c r="R49" t="str">
        <f t="shared" si="15"/>
        <v/>
      </c>
      <c r="S49" t="str">
        <f t="shared" si="16"/>
        <v/>
      </c>
      <c r="T49">
        <f t="shared" si="17"/>
        <v>1641.8202356674856</v>
      </c>
      <c r="U49">
        <f t="shared" si="24"/>
        <v>1.087614595568738E-2</v>
      </c>
      <c r="V49">
        <f t="shared" si="25"/>
        <v>212.58028595561234</v>
      </c>
      <c r="W49" s="4">
        <f t="shared" si="18"/>
        <v>5.8006111763666034E-3</v>
      </c>
      <c r="X49" s="4">
        <f t="shared" si="26"/>
        <v>32.466888214455395</v>
      </c>
      <c r="Y49" s="4">
        <f t="shared" si="27"/>
        <v>32.466888214455395</v>
      </c>
      <c r="Z49" s="4">
        <f t="shared" si="3"/>
        <v>43.562942064734372</v>
      </c>
      <c r="AA49" s="8">
        <f t="shared" si="28"/>
        <v>32.466888214455402</v>
      </c>
      <c r="AB49" s="8">
        <f t="shared" si="29"/>
        <v>32.413783725733289</v>
      </c>
      <c r="AC49" s="7">
        <f t="shared" si="30"/>
        <v>212.58028595561203</v>
      </c>
    </row>
    <row r="50" spans="1:29">
      <c r="A50" s="4">
        <v>3</v>
      </c>
      <c r="B50" s="4">
        <v>2600</v>
      </c>
      <c r="C50" s="4">
        <v>1</v>
      </c>
      <c r="D50" s="4">
        <f t="shared" si="4"/>
        <v>1.4444444444444444</v>
      </c>
      <c r="E50" s="5">
        <f t="shared" si="21"/>
        <v>1.6010949173714104</v>
      </c>
      <c r="F50" s="5">
        <f t="shared" si="0"/>
        <v>1.3989050826285896</v>
      </c>
      <c r="G50" s="6">
        <f t="shared" si="23"/>
        <v>26.697200343788662</v>
      </c>
      <c r="H50" s="4">
        <f t="shared" si="5"/>
        <v>1800</v>
      </c>
      <c r="I50" s="4">
        <f t="shared" si="6"/>
        <v>70</v>
      </c>
      <c r="J50" s="4">
        <f t="shared" si="7"/>
        <v>40</v>
      </c>
      <c r="K50" s="4">
        <f t="shared" si="8"/>
        <v>45</v>
      </c>
      <c r="L50" s="4">
        <f t="shared" si="9"/>
        <v>2.4700000000000002</v>
      </c>
      <c r="M50" s="4">
        <f t="shared" si="10"/>
        <v>1.28</v>
      </c>
      <c r="N50" s="4">
        <f t="shared" si="11"/>
        <v>0.85899999999999999</v>
      </c>
      <c r="O50" s="6">
        <f t="shared" si="12"/>
        <v>12118.110519423921</v>
      </c>
      <c r="P50" s="6">
        <f t="shared" si="13"/>
        <v>2302136.0646511102</v>
      </c>
      <c r="Q50" s="6">
        <f t="shared" si="14"/>
        <v>272260206.44259751</v>
      </c>
      <c r="R50" t="str">
        <f t="shared" si="15"/>
        <v/>
      </c>
      <c r="S50" t="str">
        <f t="shared" si="16"/>
        <v/>
      </c>
      <c r="T50">
        <f t="shared" si="17"/>
        <v>1623.8887350092505</v>
      </c>
      <c r="U50">
        <f t="shared" si="24"/>
        <v>1.2457111124862155E-2</v>
      </c>
      <c r="V50">
        <f t="shared" si="25"/>
        <v>197.00863694263504</v>
      </c>
      <c r="W50" s="4">
        <f t="shared" si="18"/>
        <v>6.6437925999264826E-3</v>
      </c>
      <c r="X50" s="4">
        <f t="shared" si="26"/>
        <v>31.601774561065827</v>
      </c>
      <c r="Y50" s="4">
        <f t="shared" si="27"/>
        <v>31.601774561065827</v>
      </c>
      <c r="Z50" s="4">
        <f t="shared" si="3"/>
        <v>42.512406724737353</v>
      </c>
      <c r="AA50" s="8">
        <f t="shared" si="28"/>
        <v>31.601774561065838</v>
      </c>
      <c r="AB50" s="8">
        <f t="shared" si="29"/>
        <v>31.550085096104134</v>
      </c>
      <c r="AC50" s="7">
        <f t="shared" si="30"/>
        <v>197.00863694263492</v>
      </c>
    </row>
    <row r="51" spans="1:29">
      <c r="A51" s="4">
        <v>3</v>
      </c>
      <c r="B51" s="4">
        <v>2700</v>
      </c>
      <c r="C51" s="4">
        <v>1</v>
      </c>
      <c r="D51" s="4">
        <f t="shared" si="4"/>
        <v>1.5</v>
      </c>
      <c r="E51" s="5">
        <f t="shared" si="21"/>
        <v>1.6803386296617204</v>
      </c>
      <c r="F51" s="5">
        <f t="shared" si="0"/>
        <v>1.3196613703382796</v>
      </c>
      <c r="G51" s="6">
        <f t="shared" si="23"/>
        <v>25.612037567460501</v>
      </c>
      <c r="H51" s="4">
        <f t="shared" si="5"/>
        <v>1800</v>
      </c>
      <c r="I51" s="4">
        <f t="shared" si="6"/>
        <v>70</v>
      </c>
      <c r="J51" s="4">
        <f t="shared" si="7"/>
        <v>40</v>
      </c>
      <c r="K51" s="4">
        <f t="shared" si="8"/>
        <v>45</v>
      </c>
      <c r="L51" s="4">
        <f t="shared" si="9"/>
        <v>2.4700000000000002</v>
      </c>
      <c r="M51" s="4">
        <f t="shared" si="10"/>
        <v>1.28</v>
      </c>
      <c r="N51" s="4">
        <f t="shared" si="11"/>
        <v>0.85899999999999999</v>
      </c>
      <c r="O51" s="6">
        <f t="shared" si="12"/>
        <v>12118.110519423921</v>
      </c>
      <c r="P51" s="6">
        <f t="shared" si="13"/>
        <v>2302136.0646511102</v>
      </c>
      <c r="Q51" s="6">
        <f t="shared" si="14"/>
        <v>298860485.39199799</v>
      </c>
      <c r="R51" t="str">
        <f t="shared" si="15"/>
        <v/>
      </c>
      <c r="S51" t="str">
        <f t="shared" si="16"/>
        <v/>
      </c>
      <c r="T51">
        <f t="shared" si="17"/>
        <v>1606.8189782339016</v>
      </c>
      <c r="U51">
        <f t="shared" si="24"/>
        <v>1.40441407625638E-2</v>
      </c>
      <c r="V51">
        <f t="shared" si="25"/>
        <v>181.15688896852058</v>
      </c>
      <c r="W51" s="4">
        <f t="shared" si="18"/>
        <v>7.4902084067006939E-3</v>
      </c>
      <c r="X51" s="4">
        <f t="shared" si="26"/>
        <v>30.778503710482902</v>
      </c>
      <c r="Y51" s="4">
        <f t="shared" si="27"/>
        <v>30.778503710482902</v>
      </c>
      <c r="Z51" s="4">
        <f t="shared" si="3"/>
        <v>41.433228038838799</v>
      </c>
      <c r="AA51" s="8">
        <f t="shared" si="28"/>
        <v>30.778503710482902</v>
      </c>
      <c r="AB51" s="8">
        <f t="shared" si="29"/>
        <v>30.728160829071527</v>
      </c>
      <c r="AC51" s="7">
        <f t="shared" si="30"/>
        <v>181.15688896852052</v>
      </c>
    </row>
    <row r="52" spans="1:29">
      <c r="A52" s="4">
        <v>3</v>
      </c>
      <c r="B52" s="4">
        <v>2800</v>
      </c>
      <c r="C52" s="4">
        <v>1</v>
      </c>
      <c r="D52" s="4">
        <f t="shared" si="4"/>
        <v>1.5555555555555556</v>
      </c>
      <c r="E52" s="5">
        <f t="shared" si="21"/>
        <v>1.7604085678214074</v>
      </c>
      <c r="F52" s="5">
        <f t="shared" si="0"/>
        <v>1.2395914321785926</v>
      </c>
      <c r="G52" s="6">
        <f t="shared" si="23"/>
        <v>24.608096291411833</v>
      </c>
      <c r="H52" s="4">
        <f t="shared" si="5"/>
        <v>1800</v>
      </c>
      <c r="I52" s="4">
        <f t="shared" si="6"/>
        <v>70</v>
      </c>
      <c r="J52" s="4">
        <f t="shared" si="7"/>
        <v>40</v>
      </c>
      <c r="K52" s="4">
        <f t="shared" si="8"/>
        <v>45</v>
      </c>
      <c r="L52" s="4">
        <f t="shared" si="9"/>
        <v>2.4700000000000002</v>
      </c>
      <c r="M52" s="4">
        <f t="shared" si="10"/>
        <v>1.28</v>
      </c>
      <c r="N52" s="4">
        <f t="shared" si="11"/>
        <v>0.85899999999999999</v>
      </c>
      <c r="O52" s="6">
        <f t="shared" si="12"/>
        <v>12118.110519423921</v>
      </c>
      <c r="P52" s="6">
        <f t="shared" si="13"/>
        <v>2302136.0646511102</v>
      </c>
      <c r="Q52" s="6">
        <f t="shared" si="14"/>
        <v>326949243.94592869</v>
      </c>
      <c r="R52" t="str">
        <f t="shared" si="15"/>
        <v/>
      </c>
      <c r="S52" t="str">
        <f t="shared" si="16"/>
        <v/>
      </c>
      <c r="T52">
        <f t="shared" si="17"/>
        <v>1590.5398617010471</v>
      </c>
      <c r="U52">
        <f t="shared" si="24"/>
        <v>1.5637032144132076E-2</v>
      </c>
      <c r="V52">
        <f t="shared" si="25"/>
        <v>165.73909622871793</v>
      </c>
      <c r="W52" s="4">
        <f t="shared" si="18"/>
        <v>8.3397504768704406E-3</v>
      </c>
      <c r="X52" s="4">
        <f t="shared" si="26"/>
        <v>29.99422568245534</v>
      </c>
      <c r="Y52" s="4">
        <f t="shared" si="27"/>
        <v>29.99422568245534</v>
      </c>
      <c r="Z52" s="4">
        <f t="shared" si="3"/>
        <v>40.326540215461961</v>
      </c>
      <c r="AA52" s="8">
        <f t="shared" si="28"/>
        <v>29.994225682455337</v>
      </c>
      <c r="AB52" s="8">
        <f t="shared" si="29"/>
        <v>29.945165605956443</v>
      </c>
      <c r="AC52" s="7">
        <f t="shared" si="30"/>
        <v>165.73909622871787</v>
      </c>
    </row>
    <row r="53" spans="1:29">
      <c r="A53" s="4">
        <v>3</v>
      </c>
      <c r="B53" s="4">
        <v>2900</v>
      </c>
      <c r="C53" s="4">
        <v>1</v>
      </c>
      <c r="D53" s="4">
        <f t="shared" si="4"/>
        <v>1.6111111111111112</v>
      </c>
      <c r="E53" s="5">
        <f t="shared" si="21"/>
        <v>1.8412833701615849</v>
      </c>
      <c r="F53" s="5">
        <f t="shared" si="0"/>
        <v>1.1587166298384151</v>
      </c>
      <c r="G53" s="6">
        <f t="shared" si="23"/>
        <v>23.676710800667717</v>
      </c>
      <c r="H53" s="4">
        <f t="shared" si="5"/>
        <v>1800</v>
      </c>
      <c r="I53" s="4">
        <f t="shared" si="6"/>
        <v>70</v>
      </c>
      <c r="J53" s="4">
        <f t="shared" si="7"/>
        <v>40</v>
      </c>
      <c r="K53" s="4">
        <f t="shared" si="8"/>
        <v>45</v>
      </c>
      <c r="L53" s="4">
        <f t="shared" si="9"/>
        <v>2.4700000000000002</v>
      </c>
      <c r="M53" s="4">
        <f t="shared" si="10"/>
        <v>1.28</v>
      </c>
      <c r="N53" s="4">
        <f t="shared" si="11"/>
        <v>0.85899999999999999</v>
      </c>
      <c r="O53" s="6">
        <f t="shared" si="12"/>
        <v>12118.110519423921</v>
      </c>
      <c r="P53" s="6">
        <f t="shared" si="13"/>
        <v>2302136.0646511102</v>
      </c>
      <c r="Q53" s="6">
        <f t="shared" si="14"/>
        <v>356552146.08753693</v>
      </c>
      <c r="R53" t="str">
        <f t="shared" si="15"/>
        <v/>
      </c>
      <c r="S53" t="str">
        <f t="shared" si="16"/>
        <v/>
      </c>
      <c r="T53">
        <f t="shared" si="17"/>
        <v>1574.9884276343112</v>
      </c>
      <c r="U53">
        <f t="shared" si="24"/>
        <v>1.72355963384829E-2</v>
      </c>
      <c r="V53">
        <f t="shared" si="25"/>
        <v>151.14755706588846</v>
      </c>
      <c r="W53" s="4">
        <f t="shared" si="18"/>
        <v>9.1923180471908793E-3</v>
      </c>
      <c r="X53" s="4">
        <f t="shared" si="26"/>
        <v>29.246335349941457</v>
      </c>
      <c r="Y53" s="4">
        <f t="shared" si="27"/>
        <v>29.246335349941457</v>
      </c>
      <c r="Z53" s="4">
        <f t="shared" si="3"/>
        <v>39.193401853042978</v>
      </c>
      <c r="AA53" s="8">
        <f t="shared" si="28"/>
        <v>29.246335349941457</v>
      </c>
      <c r="AB53" s="8">
        <f t="shared" si="29"/>
        <v>29.19849856079508</v>
      </c>
      <c r="AC53" s="7">
        <f t="shared" si="30"/>
        <v>151.14755706588846</v>
      </c>
    </row>
    <row r="54" spans="1:29">
      <c r="A54" s="4">
        <v>3</v>
      </c>
      <c r="B54" s="4">
        <v>3000</v>
      </c>
      <c r="C54" s="4">
        <v>1</v>
      </c>
      <c r="D54" s="4">
        <f t="shared" si="4"/>
        <v>1.6666666666666667</v>
      </c>
      <c r="E54" s="5">
        <f t="shared" si="21"/>
        <v>1.9229429489242915</v>
      </c>
      <c r="F54" s="5">
        <f t="shared" si="0"/>
        <v>1.0770570510757085</v>
      </c>
      <c r="G54" s="6">
        <f t="shared" si="23"/>
        <v>22.810397535561481</v>
      </c>
      <c r="H54" s="4">
        <f t="shared" si="5"/>
        <v>1800</v>
      </c>
      <c r="I54" s="4">
        <f t="shared" si="6"/>
        <v>70</v>
      </c>
      <c r="J54" s="4">
        <f t="shared" si="7"/>
        <v>40</v>
      </c>
      <c r="K54" s="4">
        <f t="shared" si="8"/>
        <v>45</v>
      </c>
      <c r="L54" s="4">
        <f t="shared" si="9"/>
        <v>2.4700000000000002</v>
      </c>
      <c r="M54" s="4">
        <f t="shared" si="10"/>
        <v>1.28</v>
      </c>
      <c r="N54" s="4">
        <f t="shared" si="11"/>
        <v>0.85899999999999999</v>
      </c>
      <c r="O54" s="6">
        <f t="shared" si="12"/>
        <v>12118.110519423921</v>
      </c>
      <c r="P54" s="6">
        <f t="shared" si="13"/>
        <v>2302136.0646511102</v>
      </c>
      <c r="Q54" s="6">
        <f t="shared" si="14"/>
        <v>387694374.30250138</v>
      </c>
      <c r="R54" t="str">
        <f t="shared" si="15"/>
        <v/>
      </c>
      <c r="S54" t="str">
        <f t="shared" si="16"/>
        <v/>
      </c>
      <c r="T54">
        <f t="shared" si="17"/>
        <v>1560.1086874044922</v>
      </c>
      <c r="U54">
        <f t="shared" si="24"/>
        <v>1.8839656824963129E-2</v>
      </c>
      <c r="V54">
        <f t="shared" si="25"/>
        <v>137.57585444334242</v>
      </c>
      <c r="W54" s="4">
        <f t="shared" si="18"/>
        <v>1.004781697331367E-2</v>
      </c>
      <c r="X54" s="4">
        <f t="shared" si="26"/>
        <v>28.532447563322592</v>
      </c>
      <c r="Y54" s="4">
        <f t="shared" si="27"/>
        <v>28.532447563322592</v>
      </c>
      <c r="Z54" s="4">
        <f t="shared" si="3"/>
        <v>38.034802222202401</v>
      </c>
      <c r="AA54" s="8">
        <f t="shared" si="28"/>
        <v>28.532447563322599</v>
      </c>
      <c r="AB54" s="8">
        <f t="shared" si="29"/>
        <v>28.485778445240449</v>
      </c>
      <c r="AC54" s="7">
        <f t="shared" si="30"/>
        <v>137.57585444334237</v>
      </c>
    </row>
    <row r="55" spans="1:29">
      <c r="A55" s="4">
        <v>3</v>
      </c>
      <c r="B55" s="4">
        <v>3100</v>
      </c>
      <c r="C55" s="4">
        <v>1</v>
      </c>
      <c r="D55" s="4">
        <f t="shared" si="4"/>
        <v>1.7222222222222223</v>
      </c>
      <c r="E55" s="5">
        <f t="shared" si="21"/>
        <v>2.0053683741412369</v>
      </c>
      <c r="F55" s="5">
        <f t="shared" si="0"/>
        <v>0.99463162585876308</v>
      </c>
      <c r="G55" s="6">
        <f t="shared" si="23"/>
        <v>22.002660949197175</v>
      </c>
      <c r="H55" s="4">
        <f t="shared" si="5"/>
        <v>1800</v>
      </c>
      <c r="I55" s="4">
        <f t="shared" si="6"/>
        <v>70</v>
      </c>
      <c r="J55" s="4">
        <f t="shared" si="7"/>
        <v>40</v>
      </c>
      <c r="K55" s="4">
        <f t="shared" si="8"/>
        <v>45</v>
      </c>
      <c r="L55" s="4">
        <f t="shared" si="9"/>
        <v>2.4700000000000002</v>
      </c>
      <c r="M55" s="4">
        <f t="shared" si="10"/>
        <v>1.28</v>
      </c>
      <c r="N55" s="4">
        <f t="shared" si="11"/>
        <v>0.85899999999999999</v>
      </c>
      <c r="O55" s="6">
        <f t="shared" si="12"/>
        <v>12118.110519423921</v>
      </c>
      <c r="P55" s="6">
        <f t="shared" si="13"/>
        <v>2302136.0646511102</v>
      </c>
      <c r="Q55" s="6">
        <f t="shared" si="14"/>
        <v>420400654.77427793</v>
      </c>
      <c r="R55" t="str">
        <f t="shared" si="15"/>
        <v/>
      </c>
      <c r="S55" t="str">
        <f t="shared" si="16"/>
        <v/>
      </c>
      <c r="T55">
        <f t="shared" si="17"/>
        <v>1545.8506476783946</v>
      </c>
      <c r="U55">
        <f t="shared" si="24"/>
        <v>2.0449048290519953E-2</v>
      </c>
      <c r="V55">
        <f t="shared" si="25"/>
        <v>125.09615476699872</v>
      </c>
      <c r="W55" s="4">
        <f t="shared" si="18"/>
        <v>1.0906159088277309E-2</v>
      </c>
      <c r="X55" s="4">
        <f t="shared" si="26"/>
        <v>27.850375127605375</v>
      </c>
      <c r="Y55" s="4">
        <f t="shared" si="27"/>
        <v>27.850375127605375</v>
      </c>
      <c r="Z55" s="4">
        <f t="shared" si="3"/>
        <v>36.851666970367162</v>
      </c>
      <c r="AA55" s="8">
        <f t="shared" si="28"/>
        <v>27.850375127605371</v>
      </c>
      <c r="AB55" s="8">
        <f t="shared" si="29"/>
        <v>27.804821641786187</v>
      </c>
      <c r="AC55" s="7">
        <f t="shared" si="30"/>
        <v>125.09615476699872</v>
      </c>
    </row>
    <row r="56" spans="1:29">
      <c r="A56" s="4">
        <v>3</v>
      </c>
      <c r="B56" s="4">
        <v>3200</v>
      </c>
      <c r="C56" s="4">
        <v>1</v>
      </c>
      <c r="D56" s="4">
        <f t="shared" si="4"/>
        <v>1.7777777777777777</v>
      </c>
      <c r="E56" s="5">
        <f t="shared" si="21"/>
        <v>2.0885417715068066</v>
      </c>
      <c r="F56" s="5">
        <f t="shared" si="0"/>
        <v>0.91145822849319336</v>
      </c>
      <c r="G56" s="6">
        <f t="shared" si="23"/>
        <v>21.247836310618496</v>
      </c>
      <c r="H56" s="4">
        <f t="shared" si="5"/>
        <v>1800</v>
      </c>
      <c r="I56" s="4">
        <f t="shared" si="6"/>
        <v>70</v>
      </c>
      <c r="J56" s="4">
        <f t="shared" si="7"/>
        <v>40</v>
      </c>
      <c r="K56" s="4">
        <f t="shared" si="8"/>
        <v>45</v>
      </c>
      <c r="L56" s="4">
        <f t="shared" si="9"/>
        <v>2.4700000000000002</v>
      </c>
      <c r="M56" s="4">
        <f t="shared" si="10"/>
        <v>1.28</v>
      </c>
      <c r="N56" s="4">
        <f t="shared" si="11"/>
        <v>0.85899999999999999</v>
      </c>
      <c r="O56" s="6">
        <f t="shared" si="12"/>
        <v>12118.110519423921</v>
      </c>
      <c r="P56" s="6">
        <f t="shared" si="13"/>
        <v>2302136.0646511102</v>
      </c>
      <c r="Q56" s="6">
        <f t="shared" si="14"/>
        <v>454695280.4706977</v>
      </c>
      <c r="R56" t="str">
        <f t="shared" si="15"/>
        <v/>
      </c>
      <c r="S56" t="str">
        <f t="shared" si="16"/>
        <v/>
      </c>
      <c r="T56">
        <f t="shared" si="17"/>
        <v>1532.1694991483541</v>
      </c>
      <c r="U56">
        <f t="shared" si="24"/>
        <v>2.2063615578601536E-2</v>
      </c>
      <c r="V56">
        <f t="shared" si="25"/>
        <v>113.70794369039777</v>
      </c>
      <c r="W56" s="4">
        <f t="shared" si="18"/>
        <v>1.1767261641920818E-2</v>
      </c>
      <c r="X56" s="4">
        <f t="shared" si="26"/>
        <v>27.198109278277961</v>
      </c>
      <c r="Y56" s="4">
        <f t="shared" si="27"/>
        <v>27.198109278277961</v>
      </c>
      <c r="Z56" s="4">
        <f t="shared" si="3"/>
        <v>35.644863300272</v>
      </c>
      <c r="AA56" s="8">
        <f t="shared" si="28"/>
        <v>27.198109278277958</v>
      </c>
      <c r="AB56" s="8">
        <f t="shared" si="29"/>
        <v>27.153622671557581</v>
      </c>
      <c r="AC56" s="7">
        <f t="shared" si="30"/>
        <v>113.70794369039781</v>
      </c>
    </row>
    <row r="57" spans="1:29">
      <c r="A57" s="4">
        <v>3</v>
      </c>
      <c r="B57" s="4">
        <v>3300</v>
      </c>
      <c r="C57" s="4">
        <v>1</v>
      </c>
      <c r="D57" s="4">
        <f t="shared" si="4"/>
        <v>1.8333333333333333</v>
      </c>
      <c r="E57" s="5">
        <f t="shared" si="21"/>
        <v>2.1724462321867284</v>
      </c>
      <c r="F57" s="5">
        <f t="shared" si="0"/>
        <v>0.82755376781327161</v>
      </c>
      <c r="G57" s="6">
        <f t="shared" si="23"/>
        <v>20.540961517813209</v>
      </c>
      <c r="H57" s="4">
        <f t="shared" si="5"/>
        <v>1800</v>
      </c>
      <c r="I57" s="4">
        <f t="shared" si="6"/>
        <v>70</v>
      </c>
      <c r="J57" s="4">
        <f t="shared" si="7"/>
        <v>40</v>
      </c>
      <c r="K57" s="4">
        <f t="shared" si="8"/>
        <v>45</v>
      </c>
      <c r="L57" s="4">
        <f t="shared" si="9"/>
        <v>2.4700000000000002</v>
      </c>
      <c r="M57" s="4">
        <f t="shared" si="10"/>
        <v>1.28</v>
      </c>
      <c r="N57" s="4">
        <f t="shared" si="11"/>
        <v>0.85899999999999999</v>
      </c>
      <c r="O57" s="6">
        <f t="shared" si="12"/>
        <v>12118.110519423921</v>
      </c>
      <c r="P57" s="6">
        <f t="shared" si="13"/>
        <v>2302136.0646511102</v>
      </c>
      <c r="Q57" s="6">
        <f t="shared" si="14"/>
        <v>490602132.36031288</v>
      </c>
      <c r="R57" t="str">
        <f t="shared" si="15"/>
        <v/>
      </c>
      <c r="S57" t="str">
        <f t="shared" si="16"/>
        <v/>
      </c>
      <c r="T57">
        <f t="shared" si="17"/>
        <v>1519.0249365473617</v>
      </c>
      <c r="U57">
        <f t="shared" si="24"/>
        <v>2.368321276649079E-2</v>
      </c>
      <c r="V57">
        <f t="shared" si="25"/>
        <v>103.36876985006801</v>
      </c>
      <c r="W57" s="4">
        <f t="shared" si="18"/>
        <v>1.2631046808795088E-2</v>
      </c>
      <c r="X57" s="4">
        <f t="shared" si="26"/>
        <v>26.573802346797354</v>
      </c>
      <c r="Y57" s="4">
        <f t="shared" si="27"/>
        <v>26.573802346797354</v>
      </c>
      <c r="Z57" s="4">
        <f t="shared" si="3"/>
        <v>34.415204670968237</v>
      </c>
      <c r="AA57" s="8">
        <f t="shared" si="28"/>
        <v>26.573802346797354</v>
      </c>
      <c r="AB57" s="8">
        <f t="shared" si="29"/>
        <v>26.530336888151993</v>
      </c>
      <c r="AC57" s="7">
        <f t="shared" si="30"/>
        <v>103.36876985006798</v>
      </c>
    </row>
    <row r="58" spans="1:29">
      <c r="A58" s="4">
        <v>3</v>
      </c>
      <c r="B58" s="4">
        <v>3400</v>
      </c>
      <c r="C58" s="4">
        <v>1</v>
      </c>
      <c r="D58" s="4">
        <f t="shared" si="4"/>
        <v>1.8888888888888888</v>
      </c>
      <c r="E58" s="5">
        <f t="shared" si="21"/>
        <v>2.2570657328460899</v>
      </c>
      <c r="F58" s="5">
        <f t="shared" si="0"/>
        <v>0.74293426715391009</v>
      </c>
      <c r="G58" s="6">
        <f t="shared" si="23"/>
        <v>19.877671872271609</v>
      </c>
      <c r="H58" s="4">
        <f t="shared" si="5"/>
        <v>1800</v>
      </c>
      <c r="I58" s="4">
        <f t="shared" si="6"/>
        <v>70</v>
      </c>
      <c r="J58" s="4">
        <f t="shared" si="7"/>
        <v>40</v>
      </c>
      <c r="K58" s="4">
        <f t="shared" si="8"/>
        <v>45</v>
      </c>
      <c r="L58" s="4">
        <f t="shared" si="9"/>
        <v>2.4700000000000002</v>
      </c>
      <c r="M58" s="4">
        <f t="shared" si="10"/>
        <v>1.28</v>
      </c>
      <c r="N58" s="4">
        <f t="shared" si="11"/>
        <v>0.85899999999999999</v>
      </c>
      <c r="O58" s="6">
        <f t="shared" si="12"/>
        <v>12118.110519423921</v>
      </c>
      <c r="P58" s="6">
        <f t="shared" si="13"/>
        <v>2302136.0646511102</v>
      </c>
      <c r="Q58" s="6">
        <f t="shared" si="14"/>
        <v>528144698.96343094</v>
      </c>
      <c r="R58" t="str">
        <f t="shared" si="15"/>
        <v/>
      </c>
      <c r="S58" t="str">
        <f t="shared" si="16"/>
        <v/>
      </c>
      <c r="T58">
        <f t="shared" si="17"/>
        <v>1506.3805854305826</v>
      </c>
      <c r="U58">
        <f t="shared" si="24"/>
        <v>2.5307702351951566E-2</v>
      </c>
      <c r="V58">
        <f t="shared" si="25"/>
        <v>94.013576074236255</v>
      </c>
      <c r="W58" s="4">
        <f t="shared" si="18"/>
        <v>1.349744125437417E-2</v>
      </c>
      <c r="X58" s="4">
        <f t="shared" si="26"/>
        <v>25.975752346563493</v>
      </c>
      <c r="Y58" s="4">
        <f t="shared" si="27"/>
        <v>25.975752346563493</v>
      </c>
      <c r="Z58" s="4">
        <f t="shared" si="3"/>
        <v>33.16345506659664</v>
      </c>
      <c r="AA58" s="8">
        <f t="shared" si="28"/>
        <v>25.975752346563496</v>
      </c>
      <c r="AB58" s="8">
        <f t="shared" si="29"/>
        <v>25.93326508882495</v>
      </c>
      <c r="AC58" s="7">
        <f t="shared" si="30"/>
        <v>94.013576074236184</v>
      </c>
    </row>
    <row r="59" spans="1:29">
      <c r="A59" s="4">
        <v>3</v>
      </c>
      <c r="B59" s="4">
        <v>3500</v>
      </c>
      <c r="C59" s="4">
        <v>1</v>
      </c>
      <c r="D59" s="4">
        <f t="shared" si="4"/>
        <v>1.9444444444444444</v>
      </c>
      <c r="E59" s="5">
        <f t="shared" si="21"/>
        <v>2.3423850644707085</v>
      </c>
      <c r="F59" s="5">
        <f t="shared" si="0"/>
        <v>0.65761493552929151</v>
      </c>
      <c r="G59" s="6">
        <f t="shared" si="23"/>
        <v>19.254113164395047</v>
      </c>
      <c r="H59" s="4">
        <f t="shared" si="5"/>
        <v>1800</v>
      </c>
      <c r="I59" s="4">
        <f t="shared" si="6"/>
        <v>70</v>
      </c>
      <c r="J59" s="4">
        <f t="shared" si="7"/>
        <v>40</v>
      </c>
      <c r="K59" s="4">
        <f t="shared" si="8"/>
        <v>45</v>
      </c>
      <c r="L59" s="4">
        <f t="shared" si="9"/>
        <v>2.4700000000000002</v>
      </c>
      <c r="M59" s="4">
        <f t="shared" si="10"/>
        <v>1.28</v>
      </c>
      <c r="N59" s="4">
        <f t="shared" si="11"/>
        <v>0.85899999999999999</v>
      </c>
      <c r="O59" s="6">
        <f t="shared" si="12"/>
        <v>12118.110519423921</v>
      </c>
      <c r="P59" s="6">
        <f t="shared" si="13"/>
        <v>2302136.0646511102</v>
      </c>
      <c r="Q59" s="6">
        <f t="shared" si="14"/>
        <v>567346094.41471684</v>
      </c>
      <c r="R59" t="str">
        <f t="shared" si="15"/>
        <v/>
      </c>
      <c r="S59" t="str">
        <f t="shared" si="16"/>
        <v/>
      </c>
      <c r="T59">
        <f t="shared" si="17"/>
        <v>1494.2035163594544</v>
      </c>
      <c r="U59">
        <f t="shared" si="24"/>
        <v>2.6936954533393558E-2</v>
      </c>
      <c r="V59">
        <f t="shared" si="25"/>
        <v>85.566754626492411</v>
      </c>
      <c r="W59" s="4">
        <f t="shared" si="18"/>
        <v>1.436637575114323E-2</v>
      </c>
      <c r="X59" s="4">
        <f t="shared" si="26"/>
        <v>25.402389245115081</v>
      </c>
      <c r="Y59" s="4">
        <f t="shared" si="27"/>
        <v>25.402389245115081</v>
      </c>
      <c r="Z59" s="4">
        <f t="shared" si="3"/>
        <v>31.890332874579983</v>
      </c>
      <c r="AA59" s="8">
        <f t="shared" si="28"/>
        <v>25.402389245115081</v>
      </c>
      <c r="AB59" s="8">
        <f t="shared" si="29"/>
        <v>25.36083980913984</v>
      </c>
      <c r="AC59" s="7">
        <f t="shared" si="30"/>
        <v>85.566754626492411</v>
      </c>
    </row>
    <row r="60" spans="1:29">
      <c r="A60" s="4">
        <v>3</v>
      </c>
      <c r="B60" s="4">
        <v>3600</v>
      </c>
      <c r="C60" s="4">
        <v>1</v>
      </c>
      <c r="D60" s="4">
        <f>B60/H60</f>
        <v>2</v>
      </c>
      <c r="E60" s="5">
        <f t="shared" si="21"/>
        <v>2.4283897687900939</v>
      </c>
      <c r="F60" s="5">
        <f t="shared" si="0"/>
        <v>0.57161023120990606</v>
      </c>
      <c r="G60" s="6">
        <f>IF(E60&gt;=1,J60/(E60^N60),"")</f>
        <v>18.666869463883945</v>
      </c>
      <c r="H60" s="4">
        <f t="shared" si="5"/>
        <v>1800</v>
      </c>
      <c r="I60" s="4">
        <f t="shared" si="6"/>
        <v>70</v>
      </c>
      <c r="J60" s="4">
        <f t="shared" si="7"/>
        <v>40</v>
      </c>
      <c r="K60" s="4">
        <f>H60/J60</f>
        <v>45</v>
      </c>
      <c r="L60" s="4">
        <f t="shared" si="9"/>
        <v>2.4700000000000002</v>
      </c>
      <c r="M60" s="4">
        <f t="shared" si="10"/>
        <v>1.28</v>
      </c>
      <c r="N60" s="4">
        <f t="shared" si="11"/>
        <v>0.85899999999999999</v>
      </c>
      <c r="O60" s="6">
        <f>K60^L60</f>
        <v>12118.110519423921</v>
      </c>
      <c r="P60" s="6">
        <f>O60*(I60^L60)^0.5</f>
        <v>2302136.0646511102</v>
      </c>
      <c r="Q60" s="6">
        <f>B60^L60</f>
        <v>608229075.19092631</v>
      </c>
      <c r="R60" t="str">
        <f>IFERROR((P60+(P60^2-4*O60*Q60)^0.5)/(2*O60),"")</f>
        <v/>
      </c>
      <c r="S60" t="str">
        <f>IFERROR((R60^2)^(1/L60),"")</f>
        <v/>
      </c>
      <c r="T60">
        <f>B60/E60</f>
        <v>1482.4638310816315</v>
      </c>
      <c r="U60">
        <f>IFERROR(C60/G60-C60/J60,"")</f>
        <v>2.8570846570431511E-2</v>
      </c>
      <c r="V60">
        <f>U60*4*T60/(E60/2)^4</f>
        <v>77.94954983885367</v>
      </c>
      <c r="W60" s="4">
        <f>(V60/(120*T60))*(E60)^4</f>
        <v>1.5237784837563472E-2</v>
      </c>
      <c r="X60" s="4">
        <f>C60/((C60/J60)+W60)</f>
        <v>24.85226271865897</v>
      </c>
      <c r="Y60" s="4">
        <f>MAX(X60,S60)</f>
        <v>24.85226271865897</v>
      </c>
      <c r="Z60" s="4">
        <f t="shared" si="3"/>
        <v>30.596514411273255</v>
      </c>
      <c r="AA60" s="8">
        <f t="shared" si="28"/>
        <v>24.852262718658974</v>
      </c>
      <c r="AB60" s="8">
        <f t="shared" si="29"/>
        <v>24.811613097526688</v>
      </c>
      <c r="AC60" s="7">
        <f t="shared" si="30"/>
        <v>77.949549838853642</v>
      </c>
    </row>
    <row r="61" spans="1:29">
      <c r="A61" s="4">
        <v>3</v>
      </c>
      <c r="B61" s="4">
        <v>3700</v>
      </c>
      <c r="C61" s="4">
        <v>1</v>
      </c>
      <c r="D61" s="4">
        <f>B61/H61</f>
        <v>2.0555555555555554</v>
      </c>
      <c r="E61" s="5">
        <f t="shared" si="21"/>
        <v>2.5150660813005454</v>
      </c>
      <c r="F61" s="5">
        <f t="shared" si="0"/>
        <v>0.48493391869945457</v>
      </c>
      <c r="G61" s="6">
        <f>IF(E61&gt;=1,J61/(E61^N61),"")</f>
        <v>18.112902797472486</v>
      </c>
      <c r="H61" s="4">
        <f t="shared" si="5"/>
        <v>1800</v>
      </c>
      <c r="I61" s="4">
        <f t="shared" si="6"/>
        <v>70</v>
      </c>
      <c r="J61" s="4">
        <f t="shared" si="7"/>
        <v>40</v>
      </c>
      <c r="K61" s="4">
        <f>H61/J61</f>
        <v>45</v>
      </c>
      <c r="L61" s="4">
        <f t="shared" si="9"/>
        <v>2.4700000000000002</v>
      </c>
      <c r="M61" s="4">
        <f t="shared" si="10"/>
        <v>1.28</v>
      </c>
      <c r="N61" s="4">
        <f t="shared" si="11"/>
        <v>0.85899999999999999</v>
      </c>
      <c r="O61" s="6">
        <f>K61^L61</f>
        <v>12118.110519423921</v>
      </c>
      <c r="P61" s="6">
        <f>O61*(I61^L61)^0.5</f>
        <v>2302136.0646511102</v>
      </c>
      <c r="Q61" s="6">
        <f>B61^L61</f>
        <v>650816055.63752985</v>
      </c>
      <c r="R61" t="str">
        <f>IFERROR((P61+(P61^2-4*O61*Q61)^0.5)/(2*O61),"")</f>
        <v/>
      </c>
      <c r="S61" t="str">
        <f>IFERROR((R61^2)^(1/L61),"")</f>
        <v/>
      </c>
      <c r="T61">
        <f>B61/E61</f>
        <v>1471.1343083624756</v>
      </c>
      <c r="U61">
        <f>IFERROR(C61/G61-C61/J61,"")</f>
        <v>3.020926221387011E-2</v>
      </c>
      <c r="V61">
        <f>U61*4*T61/(E61/2)^4</f>
        <v>71.08448404685349</v>
      </c>
      <c r="W61" s="4">
        <f>(V61/(120*T61))*(E61)^4</f>
        <v>1.6111606514064059E-2</v>
      </c>
      <c r="X61" s="4">
        <f>C61/((C61/J61)+W61)</f>
        <v>24.324031211427002</v>
      </c>
      <c r="Y61" s="4">
        <f>MAX(X61,S61)</f>
        <v>24.324031211427002</v>
      </c>
      <c r="Z61" s="4">
        <f t="shared" si="3"/>
        <v>29.282637129608624</v>
      </c>
      <c r="AA61" s="8">
        <f t="shared" si="28"/>
        <v>24.324031211427005</v>
      </c>
      <c r="AB61" s="8">
        <f t="shared" si="29"/>
        <v>24.284245592533964</v>
      </c>
      <c r="AC61" s="7">
        <f t="shared" si="30"/>
        <v>71.084484046853504</v>
      </c>
    </row>
    <row r="62" spans="1:29">
      <c r="A62" s="4">
        <v>3</v>
      </c>
      <c r="B62" s="4">
        <v>3800</v>
      </c>
      <c r="C62" s="4">
        <v>1</v>
      </c>
      <c r="D62" s="4">
        <f>B62/H62</f>
        <v>2.1111111111111112</v>
      </c>
      <c r="E62" s="5">
        <f t="shared" si="21"/>
        <v>2.6024008800425102</v>
      </c>
      <c r="F62" s="5">
        <f t="shared" si="0"/>
        <v>0.39759911995748975</v>
      </c>
      <c r="G62" s="6">
        <f>IF(E62&gt;=1,J62/(E62^N62),"")</f>
        <v>17.58950249612127</v>
      </c>
      <c r="H62" s="4">
        <f t="shared" si="5"/>
        <v>1800</v>
      </c>
      <c r="I62" s="4">
        <f t="shared" si="6"/>
        <v>70</v>
      </c>
      <c r="J62" s="4">
        <f t="shared" si="7"/>
        <v>40</v>
      </c>
      <c r="K62" s="4">
        <f>H62/J62</f>
        <v>45</v>
      </c>
      <c r="L62" s="4">
        <f t="shared" si="9"/>
        <v>2.4700000000000002</v>
      </c>
      <c r="M62" s="4">
        <f t="shared" si="10"/>
        <v>1.28</v>
      </c>
      <c r="N62" s="4">
        <f t="shared" si="11"/>
        <v>0.85899999999999999</v>
      </c>
      <c r="O62" s="6">
        <f>K62^L62</f>
        <v>12118.110519423921</v>
      </c>
      <c r="P62" s="6">
        <f>O62*(I62^L62)^0.5</f>
        <v>2302136.0646511102</v>
      </c>
      <c r="Q62" s="6">
        <f>B62^L62</f>
        <v>695129122.4112469</v>
      </c>
      <c r="R62" t="str">
        <f>IFERROR((P62+(P62^2-4*O62*Q62)^0.5)/(2*O62),"")</f>
        <v/>
      </c>
      <c r="S62" t="str">
        <f>IFERROR((R62^2)^(1/L62),"")</f>
        <v/>
      </c>
      <c r="T62">
        <f>B62/E62</f>
        <v>1460.1900995122346</v>
      </c>
      <c r="U62">
        <f>IFERROR(C62/G62-C62/J62,"")</f>
        <v>3.1852091195900163E-2</v>
      </c>
      <c r="V62">
        <f>U62*4*T62/(E62/2)^4</f>
        <v>64.897883786558594</v>
      </c>
      <c r="W62" s="4">
        <f>(V62/(120*T62))*(E62)^4</f>
        <v>1.6987781971146754E-2</v>
      </c>
      <c r="X62" s="4">
        <f>C62/((C62/J62)+W62)</f>
        <v>23.816452145226005</v>
      </c>
      <c r="Y62" s="4">
        <f>MAX(X62,S62)</f>
        <v>23.816452145226005</v>
      </c>
      <c r="Z62" s="4">
        <f t="shared" si="3"/>
        <v>27.949302539962808</v>
      </c>
      <c r="AA62" s="8">
        <f t="shared" si="28"/>
        <v>23.816452145226009</v>
      </c>
      <c r="AB62" s="8">
        <f t="shared" si="29"/>
        <v>23.777496748392394</v>
      </c>
      <c r="AC62" s="7">
        <f t="shared" si="30"/>
        <v>64.897883786558594</v>
      </c>
    </row>
    <row r="63" spans="1:29">
      <c r="A63" s="4">
        <v>3</v>
      </c>
      <c r="B63" s="4">
        <v>3900</v>
      </c>
      <c r="C63" s="4">
        <v>1</v>
      </c>
      <c r="D63" s="4">
        <f>B63/H63</f>
        <v>2.1666666666666665</v>
      </c>
      <c r="E63" s="5">
        <f t="shared" si="21"/>
        <v>2.690381639414221</v>
      </c>
      <c r="F63" s="5">
        <f t="shared" si="0"/>
        <v>0.30961836058577896</v>
      </c>
      <c r="G63" s="6">
        <f>IF(E63&gt;=1,J63/(E63^N63),"")</f>
        <v>17.094242453778367</v>
      </c>
      <c r="H63" s="4">
        <f t="shared" si="5"/>
        <v>1800</v>
      </c>
      <c r="I63" s="4">
        <f t="shared" si="6"/>
        <v>70</v>
      </c>
      <c r="J63" s="4">
        <f t="shared" si="7"/>
        <v>40</v>
      </c>
      <c r="K63" s="4">
        <f>H63/J63</f>
        <v>45</v>
      </c>
      <c r="L63" s="4">
        <f t="shared" si="9"/>
        <v>2.4700000000000002</v>
      </c>
      <c r="M63" s="4">
        <f t="shared" si="10"/>
        <v>1.28</v>
      </c>
      <c r="N63" s="4">
        <f t="shared" si="11"/>
        <v>0.85899999999999999</v>
      </c>
      <c r="O63" s="6">
        <f>K63^L63</f>
        <v>12118.110519423921</v>
      </c>
      <c r="P63" s="6">
        <f>O63*(I63^L63)^0.5</f>
        <v>2302136.0646511102</v>
      </c>
      <c r="Q63" s="6">
        <f>B63^L63</f>
        <v>741190047.94130564</v>
      </c>
      <c r="R63" t="str">
        <f>IFERROR((P63+(P63^2-4*O63*Q63)^0.5)/(2*O63),"")</f>
        <v/>
      </c>
      <c r="S63" t="str">
        <f>IFERROR((R63^2)^(1/L63),"")</f>
        <v/>
      </c>
      <c r="T63">
        <f>B63/E63</f>
        <v>1449.608465529504</v>
      </c>
      <c r="U63">
        <f>IFERROR(C63/G63-C63/J63,"")</f>
        <v>3.3499228772724494E-2</v>
      </c>
      <c r="V63">
        <f>U63*4*T63/(E63/2)^4</f>
        <v>59.321201324474188</v>
      </c>
      <c r="W63" s="4">
        <f>(V63/(120*T63))*(E63)^4</f>
        <v>1.7866255345453066E-2</v>
      </c>
      <c r="X63" s="4">
        <f>C63/((C63/J63)+W63)</f>
        <v>23.328373144356604</v>
      </c>
      <c r="Y63" s="4">
        <f>MAX(X63,S63)</f>
        <v>23.328373144356604</v>
      </c>
      <c r="Z63" s="4">
        <f t="shared" si="3"/>
        <v>26.59707887239955</v>
      </c>
      <c r="AA63" s="8">
        <f t="shared" si="28"/>
        <v>23.328373144356604</v>
      </c>
      <c r="AB63" s="8">
        <f t="shared" si="29"/>
        <v>23.290216074286736</v>
      </c>
      <c r="AC63" s="7">
        <f t="shared" si="30"/>
        <v>59.321201324474202</v>
      </c>
    </row>
    <row r="64" spans="1:29">
      <c r="A64" s="4">
        <v>3</v>
      </c>
      <c r="B64" s="4">
        <v>4000</v>
      </c>
      <c r="C64" s="4">
        <v>1</v>
      </c>
      <c r="D64" s="4">
        <f>B64/H64</f>
        <v>2.2222222222222223</v>
      </c>
      <c r="E64" s="5">
        <f t="shared" si="21"/>
        <v>2.778996388409448</v>
      </c>
      <c r="F64" s="5">
        <f t="shared" si="0"/>
        <v>0.22100361159055204</v>
      </c>
      <c r="G64" s="6">
        <f>IF(E64&gt;=1,J64/(E64^N64),"")</f>
        <v>16.624944895309451</v>
      </c>
      <c r="H64" s="4">
        <f t="shared" si="5"/>
        <v>1800</v>
      </c>
      <c r="I64" s="4">
        <f t="shared" si="6"/>
        <v>70</v>
      </c>
      <c r="J64" s="4">
        <f t="shared" si="7"/>
        <v>40</v>
      </c>
      <c r="K64" s="4">
        <f>H64/J64</f>
        <v>45</v>
      </c>
      <c r="L64" s="4">
        <f t="shared" si="9"/>
        <v>2.4700000000000002</v>
      </c>
      <c r="M64" s="4">
        <f t="shared" si="10"/>
        <v>1.28</v>
      </c>
      <c r="N64" s="4">
        <f t="shared" si="11"/>
        <v>0.85899999999999999</v>
      </c>
      <c r="O64" s="6">
        <f>K64^L64</f>
        <v>12118.110519423921</v>
      </c>
      <c r="P64" s="6">
        <f>O64*(I64^L64)^0.5</f>
        <v>2302136.0646511102</v>
      </c>
      <c r="Q64" s="6">
        <f>B64^L64</f>
        <v>789020303.00004935</v>
      </c>
      <c r="R64" t="str">
        <f>IFERROR((P64+(P64^2-4*O64*Q64)^0.5)/(2*O64),"")</f>
        <v/>
      </c>
      <c r="S64" t="str">
        <f>IFERROR((R64^2)^(1/L64),"")</f>
        <v/>
      </c>
      <c r="T64">
        <f>B64/E64</f>
        <v>1439.3685492658703</v>
      </c>
      <c r="U64">
        <f>IFERROR(C64/G64-C64/J64,"")</f>
        <v>3.5150575313012869E-2</v>
      </c>
      <c r="V64">
        <f>U64*4*T64/(E64/2)^4</f>
        <v>54.291581287682767</v>
      </c>
      <c r="W64" s="4">
        <f>(V64/(120*T64))*(E64)^4</f>
        <v>1.8746973500273531E-2</v>
      </c>
      <c r="X64" s="4">
        <f>C64/((C64/J64)+W64)</f>
        <v>22.858724158226565</v>
      </c>
      <c r="Y64" s="4">
        <f>MAX(X64,S64)</f>
        <v>22.858724158226565</v>
      </c>
      <c r="Z64" s="4">
        <f t="shared" si="3"/>
        <v>25.226503505613262</v>
      </c>
      <c r="AA64" s="8">
        <f t="shared" si="28"/>
        <v>22.858724158226565</v>
      </c>
      <c r="AB64" s="8">
        <f t="shared" si="29"/>
        <v>22.821335269853769</v>
      </c>
      <c r="AC64" s="7">
        <f t="shared" si="30"/>
        <v>54.291581287682767</v>
      </c>
    </row>
    <row r="69" spans="9:9">
      <c r="I69" s="6">
        <f>(0.8^(-1.2))^3.2</f>
        <v>2.355778478696871</v>
      </c>
    </row>
  </sheetData>
  <phoneticPr fontId="4" type="noConversion"/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70EF-2AFE-4141-83BB-18FF16BA098B}">
  <dimension ref="A1:W82"/>
  <sheetViews>
    <sheetView zoomScale="70" zoomScaleNormal="70" workbookViewId="0"/>
  </sheetViews>
  <sheetFormatPr defaultRowHeight="14.4"/>
  <cols>
    <col min="1" max="1" width="27.88671875" customWidth="1"/>
    <col min="2" max="2" width="12.6640625" bestFit="1" customWidth="1"/>
    <col min="4" max="4" width="22.6640625" bestFit="1" customWidth="1"/>
    <col min="6" max="6" width="17.6640625" bestFit="1" customWidth="1"/>
    <col min="8" max="8" width="12" bestFit="1" customWidth="1"/>
  </cols>
  <sheetData>
    <row r="1" spans="1:9" ht="48.6" customHeight="1">
      <c r="A1" s="37" t="s">
        <v>259</v>
      </c>
    </row>
    <row r="9" spans="1:9">
      <c r="A9" s="28" t="s">
        <v>250</v>
      </c>
    </row>
    <row r="10" spans="1:9">
      <c r="A10" s="25" t="s">
        <v>41</v>
      </c>
      <c r="B10" s="25" t="s">
        <v>40</v>
      </c>
      <c r="C10" s="25" t="s">
        <v>9</v>
      </c>
    </row>
    <row r="11" spans="1:9">
      <c r="A11" s="25">
        <v>2.4700000000000002</v>
      </c>
      <c r="B11" s="24">
        <v>45</v>
      </c>
      <c r="C11" s="24">
        <v>0.85899999999999999</v>
      </c>
    </row>
    <row r="13" spans="1:9">
      <c r="F13" t="s">
        <v>214</v>
      </c>
    </row>
    <row r="14" spans="1:9" ht="43.2">
      <c r="A14" s="38" t="s">
        <v>251</v>
      </c>
      <c r="F14" t="s">
        <v>213</v>
      </c>
      <c r="G14">
        <f>A16/(1+F16*(POWER(1,G16)))</f>
        <v>39.615384615384613</v>
      </c>
    </row>
    <row r="15" spans="1:9">
      <c r="A15" t="s">
        <v>209</v>
      </c>
      <c r="B15" t="s">
        <v>208</v>
      </c>
      <c r="C15" t="s">
        <v>248</v>
      </c>
      <c r="D15" t="s">
        <v>249</v>
      </c>
      <c r="F15" t="s">
        <v>252</v>
      </c>
      <c r="G15" t="s">
        <v>253</v>
      </c>
      <c r="I15" t="s">
        <v>210</v>
      </c>
    </row>
    <row r="16" spans="1:9">
      <c r="A16">
        <v>51.5</v>
      </c>
      <c r="B16">
        <v>36</v>
      </c>
      <c r="C16">
        <v>1.1000000000000001</v>
      </c>
      <c r="D16">
        <f>8/15</f>
        <v>0.53333333333333333</v>
      </c>
      <c r="F16">
        <v>0.3</v>
      </c>
      <c r="G16">
        <v>2</v>
      </c>
      <c r="I16">
        <v>-1</v>
      </c>
    </row>
    <row r="18" spans="3:23">
      <c r="C18" s="36" t="s">
        <v>3</v>
      </c>
      <c r="D18" s="36" t="s">
        <v>254</v>
      </c>
      <c r="E18" s="36" t="s">
        <v>255</v>
      </c>
      <c r="F18" s="36" t="s">
        <v>256</v>
      </c>
      <c r="G18" s="36" t="s">
        <v>212</v>
      </c>
      <c r="H18" s="36" t="s">
        <v>41</v>
      </c>
      <c r="I18" s="4"/>
      <c r="J18" s="4"/>
      <c r="K18" s="6" t="s">
        <v>37</v>
      </c>
      <c r="L18" s="6" t="s">
        <v>38</v>
      </c>
      <c r="M18" s="6" t="s">
        <v>39</v>
      </c>
      <c r="N18" s="6" t="s">
        <v>43</v>
      </c>
      <c r="O18" s="6" t="s">
        <v>45</v>
      </c>
      <c r="P18" s="4"/>
      <c r="Q18" s="4"/>
      <c r="R18" s="4"/>
      <c r="S18" s="6"/>
      <c r="T18" s="6"/>
      <c r="U18" s="6"/>
      <c r="V18" s="6"/>
      <c r="W18" s="6" t="s">
        <v>45</v>
      </c>
    </row>
    <row r="19" spans="3:23">
      <c r="C19">
        <v>0</v>
      </c>
      <c r="D19">
        <f>$B$16/(1+$D$16*(POWER(C19,$C$16)-1))</f>
        <v>77.142857142857139</v>
      </c>
      <c r="E19">
        <f>$A$16/(1+$F$16*POWER(C19,$G$16))</f>
        <v>51.5</v>
      </c>
      <c r="F19">
        <f>$I$16*LN(EXP(D19/$I$16)+EXP(E19/$I$16))</f>
        <v>51.499999999992696</v>
      </c>
      <c r="G19">
        <f>$B$11</f>
        <v>45</v>
      </c>
      <c r="H19" s="4">
        <f>$A$11</f>
        <v>2.4700000000000002</v>
      </c>
      <c r="I19" s="4"/>
      <c r="J19" s="4"/>
      <c r="K19" s="6">
        <f>G19^H19</f>
        <v>12118.110519423921</v>
      </c>
      <c r="L19" s="6">
        <f>K19*(E19^H19)^0.5</f>
        <v>1575857.1149779495</v>
      </c>
      <c r="M19" s="6" t="e">
        <f>#REF!^H19</f>
        <v>#REF!</v>
      </c>
      <c r="N19" t="str">
        <f>IFERROR((L19+(L19^2-4*K19*M19)^0.5)/(2*K19),"")</f>
        <v/>
      </c>
      <c r="O19" t="str">
        <f>IFERROR((N19^2)^(1/H19),"")</f>
        <v/>
      </c>
      <c r="P19" s="4"/>
      <c r="Q19" s="4"/>
      <c r="R19" s="4"/>
      <c r="S19" s="6"/>
      <c r="T19" s="6"/>
      <c r="U19" s="6"/>
      <c r="W19" t="str">
        <f>IFERROR((V19^2)^(1/P19),"")</f>
        <v/>
      </c>
    </row>
    <row r="20" spans="3:23">
      <c r="C20">
        <v>0.1</v>
      </c>
      <c r="D20">
        <f>$B$16/(1+$D$16*(POWER(C20,$C$16)-1))</f>
        <v>70.722630592712363</v>
      </c>
      <c r="E20">
        <f t="shared" ref="E20:E38" si="0">$A$16/(1+$F$16*POWER(C20,$G$16))</f>
        <v>51.345962113659027</v>
      </c>
      <c r="F20">
        <f>$I$16*LN(EXP(D20/$I$16)+EXP(E20/$I$16))</f>
        <v>51.345962109814707</v>
      </c>
    </row>
    <row r="21" spans="3:23">
      <c r="C21">
        <v>0.2</v>
      </c>
      <c r="D21">
        <f>$B$16/(1+$D$16*(POWER(C21,$C$16)-1))</f>
        <v>64.57674108522508</v>
      </c>
      <c r="E21">
        <f t="shared" si="0"/>
        <v>50.889328063241109</v>
      </c>
      <c r="F21">
        <f>$I$16*LN(EXP(D21/$I$16)+EXP(E21/$I$16))</f>
        <v>50.889326926577894</v>
      </c>
    </row>
    <row r="22" spans="3:23">
      <c r="C22">
        <v>0.3</v>
      </c>
      <c r="D22">
        <f t="shared" ref="D22:D38" si="1">$B$16/(1+$D$16*(POWER(C22,$C$16)-1))</f>
        <v>59.160165178484149</v>
      </c>
      <c r="E22">
        <f t="shared" si="0"/>
        <v>50.146056475170404</v>
      </c>
      <c r="F22">
        <f t="shared" ref="F22:F38" si="2">$I$16*LN(EXP(D22/$I$16)+EXP(E22/$I$16))</f>
        <v>50.145934801696008</v>
      </c>
    </row>
    <row r="23" spans="3:23">
      <c r="C23">
        <v>0.4</v>
      </c>
      <c r="D23">
        <f t="shared" si="1"/>
        <v>54.436475377712028</v>
      </c>
      <c r="E23">
        <f t="shared" si="0"/>
        <v>49.141221374045799</v>
      </c>
      <c r="F23">
        <f t="shared" si="2"/>
        <v>49.136218568672284</v>
      </c>
    </row>
    <row r="24" spans="3:23">
      <c r="C24">
        <v>0.5</v>
      </c>
      <c r="D24">
        <f t="shared" si="1"/>
        <v>50.316190828005325</v>
      </c>
      <c r="E24">
        <f t="shared" si="0"/>
        <v>47.906976744186046</v>
      </c>
      <c r="F24">
        <f t="shared" si="2"/>
        <v>47.820903723505268</v>
      </c>
    </row>
    <row r="25" spans="3:23">
      <c r="C25">
        <v>0.6</v>
      </c>
      <c r="D25">
        <f t="shared" si="1"/>
        <v>46.708919627679542</v>
      </c>
      <c r="E25">
        <f t="shared" si="0"/>
        <v>46.480144404332123</v>
      </c>
      <c r="F25">
        <f t="shared" si="2"/>
        <v>45.894856790077569</v>
      </c>
    </row>
    <row r="26" spans="3:23">
      <c r="C26">
        <v>0.7</v>
      </c>
      <c r="D26">
        <f t="shared" si="1"/>
        <v>43.535108422911222</v>
      </c>
      <c r="E26">
        <f t="shared" si="0"/>
        <v>44.899738448125547</v>
      </c>
      <c r="F26">
        <f t="shared" si="2"/>
        <v>43.307594294196441</v>
      </c>
    </row>
    <row r="27" spans="3:23">
      <c r="C27">
        <v>0.8</v>
      </c>
      <c r="D27">
        <f t="shared" si="1"/>
        <v>40.727760678988155</v>
      </c>
      <c r="E27">
        <f t="shared" si="0"/>
        <v>43.20469798657718</v>
      </c>
      <c r="F27">
        <f t="shared" si="2"/>
        <v>40.647102685108855</v>
      </c>
    </row>
    <row r="28" spans="3:23">
      <c r="C28">
        <v>0.9</v>
      </c>
      <c r="D28">
        <f t="shared" si="1"/>
        <v>38.231337180891082</v>
      </c>
      <c r="E28">
        <f t="shared" si="0"/>
        <v>41.432019308125504</v>
      </c>
      <c r="F28">
        <f t="shared" si="2"/>
        <v>38.191410554981672</v>
      </c>
    </row>
    <row r="29" spans="3:23">
      <c r="C29">
        <v>1</v>
      </c>
      <c r="D29">
        <f t="shared" si="1"/>
        <v>36</v>
      </c>
      <c r="E29" s="2">
        <f>$A$16/(1+$F$16*POWER(C29,$G$16))</f>
        <v>39.615384615384613</v>
      </c>
      <c r="F29">
        <f t="shared" si="2"/>
        <v>35.973449042476517</v>
      </c>
    </row>
    <row r="30" spans="3:23">
      <c r="C30">
        <v>1.1000000000000001</v>
      </c>
      <c r="D30">
        <f t="shared" si="1"/>
        <v>33.995888161640949</v>
      </c>
      <c r="E30">
        <f>$A$16/(1+$F$16*POWER(C30,$G$16))</f>
        <v>37.784299339691856</v>
      </c>
      <c r="F30">
        <f t="shared" si="2"/>
        <v>33.973508924525234</v>
      </c>
    </row>
    <row r="31" spans="3:23">
      <c r="C31">
        <v>1.2</v>
      </c>
      <c r="D31">
        <f t="shared" si="1"/>
        <v>32.187624743173643</v>
      </c>
      <c r="E31">
        <f t="shared" si="0"/>
        <v>35.963687150837991</v>
      </c>
      <c r="F31">
        <f t="shared" si="2"/>
        <v>32.164970562832778</v>
      </c>
    </row>
    <row r="32" spans="3:23">
      <c r="C32">
        <v>1.3</v>
      </c>
      <c r="D32">
        <f t="shared" si="1"/>
        <v>30.549086280337939</v>
      </c>
      <c r="E32">
        <f t="shared" si="0"/>
        <v>34.173855341738552</v>
      </c>
      <c r="F32">
        <f t="shared" si="2"/>
        <v>30.522780089921078</v>
      </c>
    </row>
    <row r="33" spans="3:6">
      <c r="C33">
        <v>1.4</v>
      </c>
      <c r="D33">
        <f t="shared" si="1"/>
        <v>29.058409736140785</v>
      </c>
      <c r="E33">
        <f t="shared" si="0"/>
        <v>32.430730478589425</v>
      </c>
      <c r="F33">
        <f t="shared" si="2"/>
        <v>29.024675275380989</v>
      </c>
    </row>
    <row r="34" spans="3:6">
      <c r="C34">
        <v>1.5</v>
      </c>
      <c r="D34">
        <f t="shared" si="1"/>
        <v>27.69719812563422</v>
      </c>
      <c r="E34">
        <f t="shared" si="0"/>
        <v>30.746268656716421</v>
      </c>
      <c r="F34">
        <f t="shared" si="2"/>
        <v>27.650884393385375</v>
      </c>
    </row>
    <row r="35" spans="3:6">
      <c r="C35">
        <v>1.6</v>
      </c>
      <c r="D35">
        <f t="shared" si="1"/>
        <v>26.449886550626896</v>
      </c>
      <c r="E35">
        <f t="shared" si="0"/>
        <v>29.128959276018097</v>
      </c>
      <c r="F35">
        <f t="shared" si="2"/>
        <v>26.383512127808668</v>
      </c>
    </row>
    <row r="36" spans="3:6">
      <c r="C36">
        <v>1.7</v>
      </c>
      <c r="D36">
        <f t="shared" si="1"/>
        <v>25.303235699557337</v>
      </c>
      <c r="E36">
        <f t="shared" si="0"/>
        <v>27.584359935725765</v>
      </c>
      <c r="F36">
        <f t="shared" si="2"/>
        <v>25.205955389257451</v>
      </c>
    </row>
    <row r="37" spans="3:6">
      <c r="C37">
        <v>1.8</v>
      </c>
      <c r="D37">
        <f t="shared" si="1"/>
        <v>24.245925957976549</v>
      </c>
      <c r="E37">
        <f t="shared" si="0"/>
        <v>26.115618661257606</v>
      </c>
      <c r="F37">
        <f t="shared" si="2"/>
        <v>24.102543593949751</v>
      </c>
    </row>
    <row r="38" spans="3:6">
      <c r="C38">
        <v>1.9</v>
      </c>
      <c r="D38">
        <f t="shared" si="1"/>
        <v>23.268230802480122</v>
      </c>
      <c r="E38">
        <f t="shared" si="0"/>
        <v>24.723955832933267</v>
      </c>
      <c r="F38">
        <f t="shared" si="2"/>
        <v>23.058593083418423</v>
      </c>
    </row>
    <row r="82" spans="9:9">
      <c r="I82" s="26" t="s">
        <v>211</v>
      </c>
    </row>
  </sheetData>
  <phoneticPr fontId="4" type="noConversion"/>
  <hyperlinks>
    <hyperlink ref="I82" r:id="rId1" display="https://math.stackexchange.com/questions/3233404/log-sum-exp-as-an-approximation-of-min-function" xr:uid="{FFCBE90A-728E-4133-88A2-636B5DD22BEB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5AF2-1BD5-49B8-ACA7-BADEB85C3C52}">
  <dimension ref="A1:P25"/>
  <sheetViews>
    <sheetView zoomScale="85" zoomScaleNormal="85" workbookViewId="0">
      <selection activeCell="B30" sqref="B30"/>
    </sheetView>
  </sheetViews>
  <sheetFormatPr defaultRowHeight="14.4"/>
  <cols>
    <col min="1" max="1" width="31.109375" customWidth="1"/>
    <col min="2" max="2" width="24.6640625" customWidth="1"/>
    <col min="4" max="4" width="12" bestFit="1" customWidth="1"/>
    <col min="5" max="5" width="14.44140625" customWidth="1"/>
    <col min="9" max="9" width="12.77734375" bestFit="1" customWidth="1"/>
    <col min="16" max="16" width="11.21875" customWidth="1"/>
  </cols>
  <sheetData>
    <row r="1" spans="1:5" ht="44.4" customHeight="1">
      <c r="A1" s="29" t="s">
        <v>257</v>
      </c>
      <c r="E1" s="29" t="s">
        <v>223</v>
      </c>
    </row>
    <row r="2" spans="1:5">
      <c r="A2" t="s">
        <v>12</v>
      </c>
      <c r="B2" t="s">
        <v>225</v>
      </c>
      <c r="C2" t="s">
        <v>13</v>
      </c>
      <c r="D2" t="s">
        <v>14</v>
      </c>
    </row>
    <row r="3" spans="1:5">
      <c r="A3" t="s">
        <v>20</v>
      </c>
      <c r="B3" t="s">
        <v>233</v>
      </c>
      <c r="C3">
        <v>1</v>
      </c>
    </row>
    <row r="4" spans="1:5">
      <c r="A4" t="s">
        <v>2</v>
      </c>
      <c r="B4" t="s">
        <v>232</v>
      </c>
      <c r="C4">
        <v>1700</v>
      </c>
      <c r="D4" t="s">
        <v>16</v>
      </c>
    </row>
    <row r="5" spans="1:5">
      <c r="A5" t="s">
        <v>234</v>
      </c>
      <c r="B5" t="s">
        <v>235</v>
      </c>
      <c r="C5">
        <v>0.5</v>
      </c>
    </row>
    <row r="6" spans="1:5">
      <c r="A6" s="3" t="s">
        <v>11</v>
      </c>
      <c r="B6" t="s">
        <v>227</v>
      </c>
      <c r="C6">
        <v>40.700000000000003</v>
      </c>
      <c r="D6" t="s">
        <v>15</v>
      </c>
    </row>
    <row r="7" spans="1:5">
      <c r="A7" s="2" t="s">
        <v>5</v>
      </c>
      <c r="B7" s="8"/>
      <c r="C7">
        <v>1.34668799321136</v>
      </c>
    </row>
    <row r="8" spans="1:5">
      <c r="A8" s="2" t="s">
        <v>9</v>
      </c>
      <c r="B8" s="8"/>
      <c r="C8">
        <v>1.46210131607865</v>
      </c>
    </row>
    <row r="9" spans="1:5">
      <c r="A9" s="2" t="s">
        <v>0</v>
      </c>
      <c r="B9" s="8" t="s">
        <v>236</v>
      </c>
      <c r="C9">
        <v>5474.2220689655196</v>
      </c>
      <c r="D9" t="s">
        <v>15</v>
      </c>
    </row>
    <row r="10" spans="1:5">
      <c r="A10" s="2" t="s">
        <v>1</v>
      </c>
      <c r="B10" t="s">
        <v>226</v>
      </c>
      <c r="C10">
        <v>1</v>
      </c>
    </row>
    <row r="11" spans="1:5">
      <c r="A11" t="s">
        <v>4</v>
      </c>
      <c r="B11" t="s">
        <v>230</v>
      </c>
      <c r="C11">
        <f>C9/C10</f>
        <v>5474.2220689655196</v>
      </c>
      <c r="D11" t="s">
        <v>17</v>
      </c>
    </row>
    <row r="12" spans="1:5">
      <c r="A12" t="s">
        <v>3</v>
      </c>
      <c r="B12" t="s">
        <v>3</v>
      </c>
      <c r="C12">
        <f>C11/C4</f>
        <v>3.220130628803247</v>
      </c>
    </row>
    <row r="13" spans="1:5">
      <c r="A13" t="s">
        <v>6</v>
      </c>
      <c r="B13" t="s">
        <v>231</v>
      </c>
      <c r="C13">
        <f>POWER(C12,C7)</f>
        <v>4.8300000000000267</v>
      </c>
      <c r="D13" t="s">
        <v>18</v>
      </c>
    </row>
    <row r="14" spans="1:5">
      <c r="A14" t="s">
        <v>7</v>
      </c>
      <c r="B14" t="s">
        <v>8</v>
      </c>
      <c r="C14">
        <f>POWER(C12,(-1)*C7)*C11</f>
        <v>1133.3793103448218</v>
      </c>
      <c r="D14" t="s">
        <v>16</v>
      </c>
    </row>
    <row r="15" spans="1:5">
      <c r="A15" t="s">
        <v>229</v>
      </c>
      <c r="B15" t="s">
        <v>10</v>
      </c>
      <c r="C15">
        <f>C6/POWER(C13,C8)</f>
        <v>4.0699999999999452</v>
      </c>
      <c r="D15" t="s">
        <v>15</v>
      </c>
    </row>
    <row r="16" spans="1:5">
      <c r="A16" t="s">
        <v>19</v>
      </c>
      <c r="B16" t="s">
        <v>177</v>
      </c>
      <c r="C16">
        <f>C3/C15*C14</f>
        <v>278.47157502330145</v>
      </c>
      <c r="D16" t="s">
        <v>17</v>
      </c>
    </row>
    <row r="17" spans="1:16">
      <c r="A17" t="s">
        <v>21</v>
      </c>
      <c r="B17" t="s">
        <v>180</v>
      </c>
      <c r="C17">
        <f>C16*4/POWER(C13/2,4)</f>
        <v>32.747060499477676</v>
      </c>
    </row>
    <row r="18" spans="1:16">
      <c r="A18" t="s">
        <v>22</v>
      </c>
      <c r="B18" t="s">
        <v>228</v>
      </c>
      <c r="C18">
        <v>7.5</v>
      </c>
    </row>
    <row r="19" spans="1:16">
      <c r="A19" t="s">
        <v>23</v>
      </c>
      <c r="B19" t="s">
        <v>24</v>
      </c>
      <c r="C19">
        <f>C18-C13/2</f>
        <v>5.0849999999999866</v>
      </c>
    </row>
    <row r="20" spans="1:16">
      <c r="A20" t="s">
        <v>25</v>
      </c>
      <c r="B20" t="s">
        <v>26</v>
      </c>
      <c r="C20">
        <f>C18+C13/2</f>
        <v>9.9150000000000134</v>
      </c>
    </row>
    <row r="21" spans="1:16" ht="43.2">
      <c r="A21" s="31" t="s">
        <v>238</v>
      </c>
      <c r="D21" s="32" t="s">
        <v>242</v>
      </c>
      <c r="I21" s="32" t="s">
        <v>244</v>
      </c>
      <c r="P21" s="32" t="s">
        <v>243</v>
      </c>
    </row>
    <row r="22" spans="1:16">
      <c r="A22" t="s">
        <v>27</v>
      </c>
      <c r="D22">
        <v>6</v>
      </c>
      <c r="E22">
        <v>6.25</v>
      </c>
      <c r="F22">
        <v>6.5</v>
      </c>
      <c r="G22">
        <v>6.75</v>
      </c>
      <c r="H22">
        <v>7</v>
      </c>
      <c r="I22">
        <v>7.25</v>
      </c>
      <c r="J22">
        <v>7.5</v>
      </c>
      <c r="K22">
        <v>7.75</v>
      </c>
      <c r="L22">
        <v>8</v>
      </c>
      <c r="M22">
        <v>8.25</v>
      </c>
      <c r="N22">
        <v>8.5</v>
      </c>
      <c r="O22">
        <v>8.75</v>
      </c>
      <c r="P22">
        <v>9</v>
      </c>
    </row>
    <row r="23" spans="1:16">
      <c r="A23" t="s">
        <v>28</v>
      </c>
      <c r="B23" s="1" t="s">
        <v>29</v>
      </c>
      <c r="D23">
        <f>1/4*$C$17*POWER(D22-$C$19,2)*POWER(D22-$C$20,2)</f>
        <v>105.05532043118859</v>
      </c>
      <c r="E23">
        <f t="shared" ref="E23:P23" si="0">1/4*$C$17*POWER(E22-$C$19,2)*POWER(E22-$C$20,2)</f>
        <v>149.24924384646451</v>
      </c>
      <c r="F23">
        <f t="shared" si="0"/>
        <v>191.16422768738678</v>
      </c>
      <c r="G23">
        <f t="shared" si="0"/>
        <v>227.34648041690116</v>
      </c>
      <c r="H23">
        <f t="shared" si="0"/>
        <v>255.10971972840983</v>
      </c>
      <c r="I23">
        <f t="shared" si="0"/>
        <v>272.5351725457715</v>
      </c>
      <c r="J23">
        <f t="shared" si="0"/>
        <v>278.47157502330151</v>
      </c>
      <c r="K23">
        <f t="shared" si="0"/>
        <v>272.5351725457715</v>
      </c>
      <c r="L23">
        <f t="shared" si="0"/>
        <v>255.10971972840983</v>
      </c>
      <c r="M23">
        <f t="shared" si="0"/>
        <v>227.34648041690119</v>
      </c>
      <c r="N23">
        <f t="shared" si="0"/>
        <v>191.16422768738681</v>
      </c>
      <c r="O23">
        <f t="shared" si="0"/>
        <v>149.24924384646454</v>
      </c>
      <c r="P23">
        <f t="shared" si="0"/>
        <v>105.0553204311886</v>
      </c>
    </row>
    <row r="24" spans="1:16">
      <c r="A24" t="s">
        <v>31</v>
      </c>
      <c r="B24" s="1" t="s">
        <v>32</v>
      </c>
      <c r="C24" t="s">
        <v>18</v>
      </c>
      <c r="D24">
        <f>D23/$C$14</f>
        <v>9.269211063966426E-2</v>
      </c>
      <c r="E24">
        <f t="shared" ref="E24:P24" si="1">E23/$C$14</f>
        <v>0.13168516707884548</v>
      </c>
      <c r="F24">
        <f t="shared" si="1"/>
        <v>0.16866747605373753</v>
      </c>
      <c r="G24">
        <f t="shared" si="1"/>
        <v>0.20059169806773056</v>
      </c>
      <c r="H24">
        <f t="shared" si="1"/>
        <v>0.22508768017901676</v>
      </c>
      <c r="I24">
        <f t="shared" si="1"/>
        <v>0.24046245600059066</v>
      </c>
      <c r="J24">
        <f t="shared" si="1"/>
        <v>0.24570024570024904</v>
      </c>
      <c r="K24">
        <f t="shared" si="1"/>
        <v>0.24046245600059066</v>
      </c>
      <c r="L24">
        <f t="shared" si="1"/>
        <v>0.22508768017901676</v>
      </c>
      <c r="M24">
        <f t="shared" si="1"/>
        <v>0.20059169806773056</v>
      </c>
      <c r="N24">
        <f t="shared" si="1"/>
        <v>0.16866747605373755</v>
      </c>
      <c r="O24">
        <f t="shared" si="1"/>
        <v>0.13168516707884551</v>
      </c>
      <c r="P24">
        <f t="shared" si="1"/>
        <v>9.2692110639664274E-2</v>
      </c>
    </row>
    <row r="25" spans="1:16">
      <c r="A25" t="s">
        <v>30</v>
      </c>
      <c r="B25" t="s">
        <v>237</v>
      </c>
      <c r="D25">
        <f>$C$3/(D24+$C$3/$C$6)</f>
        <v>8.5279020223518387</v>
      </c>
      <c r="E25">
        <f t="shared" ref="E25:P25" si="2">$C$3/(E24+$C$3/$C$6)</f>
        <v>6.3997873571276722</v>
      </c>
      <c r="F25">
        <f t="shared" si="2"/>
        <v>5.1749789599433038</v>
      </c>
      <c r="G25">
        <f t="shared" si="2"/>
        <v>4.4412522176729867</v>
      </c>
      <c r="H25">
        <f t="shared" si="2"/>
        <v>4.0054842329228775</v>
      </c>
      <c r="I25">
        <f t="shared" si="2"/>
        <v>3.7731224408683754</v>
      </c>
      <c r="J25">
        <f t="shared" si="2"/>
        <v>3.699999999999954</v>
      </c>
      <c r="K25">
        <f t="shared" si="2"/>
        <v>3.7731224408683754</v>
      </c>
      <c r="L25">
        <f t="shared" si="2"/>
        <v>4.0054842329228775</v>
      </c>
      <c r="M25">
        <f t="shared" si="2"/>
        <v>4.4412522176729867</v>
      </c>
      <c r="N25">
        <f t="shared" si="2"/>
        <v>5.1749789599433038</v>
      </c>
      <c r="O25">
        <f t="shared" si="2"/>
        <v>6.3997873571276713</v>
      </c>
      <c r="P25">
        <f t="shared" si="2"/>
        <v>8.5279020223518369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2369-E44A-4027-8D98-ED1AE3826C2E}">
  <dimension ref="A1:BP69"/>
  <sheetViews>
    <sheetView zoomScale="85" zoomScaleNormal="85" workbookViewId="0">
      <selection activeCell="AG1" sqref="AG1"/>
    </sheetView>
  </sheetViews>
  <sheetFormatPr defaultRowHeight="14.4"/>
  <cols>
    <col min="1" max="1" width="21.44140625" customWidth="1"/>
    <col min="10" max="10" width="13.109375" bestFit="1" customWidth="1"/>
    <col min="11" max="12" width="13.109375" customWidth="1"/>
    <col min="13" max="13" width="13.109375" bestFit="1" customWidth="1"/>
    <col min="15" max="15" width="15.88671875" bestFit="1" customWidth="1"/>
    <col min="16" max="16" width="13.77734375" bestFit="1" customWidth="1"/>
    <col min="17" max="17" width="17.109375" bestFit="1" customWidth="1"/>
    <col min="18" max="18" width="14.21875" customWidth="1"/>
    <col min="19" max="19" width="12.33203125" bestFit="1" customWidth="1"/>
    <col min="20" max="20" width="8.44140625" style="8" bestFit="1" customWidth="1"/>
    <col min="21" max="21" width="13.109375" bestFit="1" customWidth="1"/>
    <col min="22" max="22" width="11.6640625" style="8" customWidth="1"/>
    <col min="23" max="23" width="9.6640625" style="8" bestFit="1" customWidth="1"/>
    <col min="24" max="24" width="8.88671875" style="11"/>
    <col min="25" max="25" width="12.44140625" bestFit="1" customWidth="1"/>
    <col min="26" max="28" width="12.44140625" customWidth="1"/>
    <col min="29" max="29" width="21.77734375" bestFit="1" customWidth="1"/>
    <col min="30" max="30" width="6.33203125" bestFit="1" customWidth="1"/>
    <col min="31" max="31" width="4.109375" bestFit="1" customWidth="1"/>
    <col min="32" max="32" width="6.6640625" bestFit="1" customWidth="1"/>
    <col min="33" max="33" width="16.33203125" style="17" customWidth="1"/>
    <col min="34" max="37" width="8.6640625" style="17"/>
    <col min="38" max="38" width="10" customWidth="1"/>
    <col min="56" max="56" width="22.6640625" bestFit="1" customWidth="1"/>
  </cols>
  <sheetData>
    <row r="1" spans="1:68" ht="57.6">
      <c r="A1" s="37" t="s">
        <v>258</v>
      </c>
      <c r="AG1" s="39" t="s">
        <v>245</v>
      </c>
      <c r="AL1" s="39" t="s">
        <v>246</v>
      </c>
      <c r="BD1" s="28" t="s">
        <v>247</v>
      </c>
    </row>
    <row r="2" spans="1:68">
      <c r="A2" t="s">
        <v>58</v>
      </c>
      <c r="B2" t="s">
        <v>59</v>
      </c>
      <c r="C2" t="s">
        <v>126</v>
      </c>
      <c r="D2" t="s">
        <v>56</v>
      </c>
      <c r="E2" t="s">
        <v>57</v>
      </c>
      <c r="F2" t="s">
        <v>127</v>
      </c>
      <c r="G2" t="s">
        <v>20</v>
      </c>
      <c r="H2" t="s">
        <v>42</v>
      </c>
      <c r="I2" t="s">
        <v>128</v>
      </c>
      <c r="J2" t="s">
        <v>142</v>
      </c>
      <c r="K2" t="s">
        <v>159</v>
      </c>
      <c r="L2" t="s">
        <v>160</v>
      </c>
      <c r="M2" t="s">
        <v>144</v>
      </c>
      <c r="N2" t="s">
        <v>143</v>
      </c>
      <c r="O2" t="s">
        <v>146</v>
      </c>
      <c r="P2" t="s">
        <v>145</v>
      </c>
      <c r="Q2" t="s">
        <v>239</v>
      </c>
      <c r="R2" t="s">
        <v>185</v>
      </c>
      <c r="S2" t="s">
        <v>165</v>
      </c>
      <c r="T2" s="8" t="s">
        <v>147</v>
      </c>
      <c r="U2" t="s">
        <v>148</v>
      </c>
      <c r="V2" s="8" t="s">
        <v>149</v>
      </c>
      <c r="W2" s="8" t="s">
        <v>150</v>
      </c>
      <c r="X2" t="s">
        <v>151</v>
      </c>
      <c r="Y2" t="s">
        <v>152</v>
      </c>
      <c r="Z2" t="s">
        <v>173</v>
      </c>
      <c r="AA2" t="s">
        <v>175</v>
      </c>
      <c r="AB2" t="s">
        <v>176</v>
      </c>
      <c r="AC2" t="s">
        <v>179</v>
      </c>
      <c r="AD2" s="2" t="s">
        <v>182</v>
      </c>
      <c r="AE2" s="2" t="s">
        <v>183</v>
      </c>
      <c r="AF2" s="2" t="s">
        <v>184</v>
      </c>
      <c r="AG2" s="17" t="s">
        <v>167</v>
      </c>
      <c r="AH2" s="17" t="s">
        <v>168</v>
      </c>
      <c r="AI2" s="17" t="s">
        <v>169</v>
      </c>
      <c r="AJ2" s="17" t="s">
        <v>170</v>
      </c>
      <c r="AK2" s="17" t="s">
        <v>171</v>
      </c>
      <c r="AL2" t="s">
        <v>193</v>
      </c>
      <c r="AM2" t="s">
        <v>194</v>
      </c>
      <c r="AN2" t="s">
        <v>195</v>
      </c>
      <c r="AO2" t="s">
        <v>196</v>
      </c>
      <c r="AP2" t="s">
        <v>197</v>
      </c>
      <c r="AQ2" t="s">
        <v>198</v>
      </c>
      <c r="AR2" t="s">
        <v>199</v>
      </c>
      <c r="AS2" t="s">
        <v>200</v>
      </c>
      <c r="AT2" t="s">
        <v>201</v>
      </c>
      <c r="AU2" t="s">
        <v>202</v>
      </c>
      <c r="AV2" t="s">
        <v>203</v>
      </c>
      <c r="AW2" t="s">
        <v>199</v>
      </c>
      <c r="AX2" t="s">
        <v>200</v>
      </c>
      <c r="AY2" t="s">
        <v>201</v>
      </c>
      <c r="AZ2" t="s">
        <v>202</v>
      </c>
      <c r="BA2" t="s">
        <v>204</v>
      </c>
      <c r="BD2" t="s">
        <v>129</v>
      </c>
      <c r="BE2" t="s">
        <v>130</v>
      </c>
      <c r="BF2" t="s">
        <v>131</v>
      </c>
      <c r="BG2" t="s">
        <v>132</v>
      </c>
      <c r="BH2" t="s">
        <v>133</v>
      </c>
      <c r="BI2" t="s">
        <v>134</v>
      </c>
      <c r="BJ2" t="s">
        <v>135</v>
      </c>
      <c r="BK2" t="s">
        <v>136</v>
      </c>
      <c r="BL2" t="s">
        <v>137</v>
      </c>
      <c r="BM2" t="s">
        <v>138</v>
      </c>
      <c r="BN2" t="s">
        <v>139</v>
      </c>
      <c r="BO2" t="s">
        <v>140</v>
      </c>
      <c r="BP2" t="s">
        <v>141</v>
      </c>
    </row>
    <row r="3" spans="1:68" s="13" customFormat="1">
      <c r="A3" s="40" t="s">
        <v>155</v>
      </c>
      <c r="B3" s="40"/>
      <c r="C3" s="40"/>
      <c r="D3" s="40"/>
      <c r="E3" s="40"/>
      <c r="F3" s="12" t="s">
        <v>156</v>
      </c>
      <c r="G3" s="12" t="s">
        <v>157</v>
      </c>
      <c r="H3" s="12" t="s">
        <v>153</v>
      </c>
      <c r="I3" s="12" t="s">
        <v>186</v>
      </c>
      <c r="J3" s="14" t="s">
        <v>192</v>
      </c>
      <c r="K3" s="14" t="s">
        <v>162</v>
      </c>
      <c r="L3" s="14" t="s">
        <v>161</v>
      </c>
      <c r="M3" s="12" t="s">
        <v>186</v>
      </c>
      <c r="N3" s="12" t="s">
        <v>154</v>
      </c>
      <c r="O3" s="14" t="s">
        <v>189</v>
      </c>
      <c r="P3" s="14" t="s">
        <v>190</v>
      </c>
      <c r="Q3" s="21" t="s">
        <v>191</v>
      </c>
      <c r="R3" s="14" t="s">
        <v>241</v>
      </c>
      <c r="S3" s="14" t="s">
        <v>158</v>
      </c>
      <c r="T3" s="16" t="s">
        <v>240</v>
      </c>
      <c r="U3" s="14" t="s">
        <v>187</v>
      </c>
      <c r="V3" s="19" t="s">
        <v>163</v>
      </c>
      <c r="W3" s="16" t="s">
        <v>164</v>
      </c>
      <c r="X3" s="15" t="s">
        <v>166</v>
      </c>
      <c r="Z3" s="13" t="s">
        <v>174</v>
      </c>
      <c r="AA3" s="13" t="s">
        <v>188</v>
      </c>
      <c r="AB3" s="13" t="s">
        <v>178</v>
      </c>
      <c r="AC3" s="13" t="s">
        <v>181</v>
      </c>
      <c r="AD3" s="22" t="s">
        <v>24</v>
      </c>
      <c r="AE3" s="23">
        <v>7.5</v>
      </c>
      <c r="AF3" s="22" t="s">
        <v>26</v>
      </c>
      <c r="AG3" s="41" t="s">
        <v>172</v>
      </c>
      <c r="AH3" s="41"/>
      <c r="AI3" s="41"/>
      <c r="AJ3" s="41"/>
      <c r="AK3" s="41"/>
      <c r="AL3" s="13">
        <v>6</v>
      </c>
      <c r="AM3" s="13">
        <v>7</v>
      </c>
      <c r="AN3" s="13">
        <v>8</v>
      </c>
      <c r="AO3" s="13">
        <v>9</v>
      </c>
      <c r="AP3" s="13">
        <v>10</v>
      </c>
      <c r="AQ3" s="13">
        <v>6</v>
      </c>
      <c r="AR3" s="13">
        <v>7</v>
      </c>
      <c r="AS3" s="13">
        <v>8</v>
      </c>
      <c r="AT3" s="13">
        <v>9</v>
      </c>
      <c r="AU3" s="13">
        <v>10</v>
      </c>
      <c r="AV3" s="13">
        <v>6</v>
      </c>
      <c r="AW3" s="13">
        <v>7</v>
      </c>
      <c r="AX3" s="13">
        <v>8</v>
      </c>
      <c r="AY3" s="13">
        <v>9</v>
      </c>
      <c r="AZ3" s="13">
        <v>10</v>
      </c>
    </row>
    <row r="4" spans="1:68">
      <c r="A4">
        <v>50</v>
      </c>
      <c r="B4" t="s">
        <v>60</v>
      </c>
      <c r="C4" t="s">
        <v>60</v>
      </c>
      <c r="D4">
        <v>55</v>
      </c>
      <c r="E4">
        <v>1175</v>
      </c>
      <c r="F4">
        <v>4</v>
      </c>
      <c r="G4">
        <v>0.40081</v>
      </c>
      <c r="H4">
        <v>61</v>
      </c>
      <c r="I4">
        <v>2100</v>
      </c>
      <c r="J4">
        <f>Q4</f>
        <v>5.1757581180582832</v>
      </c>
      <c r="K4">
        <v>1.28</v>
      </c>
      <c r="L4" s="4">
        <v>0.85899999999999999</v>
      </c>
      <c r="M4">
        <f t="shared" ref="M4" si="0">I4</f>
        <v>2100</v>
      </c>
      <c r="N4">
        <f t="shared" ref="N4" si="1">H4</f>
        <v>61</v>
      </c>
      <c r="O4">
        <v>45</v>
      </c>
      <c r="P4">
        <f>I4/O4</f>
        <v>46.666666666666664</v>
      </c>
      <c r="Q4">
        <f>2*LN(2)/LN(N4/P4)</f>
        <v>5.1757581180582832</v>
      </c>
      <c r="R4">
        <v>3</v>
      </c>
      <c r="S4" s="17">
        <v>5813.2900390000004</v>
      </c>
      <c r="T4" s="18">
        <f>S4/R4</f>
        <v>1937.7633463333334</v>
      </c>
      <c r="U4">
        <f>T4/M4</f>
        <v>0.92274445063492072</v>
      </c>
      <c r="V4" s="18">
        <v>-1</v>
      </c>
      <c r="W4" s="18">
        <v>-1</v>
      </c>
      <c r="X4" s="20">
        <f>MAX(U4^K4,1)</f>
        <v>1</v>
      </c>
      <c r="Y4">
        <f t="shared" ref="Y4:Y35" si="2">IF(U4&lt;=1,(((O4^J4*N4^(J4/2))+((O4^(2*J4)*(N4^J4-4*P4^J4*U4^J4))^0.5))/(2*O4^J4))^(2/J4),(P4/(7/15+8/15*U4^K4)))</f>
        <v>55.736214438461431</v>
      </c>
      <c r="Z4">
        <f t="shared" ref="Z4:Z35" si="3">T4/X4</f>
        <v>1937.7633463333334</v>
      </c>
      <c r="AA4">
        <f t="shared" ref="AA4:AA35" si="4">P4/(U4)^(L4*K4)</f>
        <v>50.980070745615599</v>
      </c>
      <c r="AB4">
        <f>1/(AA4*Z4)</f>
        <v>1.012275741541791E-5</v>
      </c>
      <c r="AC4">
        <f>AB4*4/(X4/2)^4</f>
        <v>6.4785647458674624E-4</v>
      </c>
      <c r="AD4">
        <f>AE4-X4/2</f>
        <v>7</v>
      </c>
      <c r="AE4" s="13">
        <v>7.5</v>
      </c>
      <c r="AF4">
        <f>AE4+X4/2</f>
        <v>8</v>
      </c>
      <c r="AG4" s="17">
        <v>56.8</v>
      </c>
      <c r="AH4" s="17">
        <v>51.2</v>
      </c>
      <c r="AI4" s="17">
        <v>49.1</v>
      </c>
      <c r="AJ4" s="17">
        <v>51</v>
      </c>
      <c r="AK4" s="17">
        <v>52.6</v>
      </c>
      <c r="AL4">
        <f>1/((AC4*($AL$3-AD4)^2*($AL$3-AF4)^2/(4*Z4))+(1/AA4))</f>
        <v>50.97920184214464</v>
      </c>
      <c r="AM4">
        <f>1/((AC4*($AM$3-AD4)^2*($AM$3-AF4)^2/(4*Z4))+(1/AA4))</f>
        <v>50.980070745615599</v>
      </c>
      <c r="AN4">
        <f>1/((AC4*($AN$3-AD4)^2*($AN$3-AF4)^2/(4*Z4))+(1/AA4))</f>
        <v>50.980070745615599</v>
      </c>
      <c r="AO4">
        <f>1/((AC4*($AO$3-AD4)^2*($AO$3-AF4)^2/(4*Z4))+(1/AA4))</f>
        <v>50.97920184214464</v>
      </c>
      <c r="AP4">
        <f>1/((AC4*($AP$3-AD4)^2*($AP$3-AF4)^2/(4*Z4))+(1/AA4))</f>
        <v>50.972251680521076</v>
      </c>
      <c r="AQ4">
        <f>AL4-AG4</f>
        <v>-5.8207981578553571</v>
      </c>
      <c r="AR4">
        <f t="shared" ref="AR4:AU4" si="5">AM4-AH4</f>
        <v>-0.21992925438440381</v>
      </c>
      <c r="AS4">
        <f t="shared" si="5"/>
        <v>1.8800707456155976</v>
      </c>
      <c r="AT4">
        <f t="shared" si="5"/>
        <v>-2.0798157855359989E-2</v>
      </c>
      <c r="AU4">
        <f t="shared" si="5"/>
        <v>-1.6277483194789255</v>
      </c>
      <c r="AV4">
        <f>ABS(AQ4)</f>
        <v>5.8207981578553571</v>
      </c>
      <c r="AW4">
        <f>ABS(AR4)</f>
        <v>0.21992925438440381</v>
      </c>
      <c r="AX4">
        <f>ABS(AS4)</f>
        <v>1.8800707456155976</v>
      </c>
      <c r="AY4">
        <f t="shared" ref="AY4:AZ4" si="6">ABS(AT4)</f>
        <v>2.0798157855359989E-2</v>
      </c>
      <c r="AZ4">
        <f t="shared" si="6"/>
        <v>1.6277483194789255</v>
      </c>
      <c r="BA4">
        <f>AVERAGE(AV4:AZ4)</f>
        <v>1.9138689270379288</v>
      </c>
      <c r="BD4">
        <v>0.59867999999999999</v>
      </c>
      <c r="BE4">
        <v>0.64112999999999998</v>
      </c>
      <c r="BF4">
        <v>0.77858000000000005</v>
      </c>
      <c r="BG4">
        <v>0.28925000000000001</v>
      </c>
      <c r="BI4">
        <v>54.14</v>
      </c>
      <c r="BJ4">
        <v>52.53</v>
      </c>
      <c r="BK4">
        <v>46.37</v>
      </c>
      <c r="BL4">
        <v>60.38</v>
      </c>
      <c r="BM4">
        <v>15086.82422</v>
      </c>
      <c r="BN4">
        <v>32312.71875</v>
      </c>
      <c r="BO4">
        <v>26160.384770000001</v>
      </c>
      <c r="BP4">
        <v>26726.693360000001</v>
      </c>
    </row>
    <row r="5" spans="1:68">
      <c r="A5">
        <v>83</v>
      </c>
      <c r="B5" t="s">
        <v>61</v>
      </c>
      <c r="C5" t="s">
        <v>61</v>
      </c>
      <c r="D5">
        <v>1001</v>
      </c>
      <c r="E5">
        <v>1210</v>
      </c>
      <c r="F5">
        <v>3</v>
      </c>
      <c r="G5">
        <v>0.72916000000000003</v>
      </c>
      <c r="H5">
        <v>65</v>
      </c>
      <c r="I5">
        <v>2100</v>
      </c>
      <c r="J5">
        <f t="shared" ref="J5:J68" si="7">Q5</f>
        <v>4.1836864539729977</v>
      </c>
      <c r="K5">
        <v>1.28</v>
      </c>
      <c r="L5" s="4">
        <v>0.85899999999999999</v>
      </c>
      <c r="M5">
        <f t="shared" ref="M5:M11" si="8">I5</f>
        <v>2100</v>
      </c>
      <c r="N5">
        <f t="shared" ref="N5:N11" si="9">H5</f>
        <v>65</v>
      </c>
      <c r="O5">
        <v>45</v>
      </c>
      <c r="P5">
        <f t="shared" ref="P5:P68" si="10">I5/O5</f>
        <v>46.666666666666664</v>
      </c>
      <c r="Q5">
        <f t="shared" ref="Q5:Q68" si="11">2*LN(2)/LN(N5/P5)</f>
        <v>4.1836864539729977</v>
      </c>
      <c r="R5">
        <v>3</v>
      </c>
      <c r="S5" s="17">
        <v>5004.4287109999996</v>
      </c>
      <c r="T5" s="18">
        <f t="shared" ref="T5:T68" si="12">S5/R5</f>
        <v>1668.1429036666666</v>
      </c>
      <c r="U5">
        <f t="shared" ref="U5:U35" si="13">T5/M5</f>
        <v>0.79435376365079358</v>
      </c>
      <c r="V5" s="18">
        <v>-1</v>
      </c>
      <c r="W5" s="18">
        <v>-1</v>
      </c>
      <c r="X5" s="20">
        <f t="shared" ref="X5:X35" si="14">MAX(U5^K5,1)</f>
        <v>1</v>
      </c>
      <c r="Y5">
        <f t="shared" si="2"/>
        <v>61.582510977821798</v>
      </c>
      <c r="Z5">
        <f t="shared" si="3"/>
        <v>1668.1429036666666</v>
      </c>
      <c r="AA5">
        <f t="shared" si="4"/>
        <v>60.109544134330449</v>
      </c>
      <c r="AB5">
        <f t="shared" ref="AB5:AB68" si="15">1/(AA5*Z5)</f>
        <v>9.9729424606399666E-6</v>
      </c>
      <c r="AC5">
        <f t="shared" ref="AC5:AC68" si="16">AB5*4/(X5/2)^4</f>
        <v>6.3826831748095786E-4</v>
      </c>
      <c r="AD5">
        <f t="shared" ref="AD5:AD68" si="17">AE5-X5/2</f>
        <v>7</v>
      </c>
      <c r="AE5" s="13">
        <v>7.5</v>
      </c>
      <c r="AF5">
        <f t="shared" ref="AF5:AF68" si="18">AE5+X5/2</f>
        <v>8</v>
      </c>
      <c r="AG5" s="17">
        <v>69.900000000000006</v>
      </c>
      <c r="AH5" s="17">
        <v>66.7</v>
      </c>
      <c r="AI5" s="17">
        <v>67.599999999999994</v>
      </c>
      <c r="AJ5" s="17">
        <v>66.900000000000006</v>
      </c>
      <c r="AK5" s="17">
        <v>66.7</v>
      </c>
      <c r="AL5">
        <f t="shared" ref="AL5:AL68" si="19">1/((AC5*($AL$3-AD5)^2*($AL$3-AF5)^2/(4*Z5))+(1/AA5))</f>
        <v>60.108161692344048</v>
      </c>
      <c r="AM5">
        <f t="shared" ref="AM5:AM68" si="20">1/((AC5*($AM$3-AD5)^2*($AM$3-AF5)^2/(4*Z5))+(1/AA5))</f>
        <v>60.109544134330442</v>
      </c>
      <c r="AN5">
        <f t="shared" ref="AN5:AN68" si="21">1/((AC5*($AN$3-AD5)^2*($AN$3-AF5)^2/(4*Z5))+(1/AA5))</f>
        <v>60.109544134330442</v>
      </c>
      <c r="AO5">
        <f t="shared" ref="AO5:AO68" si="22">1/((AC5*($AO$3-AD5)^2*($AO$3-AF5)^2/(4*Z5))+(1/AA5))</f>
        <v>60.108161692344048</v>
      </c>
      <c r="AP5">
        <f t="shared" ref="AP5:AP68" si="23">1/((AC5*($AP$3-AD5)^2*($AP$3-AF5)^2/(4*Z5))+(1/AA5))</f>
        <v>60.097104445227288</v>
      </c>
      <c r="AQ5">
        <f t="shared" ref="AQ5:AQ68" si="24">AL5-AG5</f>
        <v>-9.7918383076559579</v>
      </c>
      <c r="AR5">
        <f t="shared" ref="AR5:AR68" si="25">AM5-AH5</f>
        <v>-6.5904558656695613</v>
      </c>
      <c r="AS5">
        <f t="shared" ref="AS5:AS68" si="26">AN5-AI5</f>
        <v>-7.4904558656695528</v>
      </c>
      <c r="AT5">
        <f t="shared" ref="AT5:AT68" si="27">AO5-AJ5</f>
        <v>-6.7918383076559579</v>
      </c>
      <c r="AU5">
        <f t="shared" ref="AU5:AU68" si="28">AP5-AK5</f>
        <v>-6.6028955547727151</v>
      </c>
      <c r="AV5">
        <f t="shared" ref="AV5:AV68" si="29">ABS(AQ5)</f>
        <v>9.7918383076559579</v>
      </c>
      <c r="AW5">
        <f t="shared" ref="AW5:AW68" si="30">ABS(AR5)</f>
        <v>6.5904558656695613</v>
      </c>
      <c r="AX5">
        <f t="shared" ref="AX5:AX68" si="31">ABS(AS5)</f>
        <v>7.4904558656695528</v>
      </c>
      <c r="AY5">
        <f t="shared" ref="AY5:AY68" si="32">ABS(AT5)</f>
        <v>6.7918383076559579</v>
      </c>
      <c r="AZ5">
        <f t="shared" ref="AZ5:AZ68" si="33">ABS(AU5)</f>
        <v>6.6028955547727151</v>
      </c>
      <c r="BA5">
        <f t="shared" ref="BA5:BA68" si="34">AVERAGE(AV5:AZ5)</f>
        <v>7.4534967802847492</v>
      </c>
      <c r="BD5">
        <v>0.70979000000000003</v>
      </c>
      <c r="BE5">
        <v>0.59292</v>
      </c>
      <c r="BF5">
        <v>0.65247999999999995</v>
      </c>
      <c r="BG5">
        <v>0.22652</v>
      </c>
      <c r="BI5">
        <v>58.44</v>
      </c>
      <c r="BJ5">
        <v>61.15</v>
      </c>
      <c r="BK5">
        <v>59.86</v>
      </c>
      <c r="BL5">
        <v>64.84</v>
      </c>
      <c r="BM5">
        <v>13414.95703</v>
      </c>
      <c r="BN5">
        <v>22412.390630000002</v>
      </c>
      <c r="BO5">
        <v>16442.449219999999</v>
      </c>
      <c r="BP5">
        <v>15697.78125</v>
      </c>
    </row>
    <row r="6" spans="1:68">
      <c r="A6">
        <v>94</v>
      </c>
      <c r="B6" t="s">
        <v>62</v>
      </c>
      <c r="C6" t="s">
        <v>62</v>
      </c>
      <c r="D6">
        <v>1006</v>
      </c>
      <c r="E6">
        <v>1112</v>
      </c>
      <c r="F6">
        <v>3</v>
      </c>
      <c r="G6">
        <v>0.36524000000000001</v>
      </c>
      <c r="H6">
        <v>62</v>
      </c>
      <c r="I6">
        <v>2100</v>
      </c>
      <c r="J6">
        <f t="shared" si="7"/>
        <v>4.8795269895941189</v>
      </c>
      <c r="K6">
        <v>1.28</v>
      </c>
      <c r="L6" s="4">
        <v>0.85899999999999999</v>
      </c>
      <c r="M6">
        <f t="shared" si="8"/>
        <v>2100</v>
      </c>
      <c r="N6">
        <f t="shared" si="9"/>
        <v>62</v>
      </c>
      <c r="O6">
        <v>45</v>
      </c>
      <c r="P6">
        <f t="shared" si="10"/>
        <v>46.666666666666664</v>
      </c>
      <c r="Q6">
        <f t="shared" si="11"/>
        <v>4.8795269895941189</v>
      </c>
      <c r="R6">
        <v>3</v>
      </c>
      <c r="S6" s="17">
        <v>5706.5434569999998</v>
      </c>
      <c r="T6" s="18">
        <f t="shared" si="12"/>
        <v>1902.1811523333333</v>
      </c>
      <c r="U6">
        <f t="shared" si="13"/>
        <v>0.90580054873015869</v>
      </c>
      <c r="V6" s="18">
        <v>-1</v>
      </c>
      <c r="W6" s="18">
        <v>-1</v>
      </c>
      <c r="X6" s="20">
        <f t="shared" si="14"/>
        <v>1</v>
      </c>
      <c r="Y6">
        <f t="shared" si="2"/>
        <v>56.852669756388359</v>
      </c>
      <c r="Z6">
        <f t="shared" si="3"/>
        <v>1902.1811523333333</v>
      </c>
      <c r="AA6">
        <f t="shared" si="4"/>
        <v>52.029579888647767</v>
      </c>
      <c r="AB6">
        <f t="shared" si="15"/>
        <v>1.0104103974788716E-5</v>
      </c>
      <c r="AC6">
        <f t="shared" si="16"/>
        <v>6.4666265438647784E-4</v>
      </c>
      <c r="AD6">
        <f t="shared" si="17"/>
        <v>7</v>
      </c>
      <c r="AE6" s="13">
        <v>7.5</v>
      </c>
      <c r="AF6">
        <f t="shared" si="18"/>
        <v>8</v>
      </c>
      <c r="AG6" s="17">
        <v>64.3</v>
      </c>
      <c r="AH6" s="17">
        <v>60.8</v>
      </c>
      <c r="AI6" s="17">
        <v>59.6</v>
      </c>
      <c r="AJ6" s="17">
        <v>63.1</v>
      </c>
      <c r="AK6" s="17">
        <v>62.1</v>
      </c>
      <c r="AL6">
        <f t="shared" si="19"/>
        <v>52.028659611022476</v>
      </c>
      <c r="AM6">
        <f t="shared" si="20"/>
        <v>52.029579888647767</v>
      </c>
      <c r="AN6">
        <f t="shared" si="21"/>
        <v>52.029579888647767</v>
      </c>
      <c r="AO6">
        <f t="shared" si="22"/>
        <v>52.028659611022476</v>
      </c>
      <c r="AP6">
        <f t="shared" si="23"/>
        <v>52.021298561833461</v>
      </c>
      <c r="AQ6">
        <f t="shared" si="24"/>
        <v>-12.271340388977521</v>
      </c>
      <c r="AR6">
        <f t="shared" si="25"/>
        <v>-8.7704201113522302</v>
      </c>
      <c r="AS6">
        <f t="shared" si="26"/>
        <v>-7.5704201113522345</v>
      </c>
      <c r="AT6">
        <f t="shared" si="27"/>
        <v>-11.071340388977525</v>
      </c>
      <c r="AU6">
        <f t="shared" si="28"/>
        <v>-10.07870143816654</v>
      </c>
      <c r="AV6">
        <f t="shared" si="29"/>
        <v>12.271340388977521</v>
      </c>
      <c r="AW6">
        <f t="shared" si="30"/>
        <v>8.7704201113522302</v>
      </c>
      <c r="AX6">
        <f t="shared" si="31"/>
        <v>7.5704201113522345</v>
      </c>
      <c r="AY6">
        <f t="shared" si="32"/>
        <v>11.071340388977525</v>
      </c>
      <c r="AZ6">
        <f t="shared" si="33"/>
        <v>10.07870143816654</v>
      </c>
      <c r="BA6">
        <f t="shared" si="34"/>
        <v>9.9524444877652094</v>
      </c>
      <c r="BD6">
        <v>0.83501000000000003</v>
      </c>
      <c r="BE6">
        <v>0.71079000000000003</v>
      </c>
      <c r="BF6">
        <v>0.73614000000000002</v>
      </c>
      <c r="BG6">
        <v>0.28698000000000001</v>
      </c>
      <c r="BI6">
        <v>47.22</v>
      </c>
      <c r="BJ6">
        <v>52.34</v>
      </c>
      <c r="BK6">
        <v>51.35</v>
      </c>
      <c r="BL6">
        <v>61.49</v>
      </c>
      <c r="BM6">
        <v>15781.643550000001</v>
      </c>
      <c r="BN6">
        <v>26867.800780000001</v>
      </c>
      <c r="BO6">
        <v>18550.792969999999</v>
      </c>
      <c r="BP6">
        <v>19887.751950000002</v>
      </c>
    </row>
    <row r="7" spans="1:68">
      <c r="A7">
        <v>110</v>
      </c>
      <c r="B7" t="s">
        <v>63</v>
      </c>
      <c r="C7" t="s">
        <v>63</v>
      </c>
      <c r="D7">
        <v>1015</v>
      </c>
      <c r="E7">
        <v>1228</v>
      </c>
      <c r="F7">
        <v>3</v>
      </c>
      <c r="G7">
        <v>0.62800999999999996</v>
      </c>
      <c r="H7">
        <v>65</v>
      </c>
      <c r="I7">
        <v>2100</v>
      </c>
      <c r="J7">
        <f t="shared" si="7"/>
        <v>4.1836864539729977</v>
      </c>
      <c r="K7">
        <v>1.28</v>
      </c>
      <c r="L7" s="4">
        <v>0.85899999999999999</v>
      </c>
      <c r="M7">
        <f t="shared" si="8"/>
        <v>2100</v>
      </c>
      <c r="N7">
        <f t="shared" si="9"/>
        <v>65</v>
      </c>
      <c r="O7">
        <v>45</v>
      </c>
      <c r="P7">
        <f t="shared" si="10"/>
        <v>46.666666666666664</v>
      </c>
      <c r="Q7">
        <f t="shared" si="11"/>
        <v>4.1836864539729977</v>
      </c>
      <c r="R7">
        <v>3</v>
      </c>
      <c r="S7" s="17">
        <v>5316.0834960000002</v>
      </c>
      <c r="T7" s="18">
        <f t="shared" si="12"/>
        <v>1772.027832</v>
      </c>
      <c r="U7">
        <f t="shared" si="13"/>
        <v>0.84382277714285714</v>
      </c>
      <c r="V7" s="18">
        <v>-1</v>
      </c>
      <c r="W7" s="18">
        <v>-1</v>
      </c>
      <c r="X7" s="20">
        <f t="shared" si="14"/>
        <v>1</v>
      </c>
      <c r="Y7">
        <f t="shared" si="2"/>
        <v>60.363061495659217</v>
      </c>
      <c r="Z7">
        <f t="shared" si="3"/>
        <v>1772.027832</v>
      </c>
      <c r="AA7">
        <f t="shared" si="4"/>
        <v>56.246436532235869</v>
      </c>
      <c r="AB7">
        <f t="shared" si="15"/>
        <v>1.00330839955548E-5</v>
      </c>
      <c r="AC7">
        <f t="shared" si="16"/>
        <v>6.421173757155072E-4</v>
      </c>
      <c r="AD7">
        <f t="shared" si="17"/>
        <v>7</v>
      </c>
      <c r="AE7" s="13">
        <v>7.5</v>
      </c>
      <c r="AF7">
        <f t="shared" si="18"/>
        <v>8</v>
      </c>
      <c r="AG7" s="17">
        <v>68.900000000000006</v>
      </c>
      <c r="AH7" s="17">
        <v>60.2</v>
      </c>
      <c r="AI7" s="17">
        <v>65.3</v>
      </c>
      <c r="AJ7" s="17">
        <v>67.8</v>
      </c>
      <c r="AK7" s="17">
        <v>67.5</v>
      </c>
      <c r="AL7">
        <f t="shared" si="19"/>
        <v>56.245290161587057</v>
      </c>
      <c r="AM7">
        <f t="shared" si="20"/>
        <v>56.246436532235876</v>
      </c>
      <c r="AN7">
        <f t="shared" si="21"/>
        <v>56.246436532235876</v>
      </c>
      <c r="AO7">
        <f t="shared" si="22"/>
        <v>56.245290161587057</v>
      </c>
      <c r="AP7">
        <f t="shared" si="23"/>
        <v>56.236120878360936</v>
      </c>
      <c r="AQ7">
        <f t="shared" si="24"/>
        <v>-12.654709838412948</v>
      </c>
      <c r="AR7">
        <f t="shared" si="25"/>
        <v>-3.9535634677641269</v>
      </c>
      <c r="AS7">
        <f t="shared" si="26"/>
        <v>-9.0535634677641212</v>
      </c>
      <c r="AT7">
        <f t="shared" si="27"/>
        <v>-11.55470983841294</v>
      </c>
      <c r="AU7">
        <f t="shared" si="28"/>
        <v>-11.263879121639064</v>
      </c>
      <c r="AV7">
        <f t="shared" si="29"/>
        <v>12.654709838412948</v>
      </c>
      <c r="AW7">
        <f t="shared" si="30"/>
        <v>3.9535634677641269</v>
      </c>
      <c r="AX7">
        <f t="shared" si="31"/>
        <v>9.0535634677641212</v>
      </c>
      <c r="AY7">
        <f t="shared" si="32"/>
        <v>11.55470983841294</v>
      </c>
      <c r="AZ7">
        <f t="shared" si="33"/>
        <v>11.263879121639064</v>
      </c>
      <c r="BA7">
        <f t="shared" si="34"/>
        <v>9.6960851467986409</v>
      </c>
      <c r="BD7">
        <v>0.78988999999999998</v>
      </c>
      <c r="BE7">
        <v>0.66403999999999996</v>
      </c>
      <c r="BF7">
        <v>0.70428000000000002</v>
      </c>
      <c r="BG7">
        <v>0.25689000000000001</v>
      </c>
      <c r="BI7">
        <v>56.24</v>
      </c>
      <c r="BJ7">
        <v>59.58</v>
      </c>
      <c r="BK7">
        <v>58.58</v>
      </c>
      <c r="BL7">
        <v>64.760000000000005</v>
      </c>
      <c r="BM7">
        <v>14928.98242</v>
      </c>
      <c r="BN7">
        <v>25100.871090000001</v>
      </c>
      <c r="BO7">
        <v>17747.859380000002</v>
      </c>
      <c r="BP7">
        <v>17802.636719999999</v>
      </c>
    </row>
    <row r="8" spans="1:68">
      <c r="A8">
        <v>112</v>
      </c>
      <c r="B8" t="s">
        <v>64</v>
      </c>
      <c r="C8" t="s">
        <v>64</v>
      </c>
      <c r="D8">
        <v>1016</v>
      </c>
      <c r="E8">
        <v>1169</v>
      </c>
      <c r="F8">
        <v>4</v>
      </c>
      <c r="G8">
        <v>0.42564999999999997</v>
      </c>
      <c r="H8">
        <v>61</v>
      </c>
      <c r="I8">
        <v>2100</v>
      </c>
      <c r="J8">
        <f t="shared" si="7"/>
        <v>5.1757581180582832</v>
      </c>
      <c r="K8">
        <v>1.28</v>
      </c>
      <c r="L8" s="4">
        <v>0.85899999999999999</v>
      </c>
      <c r="M8">
        <f t="shared" si="8"/>
        <v>2100</v>
      </c>
      <c r="N8">
        <f t="shared" si="9"/>
        <v>61</v>
      </c>
      <c r="O8">
        <v>45</v>
      </c>
      <c r="P8">
        <f t="shared" si="10"/>
        <v>46.666666666666664</v>
      </c>
      <c r="Q8">
        <f t="shared" si="11"/>
        <v>5.1757581180582832</v>
      </c>
      <c r="R8">
        <v>3</v>
      </c>
      <c r="S8" s="17">
        <v>5379.9287109999996</v>
      </c>
      <c r="T8" s="18">
        <f t="shared" si="12"/>
        <v>1793.3095703333331</v>
      </c>
      <c r="U8">
        <f t="shared" si="13"/>
        <v>0.85395693825396812</v>
      </c>
      <c r="V8" s="18">
        <v>7.5833329999999997</v>
      </c>
      <c r="W8" s="18">
        <v>8.5</v>
      </c>
      <c r="X8" s="20">
        <f t="shared" si="14"/>
        <v>1</v>
      </c>
      <c r="Y8">
        <f t="shared" si="2"/>
        <v>57.896382175854683</v>
      </c>
      <c r="Z8">
        <f t="shared" si="3"/>
        <v>1793.3095703333331</v>
      </c>
      <c r="AA8">
        <f t="shared" si="4"/>
        <v>55.512949354341252</v>
      </c>
      <c r="AB8">
        <f t="shared" si="15"/>
        <v>1.0045011358932461E-5</v>
      </c>
      <c r="AC8">
        <f t="shared" si="16"/>
        <v>6.4288072697167749E-4</v>
      </c>
      <c r="AD8">
        <f t="shared" si="17"/>
        <v>7</v>
      </c>
      <c r="AE8" s="13">
        <v>7.5</v>
      </c>
      <c r="AF8">
        <f t="shared" si="18"/>
        <v>8</v>
      </c>
      <c r="AG8" s="17">
        <v>61.4</v>
      </c>
      <c r="AH8" s="17">
        <v>45.9</v>
      </c>
      <c r="AI8" s="17">
        <v>45.2</v>
      </c>
      <c r="AJ8" s="17">
        <v>57.1</v>
      </c>
      <c r="AK8" s="17">
        <v>56.5</v>
      </c>
      <c r="AL8">
        <f t="shared" si="19"/>
        <v>55.51184462700531</v>
      </c>
      <c r="AM8">
        <f t="shared" si="20"/>
        <v>55.512949354341252</v>
      </c>
      <c r="AN8">
        <f t="shared" si="21"/>
        <v>55.512949354341252</v>
      </c>
      <c r="AO8">
        <f t="shared" si="22"/>
        <v>55.51184462700531</v>
      </c>
      <c r="AP8">
        <f t="shared" si="23"/>
        <v>55.503008390947315</v>
      </c>
      <c r="AQ8">
        <f t="shared" si="24"/>
        <v>-5.8881553729946887</v>
      </c>
      <c r="AR8">
        <f t="shared" si="25"/>
        <v>9.6129493543412536</v>
      </c>
      <c r="AS8">
        <f t="shared" si="26"/>
        <v>10.312949354341249</v>
      </c>
      <c r="AT8">
        <f t="shared" si="27"/>
        <v>-1.5881553729946916</v>
      </c>
      <c r="AU8">
        <f t="shared" si="28"/>
        <v>-0.99699160905268513</v>
      </c>
      <c r="AV8">
        <f t="shared" si="29"/>
        <v>5.8881553729946887</v>
      </c>
      <c r="AW8">
        <f t="shared" si="30"/>
        <v>9.6129493543412536</v>
      </c>
      <c r="AX8">
        <f t="shared" si="31"/>
        <v>10.312949354341249</v>
      </c>
      <c r="AY8">
        <f t="shared" si="32"/>
        <v>1.5881553729946916</v>
      </c>
      <c r="AZ8">
        <f t="shared" si="33"/>
        <v>0.99699160905268513</v>
      </c>
      <c r="BA8">
        <f t="shared" si="34"/>
        <v>5.6798402127449137</v>
      </c>
      <c r="BD8">
        <v>0.52354000000000001</v>
      </c>
      <c r="BE8">
        <v>0.57416999999999996</v>
      </c>
      <c r="BF8">
        <v>0.73</v>
      </c>
      <c r="BG8">
        <v>0.20386000000000001</v>
      </c>
      <c r="BI8">
        <v>56.48</v>
      </c>
      <c r="BJ8">
        <v>54.95</v>
      </c>
      <c r="BK8">
        <v>48.69</v>
      </c>
      <c r="BL8">
        <v>60.82</v>
      </c>
      <c r="BM8">
        <v>13193.26758</v>
      </c>
      <c r="BN8">
        <v>28938.011719999999</v>
      </c>
      <c r="BO8">
        <v>24528.101559999999</v>
      </c>
      <c r="BP8">
        <v>18837.003909999999</v>
      </c>
    </row>
    <row r="9" spans="1:68">
      <c r="A9">
        <v>113</v>
      </c>
      <c r="B9" t="s">
        <v>65</v>
      </c>
      <c r="C9" t="s">
        <v>65</v>
      </c>
      <c r="D9">
        <v>1017</v>
      </c>
      <c r="E9">
        <v>1024</v>
      </c>
      <c r="F9">
        <v>3</v>
      </c>
      <c r="G9">
        <v>0.44317000000000001</v>
      </c>
      <c r="H9">
        <v>65</v>
      </c>
      <c r="I9">
        <v>2100</v>
      </c>
      <c r="J9">
        <f t="shared" si="7"/>
        <v>4.1836864539729977</v>
      </c>
      <c r="K9">
        <v>1.28</v>
      </c>
      <c r="L9" s="4">
        <v>0.85899999999999999</v>
      </c>
      <c r="M9">
        <f t="shared" si="8"/>
        <v>2100</v>
      </c>
      <c r="N9">
        <f t="shared" si="9"/>
        <v>65</v>
      </c>
      <c r="O9">
        <v>45</v>
      </c>
      <c r="P9">
        <f t="shared" si="10"/>
        <v>46.666666666666664</v>
      </c>
      <c r="Q9">
        <f t="shared" si="11"/>
        <v>4.1836864539729977</v>
      </c>
      <c r="R9">
        <v>3</v>
      </c>
      <c r="S9" s="17">
        <v>4425.8994140000004</v>
      </c>
      <c r="T9" s="18">
        <f t="shared" si="12"/>
        <v>1475.2998046666669</v>
      </c>
      <c r="U9">
        <f t="shared" si="13"/>
        <v>0.70252371650793666</v>
      </c>
      <c r="V9" s="18">
        <v>-1</v>
      </c>
      <c r="W9" s="18">
        <v>-1</v>
      </c>
      <c r="X9" s="20">
        <f t="shared" si="14"/>
        <v>1</v>
      </c>
      <c r="Y9">
        <f t="shared" si="2"/>
        <v>63.080990349439695</v>
      </c>
      <c r="Z9">
        <f t="shared" si="3"/>
        <v>1475.2998046666669</v>
      </c>
      <c r="AA9">
        <f t="shared" si="4"/>
        <v>68.802796259079742</v>
      </c>
      <c r="AB9">
        <f t="shared" si="15"/>
        <v>9.8517555233968823E-6</v>
      </c>
      <c r="AC9">
        <f t="shared" si="16"/>
        <v>6.3051235349740047E-4</v>
      </c>
      <c r="AD9">
        <f t="shared" si="17"/>
        <v>7</v>
      </c>
      <c r="AE9" s="13">
        <v>7.5</v>
      </c>
      <c r="AF9">
        <f t="shared" si="18"/>
        <v>8</v>
      </c>
      <c r="AG9" s="17">
        <v>69.2</v>
      </c>
      <c r="AH9" s="17">
        <v>66.2</v>
      </c>
      <c r="AI9" s="17">
        <v>66.8</v>
      </c>
      <c r="AJ9" s="17">
        <v>66.7</v>
      </c>
      <c r="AK9" s="17">
        <v>65.900000000000006</v>
      </c>
      <c r="AL9">
        <f t="shared" si="19"/>
        <v>68.800773180634209</v>
      </c>
      <c r="AM9">
        <f t="shared" si="20"/>
        <v>68.802796259079742</v>
      </c>
      <c r="AN9">
        <f t="shared" si="21"/>
        <v>68.802796259079742</v>
      </c>
      <c r="AO9">
        <f t="shared" si="22"/>
        <v>68.800773180634209</v>
      </c>
      <c r="AP9">
        <f t="shared" si="23"/>
        <v>68.784592835099943</v>
      </c>
      <c r="AQ9">
        <f t="shared" si="24"/>
        <v>-0.39922681936579352</v>
      </c>
      <c r="AR9">
        <f t="shared" si="25"/>
        <v>2.6027962590797387</v>
      </c>
      <c r="AS9">
        <f t="shared" si="26"/>
        <v>2.0027962590797443</v>
      </c>
      <c r="AT9">
        <f t="shared" si="27"/>
        <v>2.1007731806342065</v>
      </c>
      <c r="AU9">
        <f t="shared" si="28"/>
        <v>2.8845928350999372</v>
      </c>
      <c r="AV9">
        <f t="shared" si="29"/>
        <v>0.39922681936579352</v>
      </c>
      <c r="AW9">
        <f t="shared" si="30"/>
        <v>2.6027962590797387</v>
      </c>
      <c r="AX9">
        <f t="shared" si="31"/>
        <v>2.0027962590797443</v>
      </c>
      <c r="AY9">
        <f t="shared" si="32"/>
        <v>2.1007731806342065</v>
      </c>
      <c r="AZ9">
        <f t="shared" si="33"/>
        <v>2.8845928350999372</v>
      </c>
      <c r="BA9">
        <f t="shared" si="34"/>
        <v>1.998037070651884</v>
      </c>
      <c r="BD9">
        <v>0.64107000000000003</v>
      </c>
      <c r="BE9">
        <v>0.55054999999999998</v>
      </c>
      <c r="BF9">
        <v>0.57349000000000006</v>
      </c>
      <c r="BG9">
        <v>0.21373</v>
      </c>
      <c r="BI9">
        <v>60.12</v>
      </c>
      <c r="BJ9">
        <v>61.96</v>
      </c>
      <c r="BK9">
        <v>61.52</v>
      </c>
      <c r="BL9">
        <v>64.87</v>
      </c>
      <c r="BM9">
        <v>12116.22754</v>
      </c>
      <c r="BN9">
        <v>20810.863280000001</v>
      </c>
      <c r="BO9">
        <v>14452.04883</v>
      </c>
      <c r="BP9">
        <v>14811.365229999999</v>
      </c>
    </row>
    <row r="10" spans="1:68">
      <c r="A10">
        <v>121</v>
      </c>
      <c r="B10" t="s">
        <v>66</v>
      </c>
      <c r="C10" t="s">
        <v>66</v>
      </c>
      <c r="D10">
        <v>1021</v>
      </c>
      <c r="E10">
        <v>1003</v>
      </c>
      <c r="F10">
        <v>3</v>
      </c>
      <c r="G10">
        <v>0.53188999999999997</v>
      </c>
      <c r="H10">
        <v>65</v>
      </c>
      <c r="I10">
        <v>2100</v>
      </c>
      <c r="J10">
        <f t="shared" si="7"/>
        <v>4.1836864539729977</v>
      </c>
      <c r="K10">
        <v>1.28</v>
      </c>
      <c r="L10" s="4">
        <v>0.85899999999999999</v>
      </c>
      <c r="M10">
        <f t="shared" si="8"/>
        <v>2100</v>
      </c>
      <c r="N10">
        <f t="shared" si="9"/>
        <v>65</v>
      </c>
      <c r="O10">
        <v>45</v>
      </c>
      <c r="P10">
        <f t="shared" si="10"/>
        <v>46.666666666666664</v>
      </c>
      <c r="Q10">
        <f t="shared" si="11"/>
        <v>4.1836864539729977</v>
      </c>
      <c r="R10">
        <v>3</v>
      </c>
      <c r="S10" s="17">
        <v>5043.892578</v>
      </c>
      <c r="T10" s="18">
        <f t="shared" si="12"/>
        <v>1681.2975260000001</v>
      </c>
      <c r="U10">
        <f t="shared" si="13"/>
        <v>0.80061786952380953</v>
      </c>
      <c r="V10" s="18">
        <v>-1</v>
      </c>
      <c r="W10" s="18">
        <v>-1</v>
      </c>
      <c r="X10" s="20">
        <f t="shared" si="14"/>
        <v>1</v>
      </c>
      <c r="Y10">
        <f t="shared" si="2"/>
        <v>61.448035825095914</v>
      </c>
      <c r="Z10">
        <f t="shared" si="3"/>
        <v>1681.2975260000001</v>
      </c>
      <c r="AA10">
        <f t="shared" si="4"/>
        <v>59.592638978654279</v>
      </c>
      <c r="AB10">
        <f t="shared" si="15"/>
        <v>9.9807415122383295E-6</v>
      </c>
      <c r="AC10">
        <f t="shared" si="16"/>
        <v>6.3876745678325309E-4</v>
      </c>
      <c r="AD10">
        <f t="shared" si="17"/>
        <v>7</v>
      </c>
      <c r="AE10" s="13">
        <v>7.5</v>
      </c>
      <c r="AF10">
        <f t="shared" si="18"/>
        <v>8</v>
      </c>
      <c r="AG10" s="17">
        <v>69.400000000000006</v>
      </c>
      <c r="AH10" s="17">
        <v>65.7</v>
      </c>
      <c r="AI10" s="17">
        <v>67</v>
      </c>
      <c r="AJ10" s="17">
        <v>68</v>
      </c>
      <c r="AK10" s="17">
        <v>67.7</v>
      </c>
      <c r="AL10">
        <f t="shared" si="19"/>
        <v>59.59128978710752</v>
      </c>
      <c r="AM10">
        <f t="shared" si="20"/>
        <v>59.592638978654279</v>
      </c>
      <c r="AN10">
        <f t="shared" si="21"/>
        <v>59.592638978654279</v>
      </c>
      <c r="AO10">
        <f t="shared" si="22"/>
        <v>59.59128978710752</v>
      </c>
      <c r="AP10">
        <f t="shared" si="23"/>
        <v>59.580498453648467</v>
      </c>
      <c r="AQ10">
        <f t="shared" si="24"/>
        <v>-9.8087102128924855</v>
      </c>
      <c r="AR10">
        <f t="shared" si="25"/>
        <v>-6.1073610213457243</v>
      </c>
      <c r="AS10">
        <f t="shared" si="26"/>
        <v>-7.4073610213457215</v>
      </c>
      <c r="AT10">
        <f t="shared" si="27"/>
        <v>-8.4087102128924798</v>
      </c>
      <c r="AU10">
        <f t="shared" si="28"/>
        <v>-8.1195015463515361</v>
      </c>
      <c r="AV10">
        <f t="shared" si="29"/>
        <v>9.8087102128924855</v>
      </c>
      <c r="AW10">
        <f t="shared" si="30"/>
        <v>6.1073610213457243</v>
      </c>
      <c r="AX10">
        <f t="shared" si="31"/>
        <v>7.4073610213457215</v>
      </c>
      <c r="AY10">
        <f t="shared" si="32"/>
        <v>8.4087102128924798</v>
      </c>
      <c r="AZ10">
        <f t="shared" si="33"/>
        <v>8.1195015463515361</v>
      </c>
      <c r="BA10">
        <f t="shared" si="34"/>
        <v>7.9703288029655894</v>
      </c>
      <c r="BD10">
        <v>0.71889000000000003</v>
      </c>
      <c r="BE10">
        <v>0.61390999999999996</v>
      </c>
      <c r="BF10">
        <v>0.63480999999999999</v>
      </c>
      <c r="BG10">
        <v>0.24257999999999999</v>
      </c>
      <c r="BI10">
        <v>58.2</v>
      </c>
      <c r="BJ10">
        <v>60.71</v>
      </c>
      <c r="BK10">
        <v>60.25</v>
      </c>
      <c r="BL10">
        <v>64.81</v>
      </c>
      <c r="BM10">
        <v>13586.97363</v>
      </c>
      <c r="BN10">
        <v>23205.925780000001</v>
      </c>
      <c r="BO10">
        <v>15997.247069999999</v>
      </c>
      <c r="BP10">
        <v>16810.998049999998</v>
      </c>
    </row>
    <row r="11" spans="1:68">
      <c r="A11">
        <v>128</v>
      </c>
      <c r="B11" t="s">
        <v>67</v>
      </c>
      <c r="C11" t="s">
        <v>67</v>
      </c>
      <c r="D11">
        <v>1024</v>
      </c>
      <c r="E11">
        <v>1021</v>
      </c>
      <c r="F11">
        <v>3</v>
      </c>
      <c r="G11">
        <v>0.64244999999999997</v>
      </c>
      <c r="H11">
        <v>65</v>
      </c>
      <c r="I11">
        <v>2100</v>
      </c>
      <c r="J11">
        <f t="shared" si="7"/>
        <v>4.1836864539729977</v>
      </c>
      <c r="K11">
        <v>1.28</v>
      </c>
      <c r="L11" s="4">
        <v>0.85899999999999999</v>
      </c>
      <c r="M11">
        <f t="shared" si="8"/>
        <v>2100</v>
      </c>
      <c r="N11">
        <f t="shared" si="9"/>
        <v>65</v>
      </c>
      <c r="O11">
        <v>45</v>
      </c>
      <c r="P11">
        <f t="shared" si="10"/>
        <v>46.666666666666664</v>
      </c>
      <c r="Q11">
        <f t="shared" si="11"/>
        <v>4.1836864539729977</v>
      </c>
      <c r="R11">
        <v>3</v>
      </c>
      <c r="S11" s="17">
        <v>5043.892578</v>
      </c>
      <c r="T11" s="18">
        <f t="shared" si="12"/>
        <v>1681.2975260000001</v>
      </c>
      <c r="U11">
        <f t="shared" si="13"/>
        <v>0.80061786952380953</v>
      </c>
      <c r="V11" s="18">
        <v>-1</v>
      </c>
      <c r="W11" s="18">
        <v>-1</v>
      </c>
      <c r="X11" s="20">
        <f t="shared" si="14"/>
        <v>1</v>
      </c>
      <c r="Y11">
        <f t="shared" si="2"/>
        <v>61.448035825095914</v>
      </c>
      <c r="Z11">
        <f t="shared" si="3"/>
        <v>1681.2975260000001</v>
      </c>
      <c r="AA11">
        <f t="shared" si="4"/>
        <v>59.592638978654279</v>
      </c>
      <c r="AB11">
        <f t="shared" si="15"/>
        <v>9.9807415122383295E-6</v>
      </c>
      <c r="AC11">
        <f t="shared" si="16"/>
        <v>6.3876745678325309E-4</v>
      </c>
      <c r="AD11">
        <f t="shared" si="17"/>
        <v>7</v>
      </c>
      <c r="AE11" s="13">
        <v>7.5</v>
      </c>
      <c r="AF11">
        <f t="shared" si="18"/>
        <v>8</v>
      </c>
      <c r="AG11" s="17">
        <v>69.400000000000006</v>
      </c>
      <c r="AH11" s="17">
        <v>65.7</v>
      </c>
      <c r="AI11" s="17">
        <v>67</v>
      </c>
      <c r="AJ11" s="17">
        <v>68</v>
      </c>
      <c r="AK11" s="17">
        <v>67.7</v>
      </c>
      <c r="AL11">
        <f t="shared" si="19"/>
        <v>59.59128978710752</v>
      </c>
      <c r="AM11">
        <f t="shared" si="20"/>
        <v>59.592638978654279</v>
      </c>
      <c r="AN11">
        <f t="shared" si="21"/>
        <v>59.592638978654279</v>
      </c>
      <c r="AO11">
        <f t="shared" si="22"/>
        <v>59.59128978710752</v>
      </c>
      <c r="AP11">
        <f t="shared" si="23"/>
        <v>59.580498453648467</v>
      </c>
      <c r="AQ11">
        <f t="shared" si="24"/>
        <v>-9.8087102128924855</v>
      </c>
      <c r="AR11">
        <f t="shared" si="25"/>
        <v>-6.1073610213457243</v>
      </c>
      <c r="AS11">
        <f t="shared" si="26"/>
        <v>-7.4073610213457215</v>
      </c>
      <c r="AT11">
        <f t="shared" si="27"/>
        <v>-8.4087102128924798</v>
      </c>
      <c r="AU11">
        <f t="shared" si="28"/>
        <v>-8.1195015463515361</v>
      </c>
      <c r="AV11">
        <f t="shared" si="29"/>
        <v>9.8087102128924855</v>
      </c>
      <c r="AW11">
        <f t="shared" si="30"/>
        <v>6.1073610213457243</v>
      </c>
      <c r="AX11">
        <f t="shared" si="31"/>
        <v>7.4073610213457215</v>
      </c>
      <c r="AY11">
        <f t="shared" si="32"/>
        <v>8.4087102128924798</v>
      </c>
      <c r="AZ11">
        <f t="shared" si="33"/>
        <v>8.1195015463515361</v>
      </c>
      <c r="BA11">
        <f t="shared" si="34"/>
        <v>7.9703288029655894</v>
      </c>
      <c r="BD11">
        <v>0.60857000000000006</v>
      </c>
      <c r="BE11">
        <v>0.51954999999999996</v>
      </c>
      <c r="BF11">
        <v>0.53319000000000005</v>
      </c>
      <c r="BG11">
        <v>0.20751</v>
      </c>
      <c r="BI11">
        <v>60.83</v>
      </c>
      <c r="BJ11">
        <v>62.46</v>
      </c>
      <c r="BK11">
        <v>62.24</v>
      </c>
      <c r="BL11">
        <v>64.89</v>
      </c>
      <c r="BM11">
        <v>11502.02051</v>
      </c>
      <c r="BN11">
        <v>19638.8125</v>
      </c>
      <c r="BO11">
        <v>13436.440430000001</v>
      </c>
      <c r="BP11">
        <v>14380.572270000001</v>
      </c>
    </row>
    <row r="12" spans="1:68">
      <c r="A12">
        <v>151</v>
      </c>
      <c r="B12" t="s">
        <v>68</v>
      </c>
      <c r="C12" t="s">
        <v>68</v>
      </c>
      <c r="D12">
        <v>1036</v>
      </c>
      <c r="E12">
        <v>1138</v>
      </c>
      <c r="F12">
        <v>3</v>
      </c>
      <c r="G12">
        <v>0.64492000000000005</v>
      </c>
      <c r="H12">
        <v>65</v>
      </c>
      <c r="I12">
        <v>2100</v>
      </c>
      <c r="J12">
        <f t="shared" si="7"/>
        <v>4.1836864539729977</v>
      </c>
      <c r="K12">
        <v>1.28</v>
      </c>
      <c r="L12" s="4">
        <v>0.85899999999999999</v>
      </c>
      <c r="M12">
        <f t="shared" ref="M12:M14" si="35">I12</f>
        <v>2100</v>
      </c>
      <c r="N12">
        <f t="shared" ref="N12:N14" si="36">H12</f>
        <v>65</v>
      </c>
      <c r="O12">
        <v>45</v>
      </c>
      <c r="P12">
        <f t="shared" si="10"/>
        <v>46.666666666666664</v>
      </c>
      <c r="Q12">
        <f t="shared" si="11"/>
        <v>4.1836864539729977</v>
      </c>
      <c r="R12">
        <v>3</v>
      </c>
      <c r="S12" s="17">
        <v>5063.4350590000004</v>
      </c>
      <c r="T12" s="18">
        <f t="shared" si="12"/>
        <v>1687.8116863333335</v>
      </c>
      <c r="U12">
        <f t="shared" si="13"/>
        <v>0.80371985063492069</v>
      </c>
      <c r="V12" s="18">
        <v>-1</v>
      </c>
      <c r="W12" s="18">
        <v>-1</v>
      </c>
      <c r="X12" s="20">
        <f t="shared" si="14"/>
        <v>1</v>
      </c>
      <c r="Y12">
        <f t="shared" si="2"/>
        <v>61.379531020685846</v>
      </c>
      <c r="Z12">
        <f t="shared" si="3"/>
        <v>1687.8116863333335</v>
      </c>
      <c r="AA12">
        <f t="shared" si="4"/>
        <v>59.339798447290946</v>
      </c>
      <c r="AB12">
        <f t="shared" si="15"/>
        <v>9.984583275836504E-6</v>
      </c>
      <c r="AC12">
        <f t="shared" si="16"/>
        <v>6.3901332965353626E-4</v>
      </c>
      <c r="AD12">
        <f t="shared" si="17"/>
        <v>7</v>
      </c>
      <c r="AE12" s="13">
        <v>7.5</v>
      </c>
      <c r="AF12">
        <f t="shared" si="18"/>
        <v>8</v>
      </c>
      <c r="AG12" s="17">
        <v>69.3</v>
      </c>
      <c r="AH12" s="17">
        <v>67.7</v>
      </c>
      <c r="AI12" s="17">
        <v>66.900000000000006</v>
      </c>
      <c r="AJ12" s="17">
        <v>65.5</v>
      </c>
      <c r="AK12" s="17">
        <v>66.2</v>
      </c>
      <c r="AL12">
        <f t="shared" si="19"/>
        <v>59.338465330173811</v>
      </c>
      <c r="AM12">
        <f t="shared" si="20"/>
        <v>59.339798447290946</v>
      </c>
      <c r="AN12">
        <f t="shared" si="21"/>
        <v>59.339798447290946</v>
      </c>
      <c r="AO12">
        <f t="shared" si="22"/>
        <v>59.338465330173811</v>
      </c>
      <c r="AP12">
        <f t="shared" si="23"/>
        <v>59.327802549218106</v>
      </c>
      <c r="AQ12">
        <f t="shared" si="24"/>
        <v>-9.961534669826186</v>
      </c>
      <c r="AR12">
        <f t="shared" si="25"/>
        <v>-8.3602015527090572</v>
      </c>
      <c r="AS12">
        <f t="shared" si="26"/>
        <v>-7.56020155270906</v>
      </c>
      <c r="AT12">
        <f t="shared" si="27"/>
        <v>-6.1615346698261888</v>
      </c>
      <c r="AU12">
        <f t="shared" si="28"/>
        <v>-6.872197450781897</v>
      </c>
      <c r="AV12">
        <f t="shared" si="29"/>
        <v>9.961534669826186</v>
      </c>
      <c r="AW12">
        <f t="shared" si="30"/>
        <v>8.3602015527090572</v>
      </c>
      <c r="AX12">
        <f t="shared" si="31"/>
        <v>7.56020155270906</v>
      </c>
      <c r="AY12">
        <f t="shared" si="32"/>
        <v>6.1615346698261888</v>
      </c>
      <c r="AZ12">
        <f t="shared" si="33"/>
        <v>6.872197450781897</v>
      </c>
      <c r="BA12">
        <f t="shared" si="34"/>
        <v>7.7831339791704774</v>
      </c>
      <c r="BD12">
        <v>0.39845000000000003</v>
      </c>
      <c r="BE12">
        <v>0.59582999999999997</v>
      </c>
      <c r="BF12">
        <v>0.87366999999999995</v>
      </c>
      <c r="BG12">
        <v>0.31718000000000002</v>
      </c>
      <c r="BI12">
        <v>63.95</v>
      </c>
      <c r="BJ12">
        <v>61.1</v>
      </c>
      <c r="BK12">
        <v>53.77</v>
      </c>
      <c r="BL12">
        <v>64.510000000000005</v>
      </c>
      <c r="BM12">
        <v>7530.7358400000003</v>
      </c>
      <c r="BN12">
        <v>22522.314450000002</v>
      </c>
      <c r="BO12">
        <v>22016.552729999999</v>
      </c>
      <c r="BP12">
        <v>21980.894530000001</v>
      </c>
    </row>
    <row r="13" spans="1:68">
      <c r="A13">
        <v>152</v>
      </c>
      <c r="B13" t="s">
        <v>69</v>
      </c>
      <c r="C13" t="s">
        <v>69</v>
      </c>
      <c r="D13">
        <v>1037</v>
      </c>
      <c r="E13">
        <v>1116</v>
      </c>
      <c r="F13">
        <v>4</v>
      </c>
      <c r="G13">
        <v>0.54618</v>
      </c>
      <c r="H13">
        <v>61</v>
      </c>
      <c r="I13">
        <v>2100</v>
      </c>
      <c r="J13">
        <f t="shared" si="7"/>
        <v>5.1757581180582832</v>
      </c>
      <c r="K13">
        <v>1.28</v>
      </c>
      <c r="L13" s="4">
        <v>0.85899999999999999</v>
      </c>
      <c r="M13">
        <f t="shared" si="35"/>
        <v>2100</v>
      </c>
      <c r="N13">
        <f t="shared" si="36"/>
        <v>61</v>
      </c>
      <c r="O13">
        <v>45</v>
      </c>
      <c r="P13">
        <f t="shared" si="10"/>
        <v>46.666666666666664</v>
      </c>
      <c r="Q13">
        <f t="shared" si="11"/>
        <v>5.1757581180582832</v>
      </c>
      <c r="R13">
        <v>3</v>
      </c>
      <c r="S13" s="17">
        <v>4899.4409180000002</v>
      </c>
      <c r="T13" s="18">
        <f t="shared" si="12"/>
        <v>1633.1469726666667</v>
      </c>
      <c r="U13">
        <f t="shared" si="13"/>
        <v>0.77768903460317462</v>
      </c>
      <c r="V13" s="18">
        <v>-1</v>
      </c>
      <c r="W13" s="18">
        <v>-1</v>
      </c>
      <c r="X13" s="20">
        <f t="shared" si="14"/>
        <v>1</v>
      </c>
      <c r="Y13">
        <f t="shared" si="2"/>
        <v>59.228420373538711</v>
      </c>
      <c r="Z13">
        <f t="shared" si="3"/>
        <v>1633.1469726666667</v>
      </c>
      <c r="AA13">
        <f t="shared" si="4"/>
        <v>61.527291137798237</v>
      </c>
      <c r="AB13">
        <f t="shared" si="15"/>
        <v>9.9519213466180652E-6</v>
      </c>
      <c r="AC13">
        <f t="shared" si="16"/>
        <v>6.3692296618355617E-4</v>
      </c>
      <c r="AD13">
        <f t="shared" si="17"/>
        <v>7</v>
      </c>
      <c r="AE13" s="13">
        <v>7.5</v>
      </c>
      <c r="AF13">
        <f t="shared" si="18"/>
        <v>8</v>
      </c>
      <c r="AG13" s="17">
        <v>66.7</v>
      </c>
      <c r="AH13" s="17">
        <v>65.599999999999994</v>
      </c>
      <c r="AI13" s="17">
        <v>64.099999999999994</v>
      </c>
      <c r="AJ13" s="17">
        <v>63.8</v>
      </c>
      <c r="AK13" s="17">
        <v>64.400000000000006</v>
      </c>
      <c r="AL13">
        <f t="shared" si="19"/>
        <v>61.525814796367946</v>
      </c>
      <c r="AM13">
        <f t="shared" si="20"/>
        <v>61.527291137798237</v>
      </c>
      <c r="AN13">
        <f t="shared" si="21"/>
        <v>61.527291137798237</v>
      </c>
      <c r="AO13">
        <f t="shared" si="22"/>
        <v>61.525814796367946</v>
      </c>
      <c r="AP13">
        <f t="shared" si="23"/>
        <v>61.514006615012399</v>
      </c>
      <c r="AQ13">
        <f t="shared" si="24"/>
        <v>-5.1741852036320566</v>
      </c>
      <c r="AR13">
        <f t="shared" si="25"/>
        <v>-4.0727088622017575</v>
      </c>
      <c r="AS13">
        <f t="shared" si="26"/>
        <v>-2.5727088622017575</v>
      </c>
      <c r="AT13">
        <f t="shared" si="27"/>
        <v>-2.2741852036320509</v>
      </c>
      <c r="AU13">
        <f t="shared" si="28"/>
        <v>-2.8859933849876072</v>
      </c>
      <c r="AV13">
        <f t="shared" si="29"/>
        <v>5.1741852036320566</v>
      </c>
      <c r="AW13">
        <f t="shared" si="30"/>
        <v>4.0727088622017575</v>
      </c>
      <c r="AX13">
        <f t="shared" si="31"/>
        <v>2.5727088622017575</v>
      </c>
      <c r="AY13">
        <f t="shared" si="32"/>
        <v>2.2741852036320509</v>
      </c>
      <c r="AZ13">
        <f t="shared" si="33"/>
        <v>2.8859933849876072</v>
      </c>
      <c r="BA13">
        <f t="shared" si="34"/>
        <v>3.395956303331046</v>
      </c>
      <c r="BD13">
        <v>0.56727000000000005</v>
      </c>
      <c r="BE13">
        <v>0.51183000000000001</v>
      </c>
      <c r="BF13">
        <v>0.57813000000000003</v>
      </c>
      <c r="BG13">
        <v>0.19200999999999999</v>
      </c>
      <c r="BI13">
        <v>55.17</v>
      </c>
      <c r="BJ13">
        <v>56.81</v>
      </c>
      <c r="BK13">
        <v>54.82</v>
      </c>
      <c r="BL13">
        <v>60.85</v>
      </c>
      <c r="BM13">
        <v>14295.0918</v>
      </c>
      <c r="BN13">
        <v>25796.386719999999</v>
      </c>
      <c r="BO13">
        <v>19425.234380000002</v>
      </c>
      <c r="BP13">
        <v>17741.341799999998</v>
      </c>
    </row>
    <row r="14" spans="1:68">
      <c r="A14">
        <v>184</v>
      </c>
      <c r="B14" t="s">
        <v>70</v>
      </c>
      <c r="C14" t="s">
        <v>70</v>
      </c>
      <c r="D14">
        <v>1055</v>
      </c>
      <c r="E14">
        <v>1202</v>
      </c>
      <c r="F14">
        <v>3</v>
      </c>
      <c r="G14">
        <v>0.60045999999999999</v>
      </c>
      <c r="H14">
        <v>62</v>
      </c>
      <c r="I14">
        <v>2100</v>
      </c>
      <c r="J14">
        <f t="shared" si="7"/>
        <v>4.8795269895941189</v>
      </c>
      <c r="K14">
        <v>1.28</v>
      </c>
      <c r="L14" s="4">
        <v>0.85899999999999999</v>
      </c>
      <c r="M14">
        <f t="shared" si="35"/>
        <v>2100</v>
      </c>
      <c r="N14">
        <f t="shared" si="36"/>
        <v>62</v>
      </c>
      <c r="O14">
        <v>45</v>
      </c>
      <c r="P14">
        <f t="shared" si="10"/>
        <v>46.666666666666664</v>
      </c>
      <c r="Q14">
        <f t="shared" si="11"/>
        <v>4.8795269895941189</v>
      </c>
      <c r="R14">
        <v>3</v>
      </c>
      <c r="S14" s="17">
        <v>4963.8354490000002</v>
      </c>
      <c r="T14" s="18">
        <f t="shared" si="12"/>
        <v>1654.6118163333333</v>
      </c>
      <c r="U14">
        <f t="shared" si="13"/>
        <v>0.78791038873015873</v>
      </c>
      <c r="V14" s="18">
        <v>-1</v>
      </c>
      <c r="W14" s="18">
        <v>-1</v>
      </c>
      <c r="X14" s="20">
        <f t="shared" si="14"/>
        <v>1</v>
      </c>
      <c r="Y14">
        <f t="shared" si="2"/>
        <v>59.771862054835687</v>
      </c>
      <c r="Z14">
        <f t="shared" si="3"/>
        <v>1654.6118163333333</v>
      </c>
      <c r="AA14">
        <f t="shared" si="4"/>
        <v>60.650247909552355</v>
      </c>
      <c r="AB14">
        <f t="shared" si="15"/>
        <v>9.9648622162786292E-6</v>
      </c>
      <c r="AC14">
        <f t="shared" si="16"/>
        <v>6.3775118184183227E-4</v>
      </c>
      <c r="AD14">
        <f t="shared" si="17"/>
        <v>7</v>
      </c>
      <c r="AE14" s="13">
        <v>7.5</v>
      </c>
      <c r="AF14">
        <f t="shared" si="18"/>
        <v>8</v>
      </c>
      <c r="AG14" s="17">
        <v>67.900000000000006</v>
      </c>
      <c r="AH14" s="17">
        <v>66.400000000000006</v>
      </c>
      <c r="AI14" s="17">
        <v>65.099999999999994</v>
      </c>
      <c r="AJ14" s="17">
        <v>63.6</v>
      </c>
      <c r="AK14" s="17">
        <v>64.599999999999994</v>
      </c>
      <c r="AL14">
        <f t="shared" si="19"/>
        <v>60.648830125264766</v>
      </c>
      <c r="AM14">
        <f t="shared" si="20"/>
        <v>60.650247909552363</v>
      </c>
      <c r="AN14">
        <f t="shared" si="21"/>
        <v>60.650247909552363</v>
      </c>
      <c r="AO14">
        <f t="shared" si="22"/>
        <v>60.648830125264766</v>
      </c>
      <c r="AP14">
        <f t="shared" si="23"/>
        <v>60.637490236791507</v>
      </c>
      <c r="AQ14">
        <f t="shared" si="24"/>
        <v>-7.2511698747352398</v>
      </c>
      <c r="AR14">
        <f t="shared" si="25"/>
        <v>-5.7497520904476431</v>
      </c>
      <c r="AS14">
        <f t="shared" si="26"/>
        <v>-4.4497520904476318</v>
      </c>
      <c r="AT14">
        <f t="shared" si="27"/>
        <v>-2.9511698747352355</v>
      </c>
      <c r="AU14">
        <f t="shared" si="28"/>
        <v>-3.9625097632084874</v>
      </c>
      <c r="AV14">
        <f t="shared" si="29"/>
        <v>7.2511698747352398</v>
      </c>
      <c r="AW14">
        <f t="shared" si="30"/>
        <v>5.7497520904476431</v>
      </c>
      <c r="AX14">
        <f t="shared" si="31"/>
        <v>4.4497520904476318</v>
      </c>
      <c r="AY14">
        <f t="shared" si="32"/>
        <v>2.9511698747352355</v>
      </c>
      <c r="AZ14">
        <f t="shared" si="33"/>
        <v>3.9625097632084874</v>
      </c>
      <c r="BA14">
        <f t="shared" si="34"/>
        <v>4.8728707387148473</v>
      </c>
      <c r="BD14">
        <v>0.55232000000000003</v>
      </c>
      <c r="BE14">
        <v>0.74360000000000004</v>
      </c>
      <c r="BF14">
        <v>1.0390999999999999</v>
      </c>
      <c r="BG14">
        <v>0.44101000000000001</v>
      </c>
      <c r="BI14">
        <v>57.49</v>
      </c>
      <c r="BJ14">
        <v>51.05</v>
      </c>
      <c r="BK14">
        <v>39.200000000000003</v>
      </c>
      <c r="BL14">
        <v>59.83</v>
      </c>
      <c r="BM14">
        <v>10438.80371</v>
      </c>
      <c r="BN14">
        <v>28107.89258</v>
      </c>
      <c r="BO14">
        <v>26185.255860000001</v>
      </c>
      <c r="BP14">
        <v>30561.658200000002</v>
      </c>
    </row>
    <row r="15" spans="1:68">
      <c r="A15">
        <v>195</v>
      </c>
      <c r="B15" t="s">
        <v>71</v>
      </c>
      <c r="C15" t="s">
        <v>71</v>
      </c>
      <c r="D15">
        <v>1063</v>
      </c>
      <c r="E15">
        <v>1036</v>
      </c>
      <c r="F15">
        <v>3</v>
      </c>
      <c r="G15">
        <v>0.51905000000000001</v>
      </c>
      <c r="H15">
        <v>65</v>
      </c>
      <c r="I15">
        <v>2100</v>
      </c>
      <c r="J15">
        <f t="shared" si="7"/>
        <v>4.1836864539729977</v>
      </c>
      <c r="K15">
        <v>1.28</v>
      </c>
      <c r="L15" s="4">
        <v>0.85899999999999999</v>
      </c>
      <c r="M15">
        <f t="shared" ref="M15:M30" si="37">I15</f>
        <v>2100</v>
      </c>
      <c r="N15">
        <f t="shared" ref="N15:N30" si="38">H15</f>
        <v>65</v>
      </c>
      <c r="O15">
        <v>45</v>
      </c>
      <c r="P15">
        <f t="shared" si="10"/>
        <v>46.666666666666664</v>
      </c>
      <c r="Q15">
        <f t="shared" si="11"/>
        <v>4.1836864539729977</v>
      </c>
      <c r="R15">
        <v>3</v>
      </c>
      <c r="S15" s="17">
        <v>5063.4350590000004</v>
      </c>
      <c r="T15" s="18">
        <f t="shared" si="12"/>
        <v>1687.8116863333335</v>
      </c>
      <c r="U15">
        <f t="shared" si="13"/>
        <v>0.80371985063492069</v>
      </c>
      <c r="V15" s="18">
        <v>-1</v>
      </c>
      <c r="W15" s="18">
        <v>-1</v>
      </c>
      <c r="X15" s="20">
        <f t="shared" si="14"/>
        <v>1</v>
      </c>
      <c r="Y15">
        <f t="shared" si="2"/>
        <v>61.379531020685846</v>
      </c>
      <c r="Z15">
        <f t="shared" si="3"/>
        <v>1687.8116863333335</v>
      </c>
      <c r="AA15">
        <f t="shared" si="4"/>
        <v>59.339798447290946</v>
      </c>
      <c r="AB15">
        <f t="shared" si="15"/>
        <v>9.984583275836504E-6</v>
      </c>
      <c r="AC15">
        <f t="shared" si="16"/>
        <v>6.3901332965353626E-4</v>
      </c>
      <c r="AD15">
        <f t="shared" si="17"/>
        <v>7</v>
      </c>
      <c r="AE15" s="13">
        <v>7.5</v>
      </c>
      <c r="AF15">
        <f t="shared" si="18"/>
        <v>8</v>
      </c>
      <c r="AG15" s="17">
        <v>69.3</v>
      </c>
      <c r="AH15" s="17">
        <v>67.7</v>
      </c>
      <c r="AI15" s="17">
        <v>66.900000000000006</v>
      </c>
      <c r="AJ15" s="17">
        <v>65.5</v>
      </c>
      <c r="AK15" s="17">
        <v>66.2</v>
      </c>
      <c r="AL15">
        <f t="shared" si="19"/>
        <v>59.338465330173811</v>
      </c>
      <c r="AM15">
        <f t="shared" si="20"/>
        <v>59.339798447290946</v>
      </c>
      <c r="AN15">
        <f t="shared" si="21"/>
        <v>59.339798447290946</v>
      </c>
      <c r="AO15">
        <f t="shared" si="22"/>
        <v>59.338465330173811</v>
      </c>
      <c r="AP15">
        <f t="shared" si="23"/>
        <v>59.327802549218106</v>
      </c>
      <c r="AQ15">
        <f t="shared" si="24"/>
        <v>-9.961534669826186</v>
      </c>
      <c r="AR15">
        <f t="shared" si="25"/>
        <v>-8.3602015527090572</v>
      </c>
      <c r="AS15">
        <f t="shared" si="26"/>
        <v>-7.56020155270906</v>
      </c>
      <c r="AT15">
        <f t="shared" si="27"/>
        <v>-6.1615346698261888</v>
      </c>
      <c r="AU15">
        <f t="shared" si="28"/>
        <v>-6.872197450781897</v>
      </c>
      <c r="AV15">
        <f t="shared" si="29"/>
        <v>9.961534669826186</v>
      </c>
      <c r="AW15">
        <f t="shared" si="30"/>
        <v>8.3602015527090572</v>
      </c>
      <c r="AX15">
        <f t="shared" si="31"/>
        <v>7.56020155270906</v>
      </c>
      <c r="AY15">
        <f t="shared" si="32"/>
        <v>6.1615346698261888</v>
      </c>
      <c r="AZ15">
        <f t="shared" si="33"/>
        <v>6.872197450781897</v>
      </c>
      <c r="BA15">
        <f t="shared" si="34"/>
        <v>7.7831339791704774</v>
      </c>
      <c r="BD15">
        <v>0.46015</v>
      </c>
      <c r="BE15">
        <v>0.66363000000000005</v>
      </c>
      <c r="BF15">
        <v>0.93623999999999996</v>
      </c>
      <c r="BG15">
        <v>0.35598000000000002</v>
      </c>
      <c r="BI15">
        <v>63.29</v>
      </c>
      <c r="BJ15">
        <v>59.59</v>
      </c>
      <c r="BK15">
        <v>51.89</v>
      </c>
      <c r="BL15">
        <v>64.28</v>
      </c>
      <c r="BM15">
        <v>8696.7666000000008</v>
      </c>
      <c r="BN15">
        <v>25085.207030000001</v>
      </c>
      <c r="BO15">
        <v>23593.287110000001</v>
      </c>
      <c r="BP15">
        <v>24669.615229999999</v>
      </c>
    </row>
    <row r="16" spans="1:68">
      <c r="A16">
        <v>202</v>
      </c>
      <c r="B16" t="s">
        <v>72</v>
      </c>
      <c r="C16" t="s">
        <v>72</v>
      </c>
      <c r="D16">
        <v>1066</v>
      </c>
      <c r="E16">
        <v>1063</v>
      </c>
      <c r="F16">
        <v>3</v>
      </c>
      <c r="G16">
        <v>0.49485000000000001</v>
      </c>
      <c r="H16">
        <v>65</v>
      </c>
      <c r="I16">
        <v>2100</v>
      </c>
      <c r="J16">
        <f t="shared" si="7"/>
        <v>4.1836864539729977</v>
      </c>
      <c r="K16">
        <v>1.28</v>
      </c>
      <c r="L16" s="4">
        <v>0.85899999999999999</v>
      </c>
      <c r="M16">
        <f t="shared" si="37"/>
        <v>2100</v>
      </c>
      <c r="N16">
        <f t="shared" si="38"/>
        <v>65</v>
      </c>
      <c r="O16">
        <v>45</v>
      </c>
      <c r="P16">
        <f t="shared" si="10"/>
        <v>46.666666666666664</v>
      </c>
      <c r="Q16">
        <f t="shared" si="11"/>
        <v>4.1836864539729977</v>
      </c>
      <c r="R16">
        <v>3</v>
      </c>
      <c r="S16" s="17">
        <v>5199.1860349999997</v>
      </c>
      <c r="T16" s="18">
        <f t="shared" si="12"/>
        <v>1733.0620116666666</v>
      </c>
      <c r="U16">
        <f t="shared" si="13"/>
        <v>0.8252676246031746</v>
      </c>
      <c r="V16" s="18">
        <v>-1</v>
      </c>
      <c r="W16" s="18">
        <v>-1</v>
      </c>
      <c r="X16" s="20">
        <f t="shared" si="14"/>
        <v>1</v>
      </c>
      <c r="Y16">
        <f t="shared" si="2"/>
        <v>60.865687846763564</v>
      </c>
      <c r="Z16">
        <f t="shared" si="3"/>
        <v>1733.0620116666666</v>
      </c>
      <c r="AA16">
        <f t="shared" si="4"/>
        <v>57.638471808493591</v>
      </c>
      <c r="AB16">
        <f t="shared" si="15"/>
        <v>1.0010907293761518E-5</v>
      </c>
      <c r="AC16">
        <f t="shared" si="16"/>
        <v>6.4069806680073713E-4</v>
      </c>
      <c r="AD16">
        <f t="shared" si="17"/>
        <v>7</v>
      </c>
      <c r="AE16" s="13">
        <v>7.5</v>
      </c>
      <c r="AF16">
        <f t="shared" si="18"/>
        <v>8</v>
      </c>
      <c r="AG16" s="17">
        <v>66.900000000000006</v>
      </c>
      <c r="AH16" s="17">
        <v>65.900000000000006</v>
      </c>
      <c r="AI16" s="17">
        <v>64.2</v>
      </c>
      <c r="AJ16" s="17">
        <v>63</v>
      </c>
      <c r="AK16" s="17">
        <v>63.7</v>
      </c>
      <c r="AL16">
        <f t="shared" si="19"/>
        <v>57.637243648427294</v>
      </c>
      <c r="AM16">
        <f t="shared" si="20"/>
        <v>57.638471808493591</v>
      </c>
      <c r="AN16">
        <f t="shared" si="21"/>
        <v>57.638471808493591</v>
      </c>
      <c r="AO16">
        <f t="shared" si="22"/>
        <v>57.637243648427294</v>
      </c>
      <c r="AP16">
        <f t="shared" si="23"/>
        <v>57.627420251788749</v>
      </c>
      <c r="AQ16">
        <f t="shared" si="24"/>
        <v>-9.2627563515727118</v>
      </c>
      <c r="AR16">
        <f t="shared" si="25"/>
        <v>-8.2615281915064145</v>
      </c>
      <c r="AS16">
        <f t="shared" si="26"/>
        <v>-6.5615281915064116</v>
      </c>
      <c r="AT16">
        <f t="shared" si="27"/>
        <v>-5.3627563515727061</v>
      </c>
      <c r="AU16">
        <f t="shared" si="28"/>
        <v>-6.072579748211254</v>
      </c>
      <c r="AV16">
        <f t="shared" si="29"/>
        <v>9.2627563515727118</v>
      </c>
      <c r="AW16">
        <f t="shared" si="30"/>
        <v>8.2615281915064145</v>
      </c>
      <c r="AX16">
        <f t="shared" si="31"/>
        <v>6.5615281915064116</v>
      </c>
      <c r="AY16">
        <f t="shared" si="32"/>
        <v>5.3627563515727061</v>
      </c>
      <c r="AZ16">
        <f t="shared" si="33"/>
        <v>6.072579748211254</v>
      </c>
      <c r="BA16">
        <f t="shared" si="34"/>
        <v>7.1042297668738996</v>
      </c>
      <c r="BD16">
        <v>0.46899999999999997</v>
      </c>
      <c r="BE16">
        <v>0.69474000000000002</v>
      </c>
      <c r="BF16">
        <v>0.93562999999999996</v>
      </c>
      <c r="BG16">
        <v>0.37522</v>
      </c>
      <c r="BI16">
        <v>63.18</v>
      </c>
      <c r="BJ16">
        <v>58.83</v>
      </c>
      <c r="BK16">
        <v>51.91</v>
      </c>
      <c r="BL16">
        <v>64.13</v>
      </c>
      <c r="BM16">
        <v>8864.0488299999997</v>
      </c>
      <c r="BN16">
        <v>26261.003909999999</v>
      </c>
      <c r="BO16">
        <v>23577.796880000002</v>
      </c>
      <c r="BP16">
        <v>26002.45117</v>
      </c>
    </row>
    <row r="17" spans="1:68">
      <c r="A17">
        <v>204</v>
      </c>
      <c r="B17" t="s">
        <v>73</v>
      </c>
      <c r="C17" t="s">
        <v>73</v>
      </c>
      <c r="D17">
        <v>1067</v>
      </c>
      <c r="E17">
        <v>1161</v>
      </c>
      <c r="F17">
        <v>3</v>
      </c>
      <c r="G17">
        <v>0.31724999999999998</v>
      </c>
      <c r="H17">
        <v>62</v>
      </c>
      <c r="I17">
        <v>2100</v>
      </c>
      <c r="J17">
        <f t="shared" si="7"/>
        <v>4.8795269895941189</v>
      </c>
      <c r="K17">
        <v>1.28</v>
      </c>
      <c r="L17" s="4">
        <v>0.85899999999999999</v>
      </c>
      <c r="M17">
        <f t="shared" si="37"/>
        <v>2100</v>
      </c>
      <c r="N17">
        <f t="shared" si="38"/>
        <v>62</v>
      </c>
      <c r="O17">
        <v>45</v>
      </c>
      <c r="P17">
        <f t="shared" si="10"/>
        <v>46.666666666666664</v>
      </c>
      <c r="Q17">
        <f t="shared" si="11"/>
        <v>4.8795269895941189</v>
      </c>
      <c r="R17">
        <v>3</v>
      </c>
      <c r="S17" s="17">
        <v>5174.7114259999998</v>
      </c>
      <c r="T17" s="18">
        <f t="shared" si="12"/>
        <v>1724.9038086666667</v>
      </c>
      <c r="U17">
        <f t="shared" si="13"/>
        <v>0.82138276603174609</v>
      </c>
      <c r="V17" s="18">
        <v>-1</v>
      </c>
      <c r="W17" s="18">
        <v>-1</v>
      </c>
      <c r="X17" s="20">
        <f t="shared" si="14"/>
        <v>1</v>
      </c>
      <c r="Y17">
        <f t="shared" si="2"/>
        <v>59.184262713876436</v>
      </c>
      <c r="Z17">
        <f t="shared" si="3"/>
        <v>1724.9038086666667</v>
      </c>
      <c r="AA17">
        <f t="shared" si="4"/>
        <v>57.938282607004219</v>
      </c>
      <c r="AB17">
        <f t="shared" si="15"/>
        <v>1.0006207417169705E-5</v>
      </c>
      <c r="AC17">
        <f t="shared" si="16"/>
        <v>6.4039727469886111E-4</v>
      </c>
      <c r="AD17">
        <f t="shared" si="17"/>
        <v>7</v>
      </c>
      <c r="AE17" s="13">
        <v>7.5</v>
      </c>
      <c r="AF17">
        <f t="shared" si="18"/>
        <v>8</v>
      </c>
      <c r="AG17" s="17">
        <v>67.7</v>
      </c>
      <c r="AH17" s="17">
        <v>66.400000000000006</v>
      </c>
      <c r="AI17" s="17">
        <v>65.099999999999994</v>
      </c>
      <c r="AJ17" s="17">
        <v>64.8</v>
      </c>
      <c r="AK17" s="17">
        <v>65.400000000000006</v>
      </c>
      <c r="AL17">
        <f t="shared" si="19"/>
        <v>57.93703635322661</v>
      </c>
      <c r="AM17">
        <f t="shared" si="20"/>
        <v>57.938282607004211</v>
      </c>
      <c r="AN17">
        <f t="shared" si="21"/>
        <v>57.938282607004211</v>
      </c>
      <c r="AO17">
        <f t="shared" si="22"/>
        <v>57.93703635322661</v>
      </c>
      <c r="AP17">
        <f t="shared" si="23"/>
        <v>57.927068252773907</v>
      </c>
      <c r="AQ17">
        <f t="shared" si="24"/>
        <v>-9.7629636467733931</v>
      </c>
      <c r="AR17">
        <f t="shared" si="25"/>
        <v>-8.4617173929957943</v>
      </c>
      <c r="AS17">
        <f t="shared" si="26"/>
        <v>-7.1617173929957829</v>
      </c>
      <c r="AT17">
        <f t="shared" si="27"/>
        <v>-6.8629636467733874</v>
      </c>
      <c r="AU17">
        <f t="shared" si="28"/>
        <v>-7.4729317472260988</v>
      </c>
      <c r="AV17">
        <f t="shared" si="29"/>
        <v>9.7629636467733931</v>
      </c>
      <c r="AW17">
        <f t="shared" si="30"/>
        <v>8.4617173929957943</v>
      </c>
      <c r="AX17">
        <f t="shared" si="31"/>
        <v>7.1617173929957829</v>
      </c>
      <c r="AY17">
        <f t="shared" si="32"/>
        <v>6.8629636467733874</v>
      </c>
      <c r="AZ17">
        <f t="shared" si="33"/>
        <v>7.4729317472260988</v>
      </c>
      <c r="BA17">
        <f t="shared" si="34"/>
        <v>7.9444587653528913</v>
      </c>
      <c r="BD17">
        <v>0.56796999999999997</v>
      </c>
      <c r="BE17">
        <v>0.73506000000000005</v>
      </c>
      <c r="BF17">
        <v>0.99885999999999997</v>
      </c>
      <c r="BG17">
        <v>0.43093999999999999</v>
      </c>
      <c r="BI17">
        <v>57.05</v>
      </c>
      <c r="BJ17">
        <v>51.39</v>
      </c>
      <c r="BK17">
        <v>40.049999999999997</v>
      </c>
      <c r="BL17">
        <v>59.98</v>
      </c>
      <c r="BM17">
        <v>10734.6875</v>
      </c>
      <c r="BN17">
        <v>27785.146479999999</v>
      </c>
      <c r="BO17">
        <v>25171.269530000001</v>
      </c>
      <c r="BP17">
        <v>29864.07617</v>
      </c>
    </row>
    <row r="18" spans="1:68">
      <c r="A18">
        <v>209</v>
      </c>
      <c r="B18" t="s">
        <v>74</v>
      </c>
      <c r="C18" t="s">
        <v>74</v>
      </c>
      <c r="D18">
        <v>1069</v>
      </c>
      <c r="E18">
        <v>1072</v>
      </c>
      <c r="F18">
        <v>3</v>
      </c>
      <c r="G18">
        <v>0.52651000000000003</v>
      </c>
      <c r="H18">
        <v>62</v>
      </c>
      <c r="I18">
        <v>2100</v>
      </c>
      <c r="J18">
        <f t="shared" si="7"/>
        <v>4.8795269895941189</v>
      </c>
      <c r="K18">
        <v>1.28</v>
      </c>
      <c r="L18" s="4">
        <v>0.85899999999999999</v>
      </c>
      <c r="M18">
        <f t="shared" si="37"/>
        <v>2100</v>
      </c>
      <c r="N18">
        <f t="shared" si="38"/>
        <v>62</v>
      </c>
      <c r="O18">
        <v>45</v>
      </c>
      <c r="P18">
        <f t="shared" si="10"/>
        <v>46.666666666666664</v>
      </c>
      <c r="Q18">
        <f t="shared" si="11"/>
        <v>4.8795269895941189</v>
      </c>
      <c r="R18">
        <v>3</v>
      </c>
      <c r="S18" s="17">
        <v>5450.0527339999999</v>
      </c>
      <c r="T18" s="18">
        <f t="shared" si="12"/>
        <v>1816.6842446666667</v>
      </c>
      <c r="U18">
        <f t="shared" si="13"/>
        <v>0.86508773555555563</v>
      </c>
      <c r="V18" s="18">
        <v>7.4166670000000003</v>
      </c>
      <c r="W18" s="18">
        <v>7.6666670000000003</v>
      </c>
      <c r="X18" s="20">
        <f t="shared" si="14"/>
        <v>1</v>
      </c>
      <c r="Y18">
        <f t="shared" si="2"/>
        <v>58.172186954927781</v>
      </c>
      <c r="Z18">
        <f t="shared" si="3"/>
        <v>1816.6842446666667</v>
      </c>
      <c r="AA18">
        <f t="shared" si="4"/>
        <v>54.72810357182545</v>
      </c>
      <c r="AB18">
        <f t="shared" si="15"/>
        <v>1.0057965716044159E-5</v>
      </c>
      <c r="AC18">
        <f t="shared" si="16"/>
        <v>6.4370980582682618E-4</v>
      </c>
      <c r="AD18">
        <f t="shared" si="17"/>
        <v>7</v>
      </c>
      <c r="AE18" s="13">
        <v>7.5</v>
      </c>
      <c r="AF18">
        <f t="shared" si="18"/>
        <v>8</v>
      </c>
      <c r="AG18" s="17">
        <v>68.8</v>
      </c>
      <c r="AH18" s="17">
        <v>56.8</v>
      </c>
      <c r="AI18" s="17">
        <v>65.599999999999994</v>
      </c>
      <c r="AJ18" s="17">
        <v>67.900000000000006</v>
      </c>
      <c r="AK18" s="17">
        <v>68</v>
      </c>
      <c r="AL18">
        <f t="shared" si="19"/>
        <v>54.727042308754925</v>
      </c>
      <c r="AM18">
        <f t="shared" si="20"/>
        <v>54.72810357182545</v>
      </c>
      <c r="AN18">
        <f t="shared" si="21"/>
        <v>54.72810357182545</v>
      </c>
      <c r="AO18">
        <f t="shared" si="22"/>
        <v>54.727042308754925</v>
      </c>
      <c r="AP18">
        <f t="shared" si="23"/>
        <v>54.71855368568793</v>
      </c>
      <c r="AQ18">
        <f t="shared" si="24"/>
        <v>-14.072957691245072</v>
      </c>
      <c r="AR18">
        <f t="shared" si="25"/>
        <v>-2.0718964281745471</v>
      </c>
      <c r="AS18">
        <f t="shared" si="26"/>
        <v>-10.871896428174544</v>
      </c>
      <c r="AT18">
        <f t="shared" si="27"/>
        <v>-13.172957691245081</v>
      </c>
      <c r="AU18">
        <f t="shared" si="28"/>
        <v>-13.28144631431207</v>
      </c>
      <c r="AV18">
        <f t="shared" si="29"/>
        <v>14.072957691245072</v>
      </c>
      <c r="AW18">
        <f t="shared" si="30"/>
        <v>2.0718964281745471</v>
      </c>
      <c r="AX18">
        <f t="shared" si="31"/>
        <v>10.871896428174544</v>
      </c>
      <c r="AY18">
        <f t="shared" si="32"/>
        <v>13.172957691245081</v>
      </c>
      <c r="AZ18">
        <f t="shared" si="33"/>
        <v>13.28144631431207</v>
      </c>
      <c r="BA18">
        <f t="shared" si="34"/>
        <v>10.694230910630264</v>
      </c>
      <c r="BD18">
        <v>0.76095000000000002</v>
      </c>
      <c r="BE18">
        <v>0.67135</v>
      </c>
      <c r="BF18">
        <v>0.68906000000000001</v>
      </c>
      <c r="BG18">
        <v>0.27167999999999998</v>
      </c>
      <c r="BI18">
        <v>50.35</v>
      </c>
      <c r="BJ18">
        <v>53.79</v>
      </c>
      <c r="BK18">
        <v>53.15</v>
      </c>
      <c r="BL18">
        <v>61.57</v>
      </c>
      <c r="BM18">
        <v>14382</v>
      </c>
      <c r="BN18">
        <v>25376.847659999999</v>
      </c>
      <c r="BO18">
        <v>17364.207030000001</v>
      </c>
      <c r="BP18">
        <v>18827.511719999999</v>
      </c>
    </row>
    <row r="19" spans="1:68">
      <c r="A19">
        <v>211</v>
      </c>
      <c r="B19" t="s">
        <v>75</v>
      </c>
      <c r="C19" t="s">
        <v>75</v>
      </c>
      <c r="D19">
        <v>1070</v>
      </c>
      <c r="E19">
        <v>1067</v>
      </c>
      <c r="F19">
        <v>3</v>
      </c>
      <c r="G19">
        <v>0.53088999999999997</v>
      </c>
      <c r="H19">
        <v>62</v>
      </c>
      <c r="I19">
        <v>2100</v>
      </c>
      <c r="J19">
        <f t="shared" si="7"/>
        <v>4.8795269895941189</v>
      </c>
      <c r="K19">
        <v>1.28</v>
      </c>
      <c r="L19" s="4">
        <v>0.85899999999999999</v>
      </c>
      <c r="M19">
        <f t="shared" si="37"/>
        <v>2100</v>
      </c>
      <c r="N19">
        <f t="shared" si="38"/>
        <v>62</v>
      </c>
      <c r="O19">
        <v>45</v>
      </c>
      <c r="P19">
        <f t="shared" si="10"/>
        <v>46.666666666666664</v>
      </c>
      <c r="Q19">
        <f t="shared" si="11"/>
        <v>4.8795269895941189</v>
      </c>
      <c r="R19">
        <v>3</v>
      </c>
      <c r="S19" s="17">
        <v>5243.4521480000003</v>
      </c>
      <c r="T19" s="18">
        <f t="shared" si="12"/>
        <v>1747.8173826666668</v>
      </c>
      <c r="U19">
        <f t="shared" si="13"/>
        <v>0.8322939917460318</v>
      </c>
      <c r="V19" s="18">
        <v>-1</v>
      </c>
      <c r="W19" s="18">
        <v>-1</v>
      </c>
      <c r="X19" s="20">
        <f t="shared" si="14"/>
        <v>1</v>
      </c>
      <c r="Y19">
        <f t="shared" si="2"/>
        <v>58.961164168345725</v>
      </c>
      <c r="Z19">
        <f t="shared" si="3"/>
        <v>1747.8173826666668</v>
      </c>
      <c r="AA19">
        <f t="shared" si="4"/>
        <v>57.103677559476971</v>
      </c>
      <c r="AB19">
        <f t="shared" si="15"/>
        <v>1.0019357373131352E-5</v>
      </c>
      <c r="AC19">
        <f t="shared" si="16"/>
        <v>6.4123887188040655E-4</v>
      </c>
      <c r="AD19">
        <f t="shared" si="17"/>
        <v>7</v>
      </c>
      <c r="AE19" s="13">
        <v>7.5</v>
      </c>
      <c r="AF19">
        <f t="shared" si="18"/>
        <v>8</v>
      </c>
      <c r="AG19" s="17">
        <v>68.099999999999994</v>
      </c>
      <c r="AH19" s="17">
        <v>66.7</v>
      </c>
      <c r="AI19" s="17">
        <v>65.8</v>
      </c>
      <c r="AJ19" s="17">
        <v>64.900000000000006</v>
      </c>
      <c r="AK19" s="17">
        <v>65.7</v>
      </c>
      <c r="AL19">
        <f t="shared" si="19"/>
        <v>57.102481251922114</v>
      </c>
      <c r="AM19">
        <f t="shared" si="20"/>
        <v>57.103677559476971</v>
      </c>
      <c r="AN19">
        <f t="shared" si="21"/>
        <v>57.103677559476971</v>
      </c>
      <c r="AO19">
        <f t="shared" si="22"/>
        <v>57.102481251922114</v>
      </c>
      <c r="AP19">
        <f t="shared" si="23"/>
        <v>57.09291259566934</v>
      </c>
      <c r="AQ19">
        <f t="shared" si="24"/>
        <v>-10.99751874807788</v>
      </c>
      <c r="AR19">
        <f t="shared" si="25"/>
        <v>-9.5963224405230321</v>
      </c>
      <c r="AS19">
        <f t="shared" si="26"/>
        <v>-8.6963224405230264</v>
      </c>
      <c r="AT19">
        <f t="shared" si="27"/>
        <v>-7.7975187480778914</v>
      </c>
      <c r="AU19">
        <f t="shared" si="28"/>
        <v>-8.6070874043306631</v>
      </c>
      <c r="AV19">
        <f t="shared" si="29"/>
        <v>10.99751874807788</v>
      </c>
      <c r="AW19">
        <f t="shared" si="30"/>
        <v>9.5963224405230321</v>
      </c>
      <c r="AX19">
        <f t="shared" si="31"/>
        <v>8.6963224405230264</v>
      </c>
      <c r="AY19">
        <f t="shared" si="32"/>
        <v>7.7975187480778914</v>
      </c>
      <c r="AZ19">
        <f t="shared" si="33"/>
        <v>8.6070874043306631</v>
      </c>
      <c r="BA19">
        <f t="shared" si="34"/>
        <v>9.1389539563064979</v>
      </c>
      <c r="BD19">
        <v>0.54547000000000001</v>
      </c>
      <c r="BE19">
        <v>0.72009999999999996</v>
      </c>
      <c r="BF19">
        <v>0.97043999999999997</v>
      </c>
      <c r="BG19">
        <v>0.42599999999999999</v>
      </c>
      <c r="BI19">
        <v>57.66</v>
      </c>
      <c r="BJ19">
        <v>51.97</v>
      </c>
      <c r="BK19">
        <v>41.28</v>
      </c>
      <c r="BL19">
        <v>60.05</v>
      </c>
      <c r="BM19">
        <v>10309.356449999999</v>
      </c>
      <c r="BN19">
        <v>27219.9375</v>
      </c>
      <c r="BO19">
        <v>24455.060549999998</v>
      </c>
      <c r="BP19">
        <v>29521.58008</v>
      </c>
    </row>
    <row r="20" spans="1:68">
      <c r="A20">
        <v>214</v>
      </c>
      <c r="B20" t="s">
        <v>76</v>
      </c>
      <c r="C20" t="s">
        <v>76</v>
      </c>
      <c r="D20">
        <v>1071</v>
      </c>
      <c r="E20">
        <v>1157</v>
      </c>
      <c r="F20">
        <v>3</v>
      </c>
      <c r="G20">
        <v>0.60287999999999997</v>
      </c>
      <c r="H20">
        <v>62</v>
      </c>
      <c r="I20">
        <v>2100</v>
      </c>
      <c r="J20">
        <f t="shared" si="7"/>
        <v>4.8795269895941189</v>
      </c>
      <c r="K20">
        <v>1.28</v>
      </c>
      <c r="L20" s="4">
        <v>0.85899999999999999</v>
      </c>
      <c r="M20">
        <f t="shared" si="37"/>
        <v>2100</v>
      </c>
      <c r="N20">
        <f t="shared" si="38"/>
        <v>62</v>
      </c>
      <c r="O20">
        <v>45</v>
      </c>
      <c r="P20">
        <f t="shared" si="10"/>
        <v>46.666666666666664</v>
      </c>
      <c r="Q20">
        <f t="shared" si="11"/>
        <v>4.8795269895941189</v>
      </c>
      <c r="R20">
        <v>3</v>
      </c>
      <c r="S20" s="17">
        <v>5748.3129879999997</v>
      </c>
      <c r="T20" s="18">
        <f t="shared" si="12"/>
        <v>1916.1043293333332</v>
      </c>
      <c r="U20">
        <f t="shared" si="13"/>
        <v>0.91243063301587302</v>
      </c>
      <c r="V20" s="18">
        <v>-1</v>
      </c>
      <c r="W20" s="18">
        <v>-1</v>
      </c>
      <c r="X20" s="20">
        <f t="shared" si="14"/>
        <v>1</v>
      </c>
      <c r="Y20">
        <f t="shared" si="2"/>
        <v>56.587861902487198</v>
      </c>
      <c r="Z20">
        <f t="shared" si="3"/>
        <v>1916.1043293333332</v>
      </c>
      <c r="AA20">
        <f t="shared" si="4"/>
        <v>51.614037585927512</v>
      </c>
      <c r="AB20">
        <f t="shared" si="15"/>
        <v>1.0111440115551998E-5</v>
      </c>
      <c r="AC20">
        <f t="shared" si="16"/>
        <v>6.4713216739532787E-4</v>
      </c>
      <c r="AD20">
        <f t="shared" si="17"/>
        <v>7</v>
      </c>
      <c r="AE20" s="13">
        <v>7.5</v>
      </c>
      <c r="AF20">
        <f t="shared" si="18"/>
        <v>8</v>
      </c>
      <c r="AG20" s="17">
        <v>65.3</v>
      </c>
      <c r="AH20" s="17">
        <v>61.1</v>
      </c>
      <c r="AI20" s="17">
        <v>63.4</v>
      </c>
      <c r="AJ20" s="17">
        <v>65.5</v>
      </c>
      <c r="AK20" s="17">
        <v>65.599999999999994</v>
      </c>
      <c r="AL20">
        <f t="shared" si="19"/>
        <v>51.613137877200707</v>
      </c>
      <c r="AM20">
        <f t="shared" si="20"/>
        <v>51.614037585927512</v>
      </c>
      <c r="AN20">
        <f t="shared" si="21"/>
        <v>51.614037585927512</v>
      </c>
      <c r="AO20">
        <f t="shared" si="22"/>
        <v>51.613137877200707</v>
      </c>
      <c r="AP20">
        <f t="shared" si="23"/>
        <v>51.605941336422738</v>
      </c>
      <c r="AQ20">
        <f t="shared" si="24"/>
        <v>-13.68686212279929</v>
      </c>
      <c r="AR20">
        <f t="shared" si="25"/>
        <v>-9.485962414072489</v>
      </c>
      <c r="AS20">
        <f t="shared" si="26"/>
        <v>-11.785962414072486</v>
      </c>
      <c r="AT20">
        <f t="shared" si="27"/>
        <v>-13.886862122799293</v>
      </c>
      <c r="AU20">
        <f t="shared" si="28"/>
        <v>-13.994058663577256</v>
      </c>
      <c r="AV20">
        <f t="shared" si="29"/>
        <v>13.68686212279929</v>
      </c>
      <c r="AW20">
        <f t="shared" si="30"/>
        <v>9.485962414072489</v>
      </c>
      <c r="AX20">
        <f t="shared" si="31"/>
        <v>11.785962414072486</v>
      </c>
      <c r="AY20">
        <f t="shared" si="32"/>
        <v>13.886862122799293</v>
      </c>
      <c r="AZ20">
        <f t="shared" si="33"/>
        <v>13.994058663577256</v>
      </c>
      <c r="BA20">
        <f t="shared" si="34"/>
        <v>12.567941547464162</v>
      </c>
      <c r="BD20">
        <v>0.80720000000000003</v>
      </c>
      <c r="BE20">
        <v>0.70016999999999996</v>
      </c>
      <c r="BF20">
        <v>0.72694000000000003</v>
      </c>
      <c r="BG20">
        <v>0.28317999999999999</v>
      </c>
      <c r="BI20">
        <v>48.42</v>
      </c>
      <c r="BJ20">
        <v>52.75</v>
      </c>
      <c r="BK20">
        <v>51.7</v>
      </c>
      <c r="BL20">
        <v>61.51</v>
      </c>
      <c r="BM20">
        <v>15256.009770000001</v>
      </c>
      <c r="BN20">
        <v>26466.376950000002</v>
      </c>
      <c r="BO20">
        <v>18319.001950000002</v>
      </c>
      <c r="BP20">
        <v>19624.492190000001</v>
      </c>
    </row>
    <row r="21" spans="1:68">
      <c r="A21">
        <v>215</v>
      </c>
      <c r="B21" t="s">
        <v>77</v>
      </c>
      <c r="C21" t="s">
        <v>77</v>
      </c>
      <c r="D21">
        <v>1072</v>
      </c>
      <c r="E21">
        <v>1162</v>
      </c>
      <c r="F21">
        <v>3</v>
      </c>
      <c r="G21">
        <v>0.53705999999999998</v>
      </c>
      <c r="H21">
        <v>62</v>
      </c>
      <c r="I21">
        <v>2100</v>
      </c>
      <c r="J21">
        <f t="shared" si="7"/>
        <v>4.8795269895941189</v>
      </c>
      <c r="K21">
        <v>1.28</v>
      </c>
      <c r="L21" s="4">
        <v>0.85899999999999999</v>
      </c>
      <c r="M21">
        <f t="shared" si="37"/>
        <v>2100</v>
      </c>
      <c r="N21">
        <f t="shared" si="38"/>
        <v>62</v>
      </c>
      <c r="O21">
        <v>45</v>
      </c>
      <c r="P21">
        <f t="shared" si="10"/>
        <v>46.666666666666664</v>
      </c>
      <c r="Q21">
        <f t="shared" si="11"/>
        <v>4.8795269895941189</v>
      </c>
      <c r="R21">
        <v>3</v>
      </c>
      <c r="S21" s="17">
        <v>5664.3627930000002</v>
      </c>
      <c r="T21" s="18">
        <f t="shared" si="12"/>
        <v>1888.1209310000002</v>
      </c>
      <c r="U21">
        <f t="shared" si="13"/>
        <v>0.89910520523809534</v>
      </c>
      <c r="V21" s="18">
        <v>-1</v>
      </c>
      <c r="W21" s="18">
        <v>-1</v>
      </c>
      <c r="X21" s="20">
        <f t="shared" si="14"/>
        <v>1</v>
      </c>
      <c r="Y21">
        <f t="shared" si="2"/>
        <v>57.103501689269542</v>
      </c>
      <c r="Z21">
        <f t="shared" si="3"/>
        <v>1888.1209310000002</v>
      </c>
      <c r="AA21">
        <f t="shared" si="4"/>
        <v>52.455743477887523</v>
      </c>
      <c r="AB21">
        <f t="shared" si="15"/>
        <v>1.0096646390431963E-5</v>
      </c>
      <c r="AC21">
        <f t="shared" si="16"/>
        <v>6.4618536898764563E-4</v>
      </c>
      <c r="AD21">
        <f t="shared" si="17"/>
        <v>7</v>
      </c>
      <c r="AE21" s="13">
        <v>7.5</v>
      </c>
      <c r="AF21">
        <f t="shared" si="18"/>
        <v>8</v>
      </c>
      <c r="AG21" s="17">
        <v>67.3</v>
      </c>
      <c r="AH21" s="17">
        <v>59.7</v>
      </c>
      <c r="AI21" s="17">
        <v>65.8</v>
      </c>
      <c r="AJ21" s="17">
        <v>67.400000000000006</v>
      </c>
      <c r="AK21" s="17">
        <v>67.7</v>
      </c>
      <c r="AL21">
        <f t="shared" si="19"/>
        <v>52.45480179297796</v>
      </c>
      <c r="AM21">
        <f t="shared" si="20"/>
        <v>52.455743477887516</v>
      </c>
      <c r="AN21">
        <f t="shared" si="21"/>
        <v>52.455743477887516</v>
      </c>
      <c r="AO21">
        <f t="shared" si="22"/>
        <v>52.45480179297796</v>
      </c>
      <c r="AP21">
        <f t="shared" si="23"/>
        <v>52.447269530695117</v>
      </c>
      <c r="AQ21">
        <f t="shared" si="24"/>
        <v>-14.845198207022037</v>
      </c>
      <c r="AR21">
        <f t="shared" si="25"/>
        <v>-7.2442565221124866</v>
      </c>
      <c r="AS21">
        <f t="shared" si="26"/>
        <v>-13.344256522112481</v>
      </c>
      <c r="AT21">
        <f t="shared" si="27"/>
        <v>-14.945198207022045</v>
      </c>
      <c r="AU21">
        <f t="shared" si="28"/>
        <v>-15.252730469304886</v>
      </c>
      <c r="AV21">
        <f t="shared" si="29"/>
        <v>14.845198207022037</v>
      </c>
      <c r="AW21">
        <f t="shared" si="30"/>
        <v>7.2442565221124866</v>
      </c>
      <c r="AX21">
        <f t="shared" si="31"/>
        <v>13.344256522112481</v>
      </c>
      <c r="AY21">
        <f t="shared" si="32"/>
        <v>14.945198207022045</v>
      </c>
      <c r="AZ21">
        <f t="shared" si="33"/>
        <v>15.252730469304886</v>
      </c>
      <c r="BA21">
        <f t="shared" si="34"/>
        <v>13.126327985514786</v>
      </c>
      <c r="BD21">
        <v>0.81208000000000002</v>
      </c>
      <c r="BE21">
        <v>0.69716</v>
      </c>
      <c r="BF21">
        <v>0.74731000000000003</v>
      </c>
      <c r="BG21">
        <v>0.28195999999999999</v>
      </c>
      <c r="BI21">
        <v>48.21</v>
      </c>
      <c r="BJ21">
        <v>52.86</v>
      </c>
      <c r="BK21">
        <v>50.91</v>
      </c>
      <c r="BL21">
        <v>61.52</v>
      </c>
      <c r="BM21">
        <v>15348.30176</v>
      </c>
      <c r="BN21">
        <v>26352.503909999999</v>
      </c>
      <c r="BO21">
        <v>18832.251950000002</v>
      </c>
      <c r="BP21">
        <v>19539.697270000001</v>
      </c>
    </row>
    <row r="22" spans="1:68">
      <c r="A22">
        <v>219</v>
      </c>
      <c r="B22" t="s">
        <v>78</v>
      </c>
      <c r="C22" t="s">
        <v>78</v>
      </c>
      <c r="D22">
        <v>1074</v>
      </c>
      <c r="E22">
        <v>1158</v>
      </c>
      <c r="F22">
        <v>3</v>
      </c>
      <c r="G22">
        <v>0.21994</v>
      </c>
      <c r="H22">
        <v>62</v>
      </c>
      <c r="I22">
        <v>2100</v>
      </c>
      <c r="J22">
        <f t="shared" si="7"/>
        <v>4.8795269895941189</v>
      </c>
      <c r="K22">
        <v>1.28</v>
      </c>
      <c r="L22" s="4">
        <v>0.85899999999999999</v>
      </c>
      <c r="M22">
        <f t="shared" si="37"/>
        <v>2100</v>
      </c>
      <c r="N22">
        <f t="shared" si="38"/>
        <v>62</v>
      </c>
      <c r="O22">
        <v>45</v>
      </c>
      <c r="P22">
        <f t="shared" si="10"/>
        <v>46.666666666666664</v>
      </c>
      <c r="Q22">
        <f t="shared" si="11"/>
        <v>4.8795269895941189</v>
      </c>
      <c r="R22">
        <v>3</v>
      </c>
      <c r="S22" s="17">
        <v>5236.8842770000001</v>
      </c>
      <c r="T22" s="18">
        <f t="shared" si="12"/>
        <v>1745.6280923333334</v>
      </c>
      <c r="U22">
        <f t="shared" si="13"/>
        <v>0.83125147253968257</v>
      </c>
      <c r="V22" s="18">
        <v>-1</v>
      </c>
      <c r="W22" s="18">
        <v>-1</v>
      </c>
      <c r="X22" s="20">
        <f t="shared" si="14"/>
        <v>1</v>
      </c>
      <c r="Y22">
        <f t="shared" si="2"/>
        <v>58.983239384897473</v>
      </c>
      <c r="Z22">
        <f t="shared" si="3"/>
        <v>1745.6280923333334</v>
      </c>
      <c r="AA22">
        <f t="shared" si="4"/>
        <v>57.182426721440855</v>
      </c>
      <c r="AB22">
        <f t="shared" si="15"/>
        <v>1.001810768227617E-5</v>
      </c>
      <c r="AC22">
        <f t="shared" si="16"/>
        <v>6.4115889166567485E-4</v>
      </c>
      <c r="AD22">
        <f t="shared" si="17"/>
        <v>7</v>
      </c>
      <c r="AE22" s="13">
        <v>7.5</v>
      </c>
      <c r="AF22">
        <f t="shared" si="18"/>
        <v>8</v>
      </c>
      <c r="AG22" s="17">
        <v>68.900000000000006</v>
      </c>
      <c r="AH22" s="17">
        <v>67.5</v>
      </c>
      <c r="AI22" s="17">
        <v>66.400000000000006</v>
      </c>
      <c r="AJ22" s="17">
        <v>64.900000000000006</v>
      </c>
      <c r="AK22" s="17">
        <v>65.5</v>
      </c>
      <c r="AL22">
        <f t="shared" si="19"/>
        <v>57.181225757438639</v>
      </c>
      <c r="AM22">
        <f t="shared" si="20"/>
        <v>57.182426721440855</v>
      </c>
      <c r="AN22">
        <f t="shared" si="21"/>
        <v>57.182426721440855</v>
      </c>
      <c r="AO22">
        <f t="shared" si="22"/>
        <v>57.181225757438639</v>
      </c>
      <c r="AP22">
        <f t="shared" si="23"/>
        <v>57.171619861174513</v>
      </c>
      <c r="AQ22">
        <f t="shared" si="24"/>
        <v>-11.718774242561366</v>
      </c>
      <c r="AR22">
        <f t="shared" si="25"/>
        <v>-10.317573278559145</v>
      </c>
      <c r="AS22">
        <f t="shared" si="26"/>
        <v>-9.2175732785591507</v>
      </c>
      <c r="AT22">
        <f t="shared" si="27"/>
        <v>-7.7187742425613663</v>
      </c>
      <c r="AU22">
        <f t="shared" si="28"/>
        <v>-8.3283801388254872</v>
      </c>
      <c r="AV22">
        <f t="shared" si="29"/>
        <v>11.718774242561366</v>
      </c>
      <c r="AW22">
        <f t="shared" si="30"/>
        <v>10.317573278559145</v>
      </c>
      <c r="AX22">
        <f t="shared" si="31"/>
        <v>9.2175732785591507</v>
      </c>
      <c r="AY22">
        <f t="shared" si="32"/>
        <v>7.7187742425613663</v>
      </c>
      <c r="AZ22">
        <f t="shared" si="33"/>
        <v>8.3283801388254872</v>
      </c>
      <c r="BA22">
        <f t="shared" si="34"/>
        <v>9.4602150362133024</v>
      </c>
      <c r="BD22">
        <v>0.57142999999999999</v>
      </c>
      <c r="BE22">
        <v>0.76848000000000005</v>
      </c>
      <c r="BF22">
        <v>1.07996</v>
      </c>
      <c r="BG22">
        <v>0.44629999999999997</v>
      </c>
      <c r="BI22">
        <v>56.95</v>
      </c>
      <c r="BJ22">
        <v>50.04</v>
      </c>
      <c r="BK22">
        <v>38.29</v>
      </c>
      <c r="BL22">
        <v>59.75</v>
      </c>
      <c r="BM22">
        <v>10800.05371</v>
      </c>
      <c r="BN22">
        <v>29048.578130000002</v>
      </c>
      <c r="BO22">
        <v>27214.992190000001</v>
      </c>
      <c r="BP22">
        <v>30928.765630000002</v>
      </c>
    </row>
    <row r="23" spans="1:68">
      <c r="A23">
        <v>224</v>
      </c>
      <c r="B23" t="s">
        <v>79</v>
      </c>
      <c r="C23" t="s">
        <v>79</v>
      </c>
      <c r="D23">
        <v>1077</v>
      </c>
      <c r="E23">
        <v>1016</v>
      </c>
      <c r="F23">
        <v>4</v>
      </c>
      <c r="G23">
        <v>0.24784999999999999</v>
      </c>
      <c r="H23">
        <v>61</v>
      </c>
      <c r="I23">
        <v>2100</v>
      </c>
      <c r="J23">
        <f t="shared" si="7"/>
        <v>5.1757581180582832</v>
      </c>
      <c r="K23">
        <v>1.28</v>
      </c>
      <c r="L23" s="4">
        <v>0.85899999999999999</v>
      </c>
      <c r="M23">
        <f t="shared" si="37"/>
        <v>2100</v>
      </c>
      <c r="N23">
        <f t="shared" si="38"/>
        <v>61</v>
      </c>
      <c r="O23">
        <v>45</v>
      </c>
      <c r="P23">
        <f t="shared" si="10"/>
        <v>46.666666666666664</v>
      </c>
      <c r="Q23">
        <f t="shared" si="11"/>
        <v>5.1757581180582832</v>
      </c>
      <c r="R23">
        <v>3</v>
      </c>
      <c r="S23" s="17">
        <v>5118.7651370000003</v>
      </c>
      <c r="T23" s="18">
        <f t="shared" si="12"/>
        <v>1706.2550456666668</v>
      </c>
      <c r="U23">
        <f t="shared" si="13"/>
        <v>0.81250240269841278</v>
      </c>
      <c r="V23" s="18">
        <v>-1</v>
      </c>
      <c r="W23" s="18">
        <v>-1</v>
      </c>
      <c r="X23" s="20">
        <f t="shared" si="14"/>
        <v>1</v>
      </c>
      <c r="Y23">
        <f t="shared" si="2"/>
        <v>58.711141219600243</v>
      </c>
      <c r="Z23">
        <f t="shared" si="3"/>
        <v>1706.2550456666668</v>
      </c>
      <c r="AA23">
        <f t="shared" si="4"/>
        <v>58.634925470821855</v>
      </c>
      <c r="AB23">
        <f t="shared" si="15"/>
        <v>9.9953883839935484E-6</v>
      </c>
      <c r="AC23">
        <f t="shared" si="16"/>
        <v>6.397048565755871E-4</v>
      </c>
      <c r="AD23">
        <f t="shared" si="17"/>
        <v>7</v>
      </c>
      <c r="AE23" s="13">
        <v>7.5</v>
      </c>
      <c r="AF23">
        <f t="shared" si="18"/>
        <v>8</v>
      </c>
      <c r="AG23" s="17">
        <v>64.2</v>
      </c>
      <c r="AH23" s="17">
        <v>58.6</v>
      </c>
      <c r="AI23" s="17">
        <v>58.3</v>
      </c>
      <c r="AJ23" s="17">
        <v>61.6</v>
      </c>
      <c r="AK23" s="17">
        <v>60.6</v>
      </c>
      <c r="AL23">
        <f t="shared" si="19"/>
        <v>58.633636512404301</v>
      </c>
      <c r="AM23">
        <f t="shared" si="20"/>
        <v>58.634925470821848</v>
      </c>
      <c r="AN23">
        <f t="shared" si="21"/>
        <v>58.634925470821848</v>
      </c>
      <c r="AO23">
        <f t="shared" si="22"/>
        <v>58.633636512404301</v>
      </c>
      <c r="AP23">
        <f t="shared" si="23"/>
        <v>58.623326884816791</v>
      </c>
      <c r="AQ23">
        <f t="shared" si="24"/>
        <v>-5.5663634875957015</v>
      </c>
      <c r="AR23">
        <f t="shared" si="25"/>
        <v>3.4925470821846716E-2</v>
      </c>
      <c r="AS23">
        <f t="shared" si="26"/>
        <v>0.33492547082185098</v>
      </c>
      <c r="AT23">
        <f t="shared" si="27"/>
        <v>-2.9663634875957001</v>
      </c>
      <c r="AU23">
        <f t="shared" si="28"/>
        <v>-1.9766731151832104</v>
      </c>
      <c r="AV23">
        <f t="shared" si="29"/>
        <v>5.5663634875957015</v>
      </c>
      <c r="AW23">
        <f t="shared" si="30"/>
        <v>3.4925470821846716E-2</v>
      </c>
      <c r="AX23">
        <f t="shared" si="31"/>
        <v>0.33492547082185098</v>
      </c>
      <c r="AY23">
        <f t="shared" si="32"/>
        <v>2.9663634875957001</v>
      </c>
      <c r="AZ23">
        <f t="shared" si="33"/>
        <v>1.9766731151832104</v>
      </c>
      <c r="BA23">
        <f t="shared" si="34"/>
        <v>2.1758502064036618</v>
      </c>
      <c r="BD23">
        <v>0.56115000000000004</v>
      </c>
      <c r="BE23">
        <v>0.60294999999999999</v>
      </c>
      <c r="BF23">
        <v>0.77612000000000003</v>
      </c>
      <c r="BG23">
        <v>0.20956</v>
      </c>
      <c r="BI23">
        <v>55.38</v>
      </c>
      <c r="BJ23">
        <v>53.98</v>
      </c>
      <c r="BK23">
        <v>46.49</v>
      </c>
      <c r="BL23">
        <v>60.8</v>
      </c>
      <c r="BM23">
        <v>14141.068359999999</v>
      </c>
      <c r="BN23">
        <v>30388.54883</v>
      </c>
      <c r="BO23">
        <v>26077.472659999999</v>
      </c>
      <c r="BP23">
        <v>19363.70117</v>
      </c>
    </row>
    <row r="24" spans="1:68">
      <c r="A24">
        <v>226</v>
      </c>
      <c r="B24" t="s">
        <v>80</v>
      </c>
      <c r="C24" t="s">
        <v>80</v>
      </c>
      <c r="D24">
        <v>1079</v>
      </c>
      <c r="E24">
        <v>1176</v>
      </c>
      <c r="F24">
        <v>4</v>
      </c>
      <c r="G24">
        <v>0.26589000000000002</v>
      </c>
      <c r="H24">
        <v>61</v>
      </c>
      <c r="I24">
        <v>2100</v>
      </c>
      <c r="J24">
        <f t="shared" si="7"/>
        <v>5.1757581180582832</v>
      </c>
      <c r="K24">
        <v>1.28</v>
      </c>
      <c r="L24" s="4">
        <v>0.85899999999999999</v>
      </c>
      <c r="M24">
        <f t="shared" si="37"/>
        <v>2100</v>
      </c>
      <c r="N24">
        <f t="shared" si="38"/>
        <v>61</v>
      </c>
      <c r="O24">
        <v>45</v>
      </c>
      <c r="P24">
        <f t="shared" si="10"/>
        <v>46.666666666666664</v>
      </c>
      <c r="Q24">
        <f t="shared" si="11"/>
        <v>5.1757581180582832</v>
      </c>
      <c r="R24">
        <v>3</v>
      </c>
      <c r="S24" s="17">
        <v>5636.9721680000002</v>
      </c>
      <c r="T24" s="18">
        <f t="shared" si="12"/>
        <v>1878.9907226666667</v>
      </c>
      <c r="U24">
        <f t="shared" si="13"/>
        <v>0.89475748698412694</v>
      </c>
      <c r="V24" s="18">
        <v>-1</v>
      </c>
      <c r="W24" s="18">
        <v>-1</v>
      </c>
      <c r="X24" s="20">
        <f t="shared" si="14"/>
        <v>1</v>
      </c>
      <c r="Y24">
        <f t="shared" si="2"/>
        <v>56.782413694946037</v>
      </c>
      <c r="Z24">
        <f t="shared" si="3"/>
        <v>1878.9907226666667</v>
      </c>
      <c r="AA24">
        <f t="shared" si="4"/>
        <v>52.7360654075353</v>
      </c>
      <c r="AB24">
        <f t="shared" si="15"/>
        <v>1.009177687433657E-5</v>
      </c>
      <c r="AC24">
        <f t="shared" si="16"/>
        <v>6.4587371995754046E-4</v>
      </c>
      <c r="AD24">
        <f t="shared" si="17"/>
        <v>7</v>
      </c>
      <c r="AE24" s="13">
        <v>7.5</v>
      </c>
      <c r="AF24">
        <f t="shared" si="18"/>
        <v>8</v>
      </c>
      <c r="AG24" s="17">
        <v>62.9</v>
      </c>
      <c r="AH24" s="17">
        <v>60.4</v>
      </c>
      <c r="AI24" s="17">
        <v>59.7</v>
      </c>
      <c r="AJ24" s="17">
        <v>59.9</v>
      </c>
      <c r="AK24" s="17">
        <v>60.5</v>
      </c>
      <c r="AL24">
        <f t="shared" si="19"/>
        <v>52.735109467711929</v>
      </c>
      <c r="AM24">
        <f t="shared" si="20"/>
        <v>52.7360654075353</v>
      </c>
      <c r="AN24">
        <f t="shared" si="21"/>
        <v>52.7360654075353</v>
      </c>
      <c r="AO24">
        <f t="shared" si="22"/>
        <v>52.735109467711929</v>
      </c>
      <c r="AP24">
        <f t="shared" si="23"/>
        <v>52.72746319657422</v>
      </c>
      <c r="AQ24">
        <f t="shared" si="24"/>
        <v>-10.164890532288069</v>
      </c>
      <c r="AR24">
        <f t="shared" si="25"/>
        <v>-7.6639345924646989</v>
      </c>
      <c r="AS24">
        <f t="shared" si="26"/>
        <v>-6.9639345924647031</v>
      </c>
      <c r="AT24">
        <f t="shared" si="27"/>
        <v>-7.1648905322880694</v>
      </c>
      <c r="AU24">
        <f t="shared" si="28"/>
        <v>-7.7725368034257798</v>
      </c>
      <c r="AV24">
        <f t="shared" si="29"/>
        <v>10.164890532288069</v>
      </c>
      <c r="AW24">
        <f t="shared" si="30"/>
        <v>7.6639345924646989</v>
      </c>
      <c r="AX24">
        <f t="shared" si="31"/>
        <v>6.9639345924647031</v>
      </c>
      <c r="AY24">
        <f t="shared" si="32"/>
        <v>7.1648905322880694</v>
      </c>
      <c r="AZ24">
        <f t="shared" si="33"/>
        <v>7.7725368034257798</v>
      </c>
      <c r="BA24">
        <f t="shared" si="34"/>
        <v>7.9460374105862641</v>
      </c>
      <c r="BD24">
        <v>0.57799999999999996</v>
      </c>
      <c r="BE24">
        <v>0.62934000000000001</v>
      </c>
      <c r="BF24">
        <v>0.81018999999999997</v>
      </c>
      <c r="BG24">
        <v>0.28417999999999999</v>
      </c>
      <c r="BI24">
        <v>54.82</v>
      </c>
      <c r="BJ24">
        <v>52.98</v>
      </c>
      <c r="BK24">
        <v>44.8</v>
      </c>
      <c r="BL24">
        <v>60.42</v>
      </c>
      <c r="BM24">
        <v>14565.58301</v>
      </c>
      <c r="BN24">
        <v>31718.689450000002</v>
      </c>
      <c r="BO24">
        <v>27222.35742</v>
      </c>
      <c r="BP24">
        <v>26258.39258</v>
      </c>
    </row>
    <row r="25" spans="1:68">
      <c r="A25">
        <v>240</v>
      </c>
      <c r="B25" t="s">
        <v>81</v>
      </c>
      <c r="C25" t="s">
        <v>81</v>
      </c>
      <c r="D25">
        <v>1088</v>
      </c>
      <c r="E25">
        <v>1099</v>
      </c>
      <c r="F25">
        <v>3</v>
      </c>
      <c r="G25">
        <v>0.30946000000000001</v>
      </c>
      <c r="H25">
        <v>65</v>
      </c>
      <c r="I25">
        <v>2100</v>
      </c>
      <c r="J25">
        <f t="shared" si="7"/>
        <v>4.1836864539729977</v>
      </c>
      <c r="K25">
        <v>1.28</v>
      </c>
      <c r="L25" s="4">
        <v>0.85899999999999999</v>
      </c>
      <c r="M25">
        <f t="shared" si="37"/>
        <v>2100</v>
      </c>
      <c r="N25">
        <f t="shared" si="38"/>
        <v>65</v>
      </c>
      <c r="O25">
        <v>45</v>
      </c>
      <c r="P25">
        <f t="shared" si="10"/>
        <v>46.666666666666664</v>
      </c>
      <c r="Q25">
        <f t="shared" si="11"/>
        <v>4.1836864539729977</v>
      </c>
      <c r="R25">
        <v>3</v>
      </c>
      <c r="S25" s="17">
        <v>4728.9746089999999</v>
      </c>
      <c r="T25" s="18">
        <f t="shared" si="12"/>
        <v>1576.3248696666667</v>
      </c>
      <c r="U25">
        <f t="shared" si="13"/>
        <v>0.75063089031746033</v>
      </c>
      <c r="V25" s="18">
        <v>-1</v>
      </c>
      <c r="W25" s="18">
        <v>-1</v>
      </c>
      <c r="X25" s="20">
        <f t="shared" si="14"/>
        <v>1</v>
      </c>
      <c r="Y25">
        <f t="shared" si="2"/>
        <v>62.394368784794125</v>
      </c>
      <c r="Z25">
        <f t="shared" si="3"/>
        <v>1576.3248696666667</v>
      </c>
      <c r="AA25">
        <f t="shared" si="4"/>
        <v>63.970229623413886</v>
      </c>
      <c r="AB25">
        <f t="shared" si="15"/>
        <v>9.9169097954391145E-6</v>
      </c>
      <c r="AC25">
        <f t="shared" si="16"/>
        <v>6.3468222690810333E-4</v>
      </c>
      <c r="AD25">
        <f t="shared" si="17"/>
        <v>7</v>
      </c>
      <c r="AE25" s="13">
        <v>7.5</v>
      </c>
      <c r="AF25">
        <f t="shared" si="18"/>
        <v>8</v>
      </c>
      <c r="AG25" s="17">
        <v>68.5</v>
      </c>
      <c r="AH25" s="17">
        <v>64.099999999999994</v>
      </c>
      <c r="AI25" s="17">
        <v>66.099999999999994</v>
      </c>
      <c r="AJ25" s="17">
        <v>65.900000000000006</v>
      </c>
      <c r="AK25" s="17">
        <v>65.7</v>
      </c>
      <c r="AL25">
        <f t="shared" si="19"/>
        <v>63.968582010289047</v>
      </c>
      <c r="AM25">
        <f t="shared" si="20"/>
        <v>63.970229623413879</v>
      </c>
      <c r="AN25">
        <f t="shared" si="21"/>
        <v>63.970229623413879</v>
      </c>
      <c r="AO25">
        <f t="shared" si="22"/>
        <v>63.968582010289047</v>
      </c>
      <c r="AP25">
        <f t="shared" si="23"/>
        <v>63.955404160039848</v>
      </c>
      <c r="AQ25">
        <f t="shared" si="24"/>
        <v>-4.5314179897109526</v>
      </c>
      <c r="AR25">
        <f t="shared" si="25"/>
        <v>-0.12977037658611579</v>
      </c>
      <c r="AS25">
        <f t="shared" si="26"/>
        <v>-2.1297703765861158</v>
      </c>
      <c r="AT25">
        <f t="shared" si="27"/>
        <v>-1.9314179897109582</v>
      </c>
      <c r="AU25">
        <f t="shared" si="28"/>
        <v>-1.7445958399601551</v>
      </c>
      <c r="AV25">
        <f t="shared" si="29"/>
        <v>4.5314179897109526</v>
      </c>
      <c r="AW25">
        <f t="shared" si="30"/>
        <v>0.12977037658611579</v>
      </c>
      <c r="AX25">
        <f t="shared" si="31"/>
        <v>2.1297703765861158</v>
      </c>
      <c r="AY25">
        <f t="shared" si="32"/>
        <v>1.9314179897109582</v>
      </c>
      <c r="AZ25">
        <f t="shared" si="33"/>
        <v>1.7445958399601551</v>
      </c>
      <c r="BA25">
        <f t="shared" si="34"/>
        <v>2.0933945145108597</v>
      </c>
      <c r="BD25">
        <v>0.67962</v>
      </c>
      <c r="BE25">
        <v>0.53496999999999995</v>
      </c>
      <c r="BF25">
        <v>0.60828000000000004</v>
      </c>
      <c r="BG25">
        <v>0.17893999999999999</v>
      </c>
      <c r="BI25">
        <v>59.2</v>
      </c>
      <c r="BJ25">
        <v>62.21</v>
      </c>
      <c r="BK25">
        <v>60.83</v>
      </c>
      <c r="BL25">
        <v>64.930000000000007</v>
      </c>
      <c r="BM25">
        <v>12844.76953</v>
      </c>
      <c r="BN25">
        <v>20221.931639999999</v>
      </c>
      <c r="BO25">
        <v>15328.56445</v>
      </c>
      <c r="BP25">
        <v>12400.202149999999</v>
      </c>
    </row>
    <row r="26" spans="1:68">
      <c r="A26">
        <v>242</v>
      </c>
      <c r="B26" t="s">
        <v>82</v>
      </c>
      <c r="C26" t="s">
        <v>82</v>
      </c>
      <c r="D26">
        <v>1089</v>
      </c>
      <c r="E26">
        <v>1097</v>
      </c>
      <c r="F26">
        <v>2</v>
      </c>
      <c r="G26">
        <v>0.69938999999999996</v>
      </c>
      <c r="H26">
        <v>70</v>
      </c>
      <c r="I26">
        <v>2100</v>
      </c>
      <c r="J26">
        <f t="shared" si="7"/>
        <v>3.4190225827029095</v>
      </c>
      <c r="K26">
        <v>1.28</v>
      </c>
      <c r="L26" s="4">
        <v>0.85899999999999999</v>
      </c>
      <c r="M26">
        <f t="shared" si="37"/>
        <v>2100</v>
      </c>
      <c r="N26">
        <f t="shared" si="38"/>
        <v>70</v>
      </c>
      <c r="O26">
        <v>45</v>
      </c>
      <c r="P26">
        <f t="shared" si="10"/>
        <v>46.666666666666664</v>
      </c>
      <c r="Q26">
        <f t="shared" si="11"/>
        <v>3.4190225827029095</v>
      </c>
      <c r="R26">
        <v>3</v>
      </c>
      <c r="S26" s="17">
        <v>4825.015625</v>
      </c>
      <c r="T26" s="18">
        <f t="shared" si="12"/>
        <v>1608.3385416666667</v>
      </c>
      <c r="U26">
        <f t="shared" si="13"/>
        <v>0.76587549603174609</v>
      </c>
      <c r="V26" s="18">
        <v>-1</v>
      </c>
      <c r="W26" s="18">
        <v>-1</v>
      </c>
      <c r="X26" s="20">
        <f t="shared" si="14"/>
        <v>1</v>
      </c>
      <c r="Y26">
        <f t="shared" si="2"/>
        <v>65.247025616337353</v>
      </c>
      <c r="Z26">
        <f t="shared" si="3"/>
        <v>1608.3385416666667</v>
      </c>
      <c r="AA26">
        <f t="shared" si="4"/>
        <v>62.571589117401309</v>
      </c>
      <c r="AB26">
        <f t="shared" si="15"/>
        <v>9.9367724766290727E-6</v>
      </c>
      <c r="AC26">
        <f t="shared" si="16"/>
        <v>6.3595343850426065E-4</v>
      </c>
      <c r="AD26">
        <f t="shared" si="17"/>
        <v>7</v>
      </c>
      <c r="AE26" s="13">
        <v>7.5</v>
      </c>
      <c r="AF26">
        <f t="shared" si="18"/>
        <v>8</v>
      </c>
      <c r="AG26" s="17">
        <v>68.599999999999994</v>
      </c>
      <c r="AH26" s="17">
        <v>62.9</v>
      </c>
      <c r="AI26" s="17">
        <v>66.900000000000006</v>
      </c>
      <c r="AJ26" s="17">
        <v>66.2</v>
      </c>
      <c r="AK26" s="17">
        <v>66.5</v>
      </c>
      <c r="AL26">
        <f t="shared" si="19"/>
        <v>62.570041044262354</v>
      </c>
      <c r="AM26">
        <f t="shared" si="20"/>
        <v>62.571589117401309</v>
      </c>
      <c r="AN26">
        <f t="shared" si="21"/>
        <v>62.571589117401309</v>
      </c>
      <c r="AO26">
        <f t="shared" si="22"/>
        <v>62.570041044262354</v>
      </c>
      <c r="AP26">
        <f t="shared" si="23"/>
        <v>62.557659216249348</v>
      </c>
      <c r="AQ26">
        <f t="shared" si="24"/>
        <v>-6.0299589557376407</v>
      </c>
      <c r="AR26">
        <f t="shared" si="25"/>
        <v>-0.32841088259868911</v>
      </c>
      <c r="AS26">
        <f t="shared" si="26"/>
        <v>-4.3284108825986962</v>
      </c>
      <c r="AT26">
        <f t="shared" si="27"/>
        <v>-3.6299589557376493</v>
      </c>
      <c r="AU26">
        <f t="shared" si="28"/>
        <v>-3.9423407837506517</v>
      </c>
      <c r="AV26">
        <f t="shared" si="29"/>
        <v>6.0299589557376407</v>
      </c>
      <c r="AW26">
        <f t="shared" si="30"/>
        <v>0.32841088259868911</v>
      </c>
      <c r="AX26">
        <f t="shared" si="31"/>
        <v>4.3284108825986962</v>
      </c>
      <c r="AY26">
        <f t="shared" si="32"/>
        <v>3.6299589557376493</v>
      </c>
      <c r="AZ26">
        <f t="shared" si="33"/>
        <v>3.9423407837506517</v>
      </c>
      <c r="BA26">
        <f t="shared" si="34"/>
        <v>3.6518160920846654</v>
      </c>
      <c r="BD26">
        <v>0.82096000000000002</v>
      </c>
      <c r="BE26">
        <v>0.70186999999999999</v>
      </c>
      <c r="BF26">
        <v>0.81962999999999997</v>
      </c>
      <c r="BG26">
        <v>0.24213000000000001</v>
      </c>
      <c r="BI26">
        <v>57.11</v>
      </c>
      <c r="BJ26">
        <v>61.53</v>
      </c>
      <c r="BK26">
        <v>57.16</v>
      </c>
      <c r="BL26">
        <v>69.739999999999995</v>
      </c>
      <c r="BM26">
        <v>10344.134770000001</v>
      </c>
      <c r="BN26">
        <v>17687.183590000001</v>
      </c>
      <c r="BO26">
        <v>13769.86328</v>
      </c>
      <c r="BP26">
        <v>11186.499019999999</v>
      </c>
    </row>
    <row r="27" spans="1:68">
      <c r="A27">
        <v>250</v>
      </c>
      <c r="B27" t="s">
        <v>83</v>
      </c>
      <c r="C27" t="s">
        <v>83</v>
      </c>
      <c r="D27">
        <v>1093</v>
      </c>
      <c r="E27">
        <v>1216</v>
      </c>
      <c r="F27">
        <v>3</v>
      </c>
      <c r="G27">
        <v>0.73907999999999996</v>
      </c>
      <c r="H27">
        <v>65</v>
      </c>
      <c r="I27">
        <v>2100</v>
      </c>
      <c r="J27">
        <f t="shared" si="7"/>
        <v>4.1836864539729977</v>
      </c>
      <c r="K27">
        <v>1.28</v>
      </c>
      <c r="L27" s="4">
        <v>0.85899999999999999</v>
      </c>
      <c r="M27">
        <f t="shared" si="37"/>
        <v>2100</v>
      </c>
      <c r="N27">
        <f t="shared" si="38"/>
        <v>65</v>
      </c>
      <c r="O27">
        <v>45</v>
      </c>
      <c r="P27">
        <f t="shared" si="10"/>
        <v>46.666666666666664</v>
      </c>
      <c r="Q27">
        <f t="shared" si="11"/>
        <v>4.1836864539729977</v>
      </c>
      <c r="R27">
        <v>3</v>
      </c>
      <c r="S27" s="17">
        <v>4819.1123049999997</v>
      </c>
      <c r="T27" s="18">
        <f t="shared" si="12"/>
        <v>1606.3707683333332</v>
      </c>
      <c r="U27">
        <f t="shared" si="13"/>
        <v>0.76493846111111108</v>
      </c>
      <c r="V27" s="18">
        <v>-1</v>
      </c>
      <c r="W27" s="18">
        <v>-1</v>
      </c>
      <c r="X27" s="20">
        <f t="shared" si="14"/>
        <v>1</v>
      </c>
      <c r="Y27">
        <f t="shared" si="2"/>
        <v>62.15112268868733</v>
      </c>
      <c r="Z27">
        <f t="shared" si="3"/>
        <v>1606.3707683333332</v>
      </c>
      <c r="AA27">
        <f t="shared" si="4"/>
        <v>62.655871355267806</v>
      </c>
      <c r="AB27">
        <f t="shared" si="15"/>
        <v>9.9355618989277457E-6</v>
      </c>
      <c r="AC27">
        <f t="shared" si="16"/>
        <v>6.3587596153137573E-4</v>
      </c>
      <c r="AD27">
        <f t="shared" si="17"/>
        <v>7</v>
      </c>
      <c r="AE27" s="13">
        <v>7.5</v>
      </c>
      <c r="AF27">
        <f t="shared" si="18"/>
        <v>8</v>
      </c>
      <c r="AG27" s="17">
        <v>69.3</v>
      </c>
      <c r="AH27" s="17">
        <v>67.900000000000006</v>
      </c>
      <c r="AI27" s="17">
        <v>66.599999999999994</v>
      </c>
      <c r="AJ27" s="17">
        <v>65.8</v>
      </c>
      <c r="AK27" s="17">
        <v>66</v>
      </c>
      <c r="AL27">
        <f t="shared" si="19"/>
        <v>62.654317396855923</v>
      </c>
      <c r="AM27">
        <f t="shared" si="20"/>
        <v>62.655871355267813</v>
      </c>
      <c r="AN27">
        <f t="shared" si="21"/>
        <v>62.655871355267813</v>
      </c>
      <c r="AO27">
        <f t="shared" si="22"/>
        <v>62.654317396855923</v>
      </c>
      <c r="AP27">
        <f t="shared" si="23"/>
        <v>62.641888503924193</v>
      </c>
      <c r="AQ27">
        <f t="shared" si="24"/>
        <v>-6.6456826031440741</v>
      </c>
      <c r="AR27">
        <f t="shared" si="25"/>
        <v>-5.2441286447321929</v>
      </c>
      <c r="AS27">
        <f t="shared" si="26"/>
        <v>-3.9441286447321815</v>
      </c>
      <c r="AT27">
        <f t="shared" si="27"/>
        <v>-3.1456826031440741</v>
      </c>
      <c r="AU27">
        <f t="shared" si="28"/>
        <v>-3.3581114960758072</v>
      </c>
      <c r="AV27">
        <f t="shared" si="29"/>
        <v>6.6456826031440741</v>
      </c>
      <c r="AW27">
        <f t="shared" si="30"/>
        <v>5.2441286447321929</v>
      </c>
      <c r="AX27">
        <f t="shared" si="31"/>
        <v>3.9441286447321815</v>
      </c>
      <c r="AY27">
        <f t="shared" si="32"/>
        <v>3.1456826031440741</v>
      </c>
      <c r="AZ27">
        <f t="shared" si="33"/>
        <v>3.3581114960758072</v>
      </c>
      <c r="BA27">
        <f t="shared" si="34"/>
        <v>4.4675467983656656</v>
      </c>
      <c r="BD27">
        <v>0.35448000000000002</v>
      </c>
      <c r="BE27">
        <v>0.53759999999999997</v>
      </c>
      <c r="BF27">
        <v>0.83543000000000001</v>
      </c>
      <c r="BG27">
        <v>0.26014999999999999</v>
      </c>
      <c r="BI27">
        <v>64.290000000000006</v>
      </c>
      <c r="BJ27">
        <v>62.17</v>
      </c>
      <c r="BK27">
        <v>54.91</v>
      </c>
      <c r="BL27">
        <v>64.75</v>
      </c>
      <c r="BM27">
        <v>6699.6689500000002</v>
      </c>
      <c r="BN27">
        <v>20321.132809999999</v>
      </c>
      <c r="BO27">
        <v>21052.855469999999</v>
      </c>
      <c r="BP27">
        <v>18028.449219999999</v>
      </c>
    </row>
    <row r="28" spans="1:68">
      <c r="A28">
        <v>252</v>
      </c>
      <c r="B28" t="s">
        <v>84</v>
      </c>
      <c r="C28" t="s">
        <v>84</v>
      </c>
      <c r="D28">
        <v>1094</v>
      </c>
      <c r="E28">
        <v>1145</v>
      </c>
      <c r="F28">
        <v>3</v>
      </c>
      <c r="G28">
        <v>0.62436999999999998</v>
      </c>
      <c r="H28">
        <v>65</v>
      </c>
      <c r="I28">
        <v>2100</v>
      </c>
      <c r="J28">
        <f t="shared" si="7"/>
        <v>4.1836864539729977</v>
      </c>
      <c r="K28">
        <v>1.28</v>
      </c>
      <c r="L28" s="4">
        <v>0.85899999999999999</v>
      </c>
      <c r="M28">
        <f t="shared" si="37"/>
        <v>2100</v>
      </c>
      <c r="N28">
        <f t="shared" si="38"/>
        <v>65</v>
      </c>
      <c r="O28">
        <v>45</v>
      </c>
      <c r="P28">
        <f t="shared" si="10"/>
        <v>46.666666666666664</v>
      </c>
      <c r="Q28">
        <f t="shared" si="11"/>
        <v>4.1836864539729977</v>
      </c>
      <c r="R28">
        <v>3</v>
      </c>
      <c r="S28" s="17">
        <v>4750.75</v>
      </c>
      <c r="T28" s="18">
        <f t="shared" si="12"/>
        <v>1583.5833333333333</v>
      </c>
      <c r="U28">
        <f t="shared" si="13"/>
        <v>0.75408730158730153</v>
      </c>
      <c r="V28" s="18">
        <v>-1</v>
      </c>
      <c r="W28" s="18">
        <v>-1</v>
      </c>
      <c r="X28" s="20">
        <f t="shared" si="14"/>
        <v>1</v>
      </c>
      <c r="Y28">
        <f t="shared" si="2"/>
        <v>62.337426900245937</v>
      </c>
      <c r="Z28">
        <f t="shared" si="3"/>
        <v>1583.5833333333333</v>
      </c>
      <c r="AA28">
        <f t="shared" si="4"/>
        <v>63.647910831233894</v>
      </c>
      <c r="AB28">
        <f t="shared" si="15"/>
        <v>9.921444896979961E-6</v>
      </c>
      <c r="AC28">
        <f t="shared" si="16"/>
        <v>6.3497247340671751E-4</v>
      </c>
      <c r="AD28">
        <f t="shared" si="17"/>
        <v>7</v>
      </c>
      <c r="AE28" s="13">
        <v>7.5</v>
      </c>
      <c r="AF28">
        <f t="shared" si="18"/>
        <v>8</v>
      </c>
      <c r="AG28" s="17">
        <v>68.900000000000006</v>
      </c>
      <c r="AH28" s="17">
        <v>67.599999999999994</v>
      </c>
      <c r="AI28" s="17">
        <v>66.2</v>
      </c>
      <c r="AJ28" s="17">
        <v>65.900000000000006</v>
      </c>
      <c r="AK28" s="17">
        <v>65.900000000000006</v>
      </c>
      <c r="AL28">
        <f t="shared" si="19"/>
        <v>63.646286512703242</v>
      </c>
      <c r="AM28">
        <f t="shared" si="20"/>
        <v>63.647910831233894</v>
      </c>
      <c r="AN28">
        <f t="shared" si="21"/>
        <v>63.647910831233894</v>
      </c>
      <c r="AO28">
        <f t="shared" si="22"/>
        <v>63.646286512703242</v>
      </c>
      <c r="AP28">
        <f t="shared" si="23"/>
        <v>63.633294948480355</v>
      </c>
      <c r="AQ28">
        <f t="shared" si="24"/>
        <v>-5.2537134872967641</v>
      </c>
      <c r="AR28">
        <f t="shared" si="25"/>
        <v>-3.9520891687661006</v>
      </c>
      <c r="AS28">
        <f t="shared" si="26"/>
        <v>-2.5520891687661091</v>
      </c>
      <c r="AT28">
        <f t="shared" si="27"/>
        <v>-2.2537134872967641</v>
      </c>
      <c r="AU28">
        <f t="shared" si="28"/>
        <v>-2.2667050515196507</v>
      </c>
      <c r="AV28">
        <f t="shared" si="29"/>
        <v>5.2537134872967641</v>
      </c>
      <c r="AW28">
        <f t="shared" si="30"/>
        <v>3.9520891687661006</v>
      </c>
      <c r="AX28">
        <f t="shared" si="31"/>
        <v>2.5520891687661091</v>
      </c>
      <c r="AY28">
        <f t="shared" si="32"/>
        <v>2.2537134872967641</v>
      </c>
      <c r="AZ28">
        <f t="shared" si="33"/>
        <v>2.2667050515196507</v>
      </c>
      <c r="BA28">
        <f t="shared" si="34"/>
        <v>3.2556620727290779</v>
      </c>
      <c r="BD28">
        <v>0.36092000000000002</v>
      </c>
      <c r="BE28">
        <v>0.49237999999999998</v>
      </c>
      <c r="BF28">
        <v>0.71409999999999996</v>
      </c>
      <c r="BG28">
        <v>0.24690999999999999</v>
      </c>
      <c r="BI28">
        <v>64.239999999999995</v>
      </c>
      <c r="BJ28">
        <v>62.87</v>
      </c>
      <c r="BK28">
        <v>58.32</v>
      </c>
      <c r="BL28">
        <v>64.8</v>
      </c>
      <c r="BM28">
        <v>6821.4145500000004</v>
      </c>
      <c r="BN28">
        <v>18612.078130000002</v>
      </c>
      <c r="BO28">
        <v>17995.40625</v>
      </c>
      <c r="BP28">
        <v>17111.021479999999</v>
      </c>
    </row>
    <row r="29" spans="1:68">
      <c r="A29">
        <v>253</v>
      </c>
      <c r="B29" t="s">
        <v>85</v>
      </c>
      <c r="C29" t="s">
        <v>85</v>
      </c>
      <c r="D29">
        <v>1095</v>
      </c>
      <c r="E29">
        <v>1190</v>
      </c>
      <c r="F29">
        <v>2</v>
      </c>
      <c r="G29">
        <v>0.61685000000000001</v>
      </c>
      <c r="H29">
        <v>70</v>
      </c>
      <c r="I29">
        <v>2100</v>
      </c>
      <c r="J29">
        <f t="shared" si="7"/>
        <v>3.4190225827029095</v>
      </c>
      <c r="K29">
        <v>1.28</v>
      </c>
      <c r="L29" s="4">
        <v>0.85899999999999999</v>
      </c>
      <c r="M29">
        <f t="shared" si="37"/>
        <v>2100</v>
      </c>
      <c r="N29">
        <f t="shared" si="38"/>
        <v>70</v>
      </c>
      <c r="O29">
        <v>45</v>
      </c>
      <c r="P29">
        <f t="shared" si="10"/>
        <v>46.666666666666664</v>
      </c>
      <c r="Q29">
        <f t="shared" si="11"/>
        <v>3.4190225827029095</v>
      </c>
      <c r="R29">
        <v>3</v>
      </c>
      <c r="S29" s="17">
        <v>4575.8862300000001</v>
      </c>
      <c r="T29" s="18">
        <f t="shared" si="12"/>
        <v>1525.2954099999999</v>
      </c>
      <c r="U29">
        <f t="shared" si="13"/>
        <v>0.7263311476190476</v>
      </c>
      <c r="V29" s="18">
        <v>-1</v>
      </c>
      <c r="W29" s="18">
        <v>-1</v>
      </c>
      <c r="X29" s="20">
        <f t="shared" si="14"/>
        <v>1</v>
      </c>
      <c r="Y29">
        <f t="shared" si="2"/>
        <v>66.144703041289659</v>
      </c>
      <c r="Z29">
        <f t="shared" si="3"/>
        <v>1525.2954099999999</v>
      </c>
      <c r="AA29">
        <f t="shared" si="4"/>
        <v>66.327249810737484</v>
      </c>
      <c r="AB29">
        <f t="shared" si="15"/>
        <v>9.8844849963132626E-6</v>
      </c>
      <c r="AC29">
        <f t="shared" si="16"/>
        <v>6.3260703976404881E-4</v>
      </c>
      <c r="AD29">
        <f t="shared" si="17"/>
        <v>7</v>
      </c>
      <c r="AE29" s="13">
        <v>7.5</v>
      </c>
      <c r="AF29">
        <f t="shared" si="18"/>
        <v>8</v>
      </c>
      <c r="AG29" s="17">
        <v>63.1</v>
      </c>
      <c r="AH29" s="17">
        <v>62.9</v>
      </c>
      <c r="AI29" s="17">
        <v>62.7</v>
      </c>
      <c r="AJ29" s="17">
        <v>63.2</v>
      </c>
      <c r="AK29" s="17">
        <v>62.4</v>
      </c>
      <c r="AL29">
        <f t="shared" si="19"/>
        <v>66.325425276192178</v>
      </c>
      <c r="AM29">
        <f t="shared" si="20"/>
        <v>66.327249810737484</v>
      </c>
      <c r="AN29">
        <f t="shared" si="21"/>
        <v>66.327249810737484</v>
      </c>
      <c r="AO29">
        <f t="shared" si="22"/>
        <v>66.325425276192178</v>
      </c>
      <c r="AP29">
        <f t="shared" si="23"/>
        <v>66.310832612673067</v>
      </c>
      <c r="AQ29">
        <f t="shared" si="24"/>
        <v>3.2254252761921762</v>
      </c>
      <c r="AR29">
        <f t="shared" si="25"/>
        <v>3.4272498107374858</v>
      </c>
      <c r="AS29">
        <f t="shared" si="26"/>
        <v>3.6272498107374815</v>
      </c>
      <c r="AT29">
        <f t="shared" si="27"/>
        <v>3.1254252761921748</v>
      </c>
      <c r="AU29">
        <f t="shared" si="28"/>
        <v>3.9108326126730688</v>
      </c>
      <c r="AV29">
        <f t="shared" si="29"/>
        <v>3.2254252761921762</v>
      </c>
      <c r="AW29">
        <f t="shared" si="30"/>
        <v>3.4272498107374858</v>
      </c>
      <c r="AX29">
        <f t="shared" si="31"/>
        <v>3.6272498107374815</v>
      </c>
      <c r="AY29">
        <f t="shared" si="32"/>
        <v>3.1254252761921748</v>
      </c>
      <c r="AZ29">
        <f t="shared" si="33"/>
        <v>3.9108326126730688</v>
      </c>
      <c r="BA29">
        <f t="shared" si="34"/>
        <v>3.4632365573064776</v>
      </c>
      <c r="BD29">
        <v>0.46515000000000001</v>
      </c>
      <c r="BE29">
        <v>0.55227999999999999</v>
      </c>
      <c r="BF29">
        <v>0.71874000000000005</v>
      </c>
      <c r="BG29">
        <v>0.23977999999999999</v>
      </c>
      <c r="BI29">
        <v>67.64</v>
      </c>
      <c r="BJ29">
        <v>65.900000000000006</v>
      </c>
      <c r="BK29">
        <v>60.93</v>
      </c>
      <c r="BL29">
        <v>69.75</v>
      </c>
      <c r="BM29">
        <v>5860.9311500000003</v>
      </c>
      <c r="BN29">
        <v>13917.43262</v>
      </c>
      <c r="BO29">
        <v>12074.827149999999</v>
      </c>
      <c r="BP29">
        <v>11077.896479999999</v>
      </c>
    </row>
    <row r="30" spans="1:68">
      <c r="A30">
        <v>255</v>
      </c>
      <c r="B30" t="s">
        <v>86</v>
      </c>
      <c r="C30" t="s">
        <v>86</v>
      </c>
      <c r="D30">
        <v>1097</v>
      </c>
      <c r="E30">
        <v>1101</v>
      </c>
      <c r="F30">
        <v>2</v>
      </c>
      <c r="G30">
        <v>0.37574000000000002</v>
      </c>
      <c r="H30">
        <v>70</v>
      </c>
      <c r="I30">
        <v>2100</v>
      </c>
      <c r="J30">
        <f t="shared" si="7"/>
        <v>3.4190225827029095</v>
      </c>
      <c r="K30">
        <v>1.28</v>
      </c>
      <c r="L30" s="4">
        <v>0.85899999999999999</v>
      </c>
      <c r="M30">
        <f t="shared" si="37"/>
        <v>2100</v>
      </c>
      <c r="N30">
        <f t="shared" si="38"/>
        <v>70</v>
      </c>
      <c r="O30">
        <v>45</v>
      </c>
      <c r="P30">
        <f t="shared" si="10"/>
        <v>46.666666666666664</v>
      </c>
      <c r="Q30">
        <f t="shared" si="11"/>
        <v>3.4190225827029095</v>
      </c>
      <c r="R30">
        <v>3</v>
      </c>
      <c r="S30" s="17">
        <v>4825.015625</v>
      </c>
      <c r="T30" s="18">
        <f t="shared" si="12"/>
        <v>1608.3385416666667</v>
      </c>
      <c r="U30">
        <f t="shared" si="13"/>
        <v>0.76587549603174609</v>
      </c>
      <c r="V30" s="18">
        <v>-1</v>
      </c>
      <c r="W30" s="18">
        <v>-1</v>
      </c>
      <c r="X30" s="20">
        <f t="shared" si="14"/>
        <v>1</v>
      </c>
      <c r="Y30">
        <f t="shared" si="2"/>
        <v>65.247025616337353</v>
      </c>
      <c r="Z30">
        <f t="shared" si="3"/>
        <v>1608.3385416666667</v>
      </c>
      <c r="AA30">
        <f t="shared" si="4"/>
        <v>62.571589117401309</v>
      </c>
      <c r="AB30">
        <f t="shared" si="15"/>
        <v>9.9367724766290727E-6</v>
      </c>
      <c r="AC30">
        <f t="shared" si="16"/>
        <v>6.3595343850426065E-4</v>
      </c>
      <c r="AD30">
        <f t="shared" si="17"/>
        <v>7</v>
      </c>
      <c r="AE30" s="13">
        <v>7.5</v>
      </c>
      <c r="AF30">
        <f t="shared" si="18"/>
        <v>8</v>
      </c>
      <c r="AG30" s="17">
        <v>68.599999999999994</v>
      </c>
      <c r="AH30" s="17">
        <v>62.9</v>
      </c>
      <c r="AI30" s="17">
        <v>66.900000000000006</v>
      </c>
      <c r="AJ30" s="17">
        <v>66.2</v>
      </c>
      <c r="AK30" s="17">
        <v>66.5</v>
      </c>
      <c r="AL30">
        <f t="shared" si="19"/>
        <v>62.570041044262354</v>
      </c>
      <c r="AM30">
        <f t="shared" si="20"/>
        <v>62.571589117401309</v>
      </c>
      <c r="AN30">
        <f t="shared" si="21"/>
        <v>62.571589117401309</v>
      </c>
      <c r="AO30">
        <f t="shared" si="22"/>
        <v>62.570041044262354</v>
      </c>
      <c r="AP30">
        <f t="shared" si="23"/>
        <v>62.557659216249348</v>
      </c>
      <c r="AQ30">
        <f t="shared" si="24"/>
        <v>-6.0299589557376407</v>
      </c>
      <c r="AR30">
        <f t="shared" si="25"/>
        <v>-0.32841088259868911</v>
      </c>
      <c r="AS30">
        <f t="shared" si="26"/>
        <v>-4.3284108825986962</v>
      </c>
      <c r="AT30">
        <f t="shared" si="27"/>
        <v>-3.6299589557376493</v>
      </c>
      <c r="AU30">
        <f t="shared" si="28"/>
        <v>-3.9423407837506517</v>
      </c>
      <c r="AV30">
        <f t="shared" si="29"/>
        <v>6.0299589557376407</v>
      </c>
      <c r="AW30">
        <f t="shared" si="30"/>
        <v>0.32841088259868911</v>
      </c>
      <c r="AX30">
        <f t="shared" si="31"/>
        <v>4.3284108825986962</v>
      </c>
      <c r="AY30">
        <f t="shared" si="32"/>
        <v>3.6299589557376493</v>
      </c>
      <c r="AZ30">
        <f t="shared" si="33"/>
        <v>3.9423407837506517</v>
      </c>
      <c r="BA30">
        <f t="shared" si="34"/>
        <v>3.6518160920846654</v>
      </c>
      <c r="BD30">
        <v>0.84858</v>
      </c>
      <c r="BE30">
        <v>0.71667999999999998</v>
      </c>
      <c r="BF30">
        <v>0.84350999999999998</v>
      </c>
      <c r="BG30">
        <v>0.24635000000000001</v>
      </c>
      <c r="BI30">
        <v>56.03</v>
      </c>
      <c r="BJ30">
        <v>61.01</v>
      </c>
      <c r="BK30">
        <v>56.23</v>
      </c>
      <c r="BL30">
        <v>69.73</v>
      </c>
      <c r="BM30">
        <v>10692.05566</v>
      </c>
      <c r="BN30">
        <v>18060.375</v>
      </c>
      <c r="BO30">
        <v>14170.97754</v>
      </c>
      <c r="BP30">
        <v>11381.433590000001</v>
      </c>
    </row>
    <row r="31" spans="1:68">
      <c r="A31">
        <v>260</v>
      </c>
      <c r="B31" t="s">
        <v>87</v>
      </c>
      <c r="C31" t="s">
        <v>87</v>
      </c>
      <c r="D31">
        <v>1099</v>
      </c>
      <c r="E31">
        <v>1102</v>
      </c>
      <c r="F31">
        <v>3</v>
      </c>
      <c r="G31">
        <v>0.64205999999999996</v>
      </c>
      <c r="H31">
        <v>65</v>
      </c>
      <c r="I31">
        <v>2100</v>
      </c>
      <c r="J31">
        <f t="shared" si="7"/>
        <v>4.1836864539729977</v>
      </c>
      <c r="K31">
        <v>1.28</v>
      </c>
      <c r="L31" s="4">
        <v>0.85899999999999999</v>
      </c>
      <c r="M31">
        <f t="shared" ref="M31:M40" si="39">I31</f>
        <v>2100</v>
      </c>
      <c r="N31">
        <f t="shared" ref="N31:N40" si="40">H31</f>
        <v>65</v>
      </c>
      <c r="O31">
        <v>45</v>
      </c>
      <c r="P31">
        <f t="shared" si="10"/>
        <v>46.666666666666664</v>
      </c>
      <c r="Q31">
        <f t="shared" si="11"/>
        <v>4.1836864539729977</v>
      </c>
      <c r="R31">
        <v>3</v>
      </c>
      <c r="S31" s="17">
        <v>4399.8227539999998</v>
      </c>
      <c r="T31" s="18">
        <f t="shared" si="12"/>
        <v>1466.6075846666665</v>
      </c>
      <c r="U31">
        <f t="shared" si="13"/>
        <v>0.69838456412698402</v>
      </c>
      <c r="V31" s="18">
        <v>-1</v>
      </c>
      <c r="W31" s="18">
        <v>-1</v>
      </c>
      <c r="X31" s="20">
        <f t="shared" si="14"/>
        <v>1</v>
      </c>
      <c r="Y31">
        <f t="shared" si="2"/>
        <v>63.131811586494848</v>
      </c>
      <c r="Z31">
        <f t="shared" si="3"/>
        <v>1466.6075846666665</v>
      </c>
      <c r="AA31">
        <f t="shared" si="4"/>
        <v>69.251287369893319</v>
      </c>
      <c r="AB31">
        <f t="shared" si="15"/>
        <v>9.8459635138400461E-6</v>
      </c>
      <c r="AC31">
        <f t="shared" si="16"/>
        <v>6.3014166488576295E-4</v>
      </c>
      <c r="AD31">
        <f t="shared" si="17"/>
        <v>7</v>
      </c>
      <c r="AE31" s="13">
        <v>7.5</v>
      </c>
      <c r="AF31">
        <f t="shared" si="18"/>
        <v>8</v>
      </c>
      <c r="AG31" s="17">
        <v>70</v>
      </c>
      <c r="AH31" s="17">
        <v>67</v>
      </c>
      <c r="AI31" s="17">
        <v>67.8</v>
      </c>
      <c r="AJ31" s="17">
        <v>67.400000000000006</v>
      </c>
      <c r="AK31" s="17">
        <v>66.8</v>
      </c>
      <c r="AL31">
        <f t="shared" si="19"/>
        <v>69.249226896314724</v>
      </c>
      <c r="AM31">
        <f t="shared" si="20"/>
        <v>69.251287369893319</v>
      </c>
      <c r="AN31">
        <f t="shared" si="21"/>
        <v>69.251287369893319</v>
      </c>
      <c r="AO31">
        <f t="shared" si="22"/>
        <v>69.249226896314724</v>
      </c>
      <c r="AP31">
        <f t="shared" si="23"/>
        <v>69.232747520700713</v>
      </c>
      <c r="AQ31">
        <f t="shared" si="24"/>
        <v>-0.75077310368527606</v>
      </c>
      <c r="AR31">
        <f t="shared" si="25"/>
        <v>2.2512873698933191</v>
      </c>
      <c r="AS31">
        <f t="shared" si="26"/>
        <v>1.451287369893322</v>
      </c>
      <c r="AT31">
        <f t="shared" si="27"/>
        <v>1.8492268963147183</v>
      </c>
      <c r="AU31">
        <f t="shared" si="28"/>
        <v>2.4327475207007154</v>
      </c>
      <c r="AV31">
        <f t="shared" si="29"/>
        <v>0.75077310368527606</v>
      </c>
      <c r="AW31">
        <f t="shared" si="30"/>
        <v>2.2512873698933191</v>
      </c>
      <c r="AX31">
        <f t="shared" si="31"/>
        <v>1.451287369893322</v>
      </c>
      <c r="AY31">
        <f t="shared" si="32"/>
        <v>1.8492268963147183</v>
      </c>
      <c r="AZ31">
        <f t="shared" si="33"/>
        <v>2.4327475207007154</v>
      </c>
      <c r="BA31">
        <f t="shared" si="34"/>
        <v>1.7470644520974701</v>
      </c>
      <c r="BD31">
        <v>0.61360999999999999</v>
      </c>
      <c r="BE31">
        <v>0.47310000000000002</v>
      </c>
      <c r="BF31">
        <v>0.53537000000000001</v>
      </c>
      <c r="BG31">
        <v>0.16311</v>
      </c>
      <c r="BI31">
        <v>60.72</v>
      </c>
      <c r="BJ31">
        <v>63.12</v>
      </c>
      <c r="BK31">
        <v>62.2</v>
      </c>
      <c r="BL31">
        <v>64.95</v>
      </c>
      <c r="BM31">
        <v>11597.253909999999</v>
      </c>
      <c r="BN31">
        <v>17883.023440000001</v>
      </c>
      <c r="BO31">
        <v>13491.43945</v>
      </c>
      <c r="BP31">
        <v>11303.516600000001</v>
      </c>
    </row>
    <row r="32" spans="1:68">
      <c r="A32">
        <v>264</v>
      </c>
      <c r="B32" t="s">
        <v>88</v>
      </c>
      <c r="C32" t="s">
        <v>88</v>
      </c>
      <c r="D32">
        <v>1101</v>
      </c>
      <c r="E32">
        <v>1088</v>
      </c>
      <c r="F32">
        <v>3</v>
      </c>
      <c r="G32">
        <v>0.62180999999999997</v>
      </c>
      <c r="H32">
        <v>65</v>
      </c>
      <c r="I32">
        <v>2100</v>
      </c>
      <c r="J32">
        <f t="shared" si="7"/>
        <v>4.1836864539729977</v>
      </c>
      <c r="K32">
        <v>1.28</v>
      </c>
      <c r="L32" s="4">
        <v>0.85899999999999999</v>
      </c>
      <c r="M32">
        <f t="shared" si="39"/>
        <v>2100</v>
      </c>
      <c r="N32">
        <f t="shared" si="40"/>
        <v>65</v>
      </c>
      <c r="O32">
        <v>45</v>
      </c>
      <c r="P32">
        <f t="shared" si="10"/>
        <v>46.666666666666664</v>
      </c>
      <c r="Q32">
        <f t="shared" si="11"/>
        <v>4.1836864539729977</v>
      </c>
      <c r="R32">
        <v>3</v>
      </c>
      <c r="S32" s="17">
        <v>4995.9570309999999</v>
      </c>
      <c r="T32" s="18">
        <f t="shared" si="12"/>
        <v>1665.3190103333334</v>
      </c>
      <c r="U32">
        <f t="shared" si="13"/>
        <v>0.79300905253968257</v>
      </c>
      <c r="V32" s="18">
        <v>-1</v>
      </c>
      <c r="W32" s="18">
        <v>-1</v>
      </c>
      <c r="X32" s="20">
        <f t="shared" si="14"/>
        <v>1</v>
      </c>
      <c r="Y32">
        <f t="shared" si="2"/>
        <v>61.610723188153528</v>
      </c>
      <c r="Z32">
        <f t="shared" si="3"/>
        <v>1665.3190103333334</v>
      </c>
      <c r="AA32">
        <f t="shared" si="4"/>
        <v>60.221625661828256</v>
      </c>
      <c r="AB32">
        <f t="shared" si="15"/>
        <v>9.9712610261274281E-6</v>
      </c>
      <c r="AC32">
        <f t="shared" si="16"/>
        <v>6.381607056721554E-4</v>
      </c>
      <c r="AD32">
        <f t="shared" si="17"/>
        <v>7</v>
      </c>
      <c r="AE32" s="13">
        <v>7.5</v>
      </c>
      <c r="AF32">
        <f t="shared" si="18"/>
        <v>8</v>
      </c>
      <c r="AG32" s="17">
        <v>68.099999999999994</v>
      </c>
      <c r="AH32" s="17">
        <v>63.1</v>
      </c>
      <c r="AI32" s="17">
        <v>66</v>
      </c>
      <c r="AJ32" s="17">
        <v>66.599999999999994</v>
      </c>
      <c r="AK32" s="17">
        <v>66</v>
      </c>
      <c r="AL32">
        <f t="shared" si="19"/>
        <v>60.220235941061617</v>
      </c>
      <c r="AM32">
        <f t="shared" si="20"/>
        <v>60.221625661828263</v>
      </c>
      <c r="AN32">
        <f t="shared" si="21"/>
        <v>60.221625661828263</v>
      </c>
      <c r="AO32">
        <f t="shared" si="22"/>
        <v>60.220235941061617</v>
      </c>
      <c r="AP32">
        <f t="shared" si="23"/>
        <v>60.20912048356174</v>
      </c>
      <c r="AQ32">
        <f t="shared" si="24"/>
        <v>-7.8797640589383775</v>
      </c>
      <c r="AR32">
        <f t="shared" si="25"/>
        <v>-2.8783743381717386</v>
      </c>
      <c r="AS32">
        <f t="shared" si="26"/>
        <v>-5.7783743381717372</v>
      </c>
      <c r="AT32">
        <f t="shared" si="27"/>
        <v>-6.3797640589383775</v>
      </c>
      <c r="AU32">
        <f t="shared" si="28"/>
        <v>-5.7908795164382596</v>
      </c>
      <c r="AV32">
        <f t="shared" si="29"/>
        <v>7.8797640589383775</v>
      </c>
      <c r="AW32">
        <f t="shared" si="30"/>
        <v>2.8783743381717386</v>
      </c>
      <c r="AX32">
        <f t="shared" si="31"/>
        <v>5.7783743381717372</v>
      </c>
      <c r="AY32">
        <f t="shared" si="32"/>
        <v>6.3797640589383775</v>
      </c>
      <c r="AZ32">
        <f t="shared" si="33"/>
        <v>5.7908795164382596</v>
      </c>
      <c r="BA32">
        <f t="shared" si="34"/>
        <v>5.7414312621316981</v>
      </c>
      <c r="BD32">
        <v>0.53917000000000004</v>
      </c>
      <c r="BE32">
        <v>0.44524000000000002</v>
      </c>
      <c r="BF32">
        <v>0.52695000000000003</v>
      </c>
      <c r="BG32">
        <v>0.15620000000000001</v>
      </c>
      <c r="BI32">
        <v>62.14</v>
      </c>
      <c r="BJ32">
        <v>63.48</v>
      </c>
      <c r="BK32">
        <v>62.34</v>
      </c>
      <c r="BL32">
        <v>64.959999999999994</v>
      </c>
      <c r="BM32">
        <v>10190.268550000001</v>
      </c>
      <c r="BN32">
        <v>16830.015630000002</v>
      </c>
      <c r="BO32">
        <v>13279.02246</v>
      </c>
      <c r="BP32">
        <v>10824.893550000001</v>
      </c>
    </row>
    <row r="33" spans="1:68">
      <c r="A33">
        <v>266</v>
      </c>
      <c r="B33" t="s">
        <v>89</v>
      </c>
      <c r="C33" t="s">
        <v>89</v>
      </c>
      <c r="D33">
        <v>1102</v>
      </c>
      <c r="E33">
        <v>1001</v>
      </c>
      <c r="F33">
        <v>3</v>
      </c>
      <c r="G33">
        <v>0.34847</v>
      </c>
      <c r="H33">
        <v>65</v>
      </c>
      <c r="I33">
        <v>2100</v>
      </c>
      <c r="J33">
        <f t="shared" si="7"/>
        <v>4.1836864539729977</v>
      </c>
      <c r="K33">
        <v>1.28</v>
      </c>
      <c r="L33" s="4">
        <v>0.85899999999999999</v>
      </c>
      <c r="M33">
        <f t="shared" si="39"/>
        <v>2100</v>
      </c>
      <c r="N33">
        <f t="shared" si="40"/>
        <v>65</v>
      </c>
      <c r="O33">
        <v>45</v>
      </c>
      <c r="P33">
        <f t="shared" si="10"/>
        <v>46.666666666666664</v>
      </c>
      <c r="Q33">
        <f t="shared" si="11"/>
        <v>4.1836864539729977</v>
      </c>
      <c r="R33">
        <v>3</v>
      </c>
      <c r="S33" s="17">
        <v>5004.4287109999996</v>
      </c>
      <c r="T33" s="18">
        <f t="shared" si="12"/>
        <v>1668.1429036666666</v>
      </c>
      <c r="U33">
        <f t="shared" si="13"/>
        <v>0.79435376365079358</v>
      </c>
      <c r="V33" s="18">
        <v>-1</v>
      </c>
      <c r="W33" s="18">
        <v>-1</v>
      </c>
      <c r="X33" s="20">
        <f t="shared" si="14"/>
        <v>1</v>
      </c>
      <c r="Y33">
        <f t="shared" si="2"/>
        <v>61.582510977821798</v>
      </c>
      <c r="Z33">
        <f t="shared" si="3"/>
        <v>1668.1429036666666</v>
      </c>
      <c r="AA33">
        <f t="shared" si="4"/>
        <v>60.109544134330449</v>
      </c>
      <c r="AB33">
        <f t="shared" si="15"/>
        <v>9.9729424606399666E-6</v>
      </c>
      <c r="AC33">
        <f t="shared" si="16"/>
        <v>6.3826831748095786E-4</v>
      </c>
      <c r="AD33">
        <f t="shared" si="17"/>
        <v>7</v>
      </c>
      <c r="AE33" s="13">
        <v>7.5</v>
      </c>
      <c r="AF33">
        <f t="shared" si="18"/>
        <v>8</v>
      </c>
      <c r="AG33" s="17">
        <v>69.900000000000006</v>
      </c>
      <c r="AH33" s="17">
        <v>66.7</v>
      </c>
      <c r="AI33" s="17">
        <v>67.599999999999994</v>
      </c>
      <c r="AJ33" s="17">
        <v>66.900000000000006</v>
      </c>
      <c r="AK33" s="17">
        <v>66.7</v>
      </c>
      <c r="AL33">
        <f t="shared" si="19"/>
        <v>60.108161692344048</v>
      </c>
      <c r="AM33">
        <f t="shared" si="20"/>
        <v>60.109544134330442</v>
      </c>
      <c r="AN33">
        <f t="shared" si="21"/>
        <v>60.109544134330442</v>
      </c>
      <c r="AO33">
        <f t="shared" si="22"/>
        <v>60.108161692344048</v>
      </c>
      <c r="AP33">
        <f t="shared" si="23"/>
        <v>60.097104445227288</v>
      </c>
      <c r="AQ33">
        <f t="shared" si="24"/>
        <v>-9.7918383076559579</v>
      </c>
      <c r="AR33">
        <f t="shared" si="25"/>
        <v>-6.5904558656695613</v>
      </c>
      <c r="AS33">
        <f t="shared" si="26"/>
        <v>-7.4904558656695528</v>
      </c>
      <c r="AT33">
        <f t="shared" si="27"/>
        <v>-6.7918383076559579</v>
      </c>
      <c r="AU33">
        <f t="shared" si="28"/>
        <v>-6.6028955547727151</v>
      </c>
      <c r="AV33">
        <f t="shared" si="29"/>
        <v>9.7918383076559579</v>
      </c>
      <c r="AW33">
        <f t="shared" si="30"/>
        <v>6.5904558656695613</v>
      </c>
      <c r="AX33">
        <f t="shared" si="31"/>
        <v>7.4904558656695528</v>
      </c>
      <c r="AY33">
        <f t="shared" si="32"/>
        <v>6.7918383076559579</v>
      </c>
      <c r="AZ33">
        <f t="shared" si="33"/>
        <v>6.6028955547727151</v>
      </c>
      <c r="BA33">
        <f t="shared" si="34"/>
        <v>7.4534967802847492</v>
      </c>
      <c r="BD33">
        <v>0.61360999999999999</v>
      </c>
      <c r="BE33">
        <v>0.47310000000000002</v>
      </c>
      <c r="BF33">
        <v>0.53537000000000001</v>
      </c>
      <c r="BG33">
        <v>0.16311</v>
      </c>
      <c r="BI33">
        <v>60.72</v>
      </c>
      <c r="BJ33">
        <v>63.12</v>
      </c>
      <c r="BK33">
        <v>62.2</v>
      </c>
      <c r="BL33">
        <v>64.95</v>
      </c>
      <c r="BM33">
        <v>11597.253909999999</v>
      </c>
      <c r="BN33">
        <v>17883.023440000001</v>
      </c>
      <c r="BO33">
        <v>13491.43945</v>
      </c>
      <c r="BP33">
        <v>11303.516600000001</v>
      </c>
    </row>
    <row r="34" spans="1:68">
      <c r="A34">
        <v>271</v>
      </c>
      <c r="B34" t="s">
        <v>90</v>
      </c>
      <c r="C34" t="s">
        <v>90</v>
      </c>
      <c r="D34">
        <v>1106</v>
      </c>
      <c r="E34">
        <v>1172</v>
      </c>
      <c r="F34">
        <v>4</v>
      </c>
      <c r="G34">
        <v>0.36691000000000001</v>
      </c>
      <c r="H34">
        <v>61</v>
      </c>
      <c r="I34">
        <v>2100</v>
      </c>
      <c r="J34">
        <f t="shared" si="7"/>
        <v>5.1757581180582832</v>
      </c>
      <c r="K34">
        <v>1.28</v>
      </c>
      <c r="L34" s="4">
        <v>0.85899999999999999</v>
      </c>
      <c r="M34">
        <f t="shared" si="39"/>
        <v>2100</v>
      </c>
      <c r="N34">
        <f t="shared" si="40"/>
        <v>61</v>
      </c>
      <c r="O34">
        <v>45</v>
      </c>
      <c r="P34">
        <f t="shared" si="10"/>
        <v>46.666666666666664</v>
      </c>
      <c r="Q34">
        <f t="shared" si="11"/>
        <v>5.1757581180582832</v>
      </c>
      <c r="R34">
        <v>3</v>
      </c>
      <c r="S34" s="17">
        <v>4837.8833009999998</v>
      </c>
      <c r="T34" s="18">
        <f t="shared" si="12"/>
        <v>1612.6277669999999</v>
      </c>
      <c r="U34">
        <f t="shared" si="13"/>
        <v>0.76791798428571423</v>
      </c>
      <c r="V34" s="18">
        <v>-1</v>
      </c>
      <c r="W34" s="18">
        <v>-1</v>
      </c>
      <c r="X34" s="20">
        <f t="shared" si="14"/>
        <v>1</v>
      </c>
      <c r="Y34">
        <f t="shared" si="2"/>
        <v>59.352277765589783</v>
      </c>
      <c r="Z34">
        <f t="shared" si="3"/>
        <v>1612.6277669999999</v>
      </c>
      <c r="AA34">
        <f t="shared" si="4"/>
        <v>62.388624328694647</v>
      </c>
      <c r="AB34">
        <f t="shared" si="15"/>
        <v>9.9394066005527698E-6</v>
      </c>
      <c r="AC34">
        <f t="shared" si="16"/>
        <v>6.3612202243537727E-4</v>
      </c>
      <c r="AD34">
        <f t="shared" si="17"/>
        <v>7</v>
      </c>
      <c r="AE34" s="13">
        <v>7.5</v>
      </c>
      <c r="AF34">
        <f t="shared" si="18"/>
        <v>8</v>
      </c>
      <c r="AG34" s="17">
        <v>63.6</v>
      </c>
      <c r="AH34" s="17">
        <v>60.7</v>
      </c>
      <c r="AI34" s="17">
        <v>60.5</v>
      </c>
      <c r="AJ34" s="17">
        <v>61.5</v>
      </c>
      <c r="AK34" s="17">
        <v>59.7</v>
      </c>
      <c r="AL34">
        <f t="shared" si="19"/>
        <v>62.387088982104459</v>
      </c>
      <c r="AM34">
        <f t="shared" si="20"/>
        <v>62.388624328694647</v>
      </c>
      <c r="AN34">
        <f t="shared" si="21"/>
        <v>62.388624328694647</v>
      </c>
      <c r="AO34">
        <f t="shared" si="22"/>
        <v>62.387088982104459</v>
      </c>
      <c r="AP34">
        <f t="shared" si="23"/>
        <v>62.374808929292364</v>
      </c>
      <c r="AQ34">
        <f t="shared" si="24"/>
        <v>-1.2129110178955429</v>
      </c>
      <c r="AR34">
        <f t="shared" si="25"/>
        <v>1.6886243286946439</v>
      </c>
      <c r="AS34">
        <f t="shared" si="26"/>
        <v>1.8886243286946467</v>
      </c>
      <c r="AT34">
        <f t="shared" si="27"/>
        <v>0.88708898210445852</v>
      </c>
      <c r="AU34">
        <f t="shared" si="28"/>
        <v>2.6748089292923609</v>
      </c>
      <c r="AV34">
        <f t="shared" si="29"/>
        <v>1.2129110178955429</v>
      </c>
      <c r="AW34">
        <f t="shared" si="30"/>
        <v>1.6886243286946439</v>
      </c>
      <c r="AX34">
        <f t="shared" si="31"/>
        <v>1.8886243286946467</v>
      </c>
      <c r="AY34">
        <f t="shared" si="32"/>
        <v>0.88708898210445852</v>
      </c>
      <c r="AZ34">
        <f t="shared" si="33"/>
        <v>2.6748089292923609</v>
      </c>
      <c r="BA34">
        <f t="shared" si="34"/>
        <v>1.6704115173363305</v>
      </c>
      <c r="BD34">
        <v>0.57130000000000003</v>
      </c>
      <c r="BE34">
        <v>0.52402000000000004</v>
      </c>
      <c r="BF34">
        <v>0.66068000000000005</v>
      </c>
      <c r="BG34">
        <v>0.17054</v>
      </c>
      <c r="BI34">
        <v>55.04</v>
      </c>
      <c r="BJ34">
        <v>56.47</v>
      </c>
      <c r="BK34">
        <v>51.74</v>
      </c>
      <c r="BL34">
        <v>60.9</v>
      </c>
      <c r="BM34">
        <v>14396.871090000001</v>
      </c>
      <c r="BN34">
        <v>26410.851559999999</v>
      </c>
      <c r="BO34">
        <v>22198.70508</v>
      </c>
      <c r="BP34">
        <v>15757.43555</v>
      </c>
    </row>
    <row r="35" spans="1:68">
      <c r="A35">
        <v>285</v>
      </c>
      <c r="B35" t="s">
        <v>91</v>
      </c>
      <c r="C35" t="s">
        <v>91</v>
      </c>
      <c r="D35">
        <v>1112</v>
      </c>
      <c r="E35">
        <v>1165</v>
      </c>
      <c r="F35">
        <v>3</v>
      </c>
      <c r="G35">
        <v>0.35176000000000002</v>
      </c>
      <c r="H35">
        <v>62</v>
      </c>
      <c r="I35">
        <v>2100</v>
      </c>
      <c r="J35">
        <f t="shared" si="7"/>
        <v>4.8795269895941189</v>
      </c>
      <c r="K35">
        <v>1.28</v>
      </c>
      <c r="L35" s="4">
        <v>0.85899999999999999</v>
      </c>
      <c r="M35">
        <f t="shared" si="39"/>
        <v>2100</v>
      </c>
      <c r="N35">
        <f t="shared" si="40"/>
        <v>62</v>
      </c>
      <c r="O35">
        <v>45</v>
      </c>
      <c r="P35">
        <f t="shared" si="10"/>
        <v>46.666666666666664</v>
      </c>
      <c r="Q35">
        <f t="shared" si="11"/>
        <v>4.8795269895941189</v>
      </c>
      <c r="R35">
        <v>3</v>
      </c>
      <c r="S35" s="17">
        <v>5706.5434569999998</v>
      </c>
      <c r="T35" s="18">
        <f t="shared" si="12"/>
        <v>1902.1811523333333</v>
      </c>
      <c r="U35">
        <f t="shared" si="13"/>
        <v>0.90580054873015869</v>
      </c>
      <c r="V35" s="18">
        <v>-1</v>
      </c>
      <c r="W35" s="18">
        <v>-1</v>
      </c>
      <c r="X35" s="20">
        <f t="shared" si="14"/>
        <v>1</v>
      </c>
      <c r="Y35">
        <f t="shared" si="2"/>
        <v>56.852669756388359</v>
      </c>
      <c r="Z35">
        <f t="shared" si="3"/>
        <v>1902.1811523333333</v>
      </c>
      <c r="AA35">
        <f t="shared" si="4"/>
        <v>52.029579888647767</v>
      </c>
      <c r="AB35">
        <f t="shared" si="15"/>
        <v>1.0104103974788716E-5</v>
      </c>
      <c r="AC35">
        <f t="shared" si="16"/>
        <v>6.4666265438647784E-4</v>
      </c>
      <c r="AD35">
        <f t="shared" si="17"/>
        <v>7</v>
      </c>
      <c r="AE35" s="13">
        <v>7.5</v>
      </c>
      <c r="AF35">
        <f t="shared" si="18"/>
        <v>8</v>
      </c>
      <c r="AG35" s="17">
        <v>64.3</v>
      </c>
      <c r="AH35" s="17">
        <v>60.8</v>
      </c>
      <c r="AI35" s="17">
        <v>59.6</v>
      </c>
      <c r="AJ35" s="17">
        <v>63.1</v>
      </c>
      <c r="AK35" s="17">
        <v>62.1</v>
      </c>
      <c r="AL35">
        <f t="shared" si="19"/>
        <v>52.028659611022476</v>
      </c>
      <c r="AM35">
        <f t="shared" si="20"/>
        <v>52.029579888647767</v>
      </c>
      <c r="AN35">
        <f t="shared" si="21"/>
        <v>52.029579888647767</v>
      </c>
      <c r="AO35">
        <f t="shared" si="22"/>
        <v>52.028659611022476</v>
      </c>
      <c r="AP35">
        <f t="shared" si="23"/>
        <v>52.021298561833461</v>
      </c>
      <c r="AQ35">
        <f t="shared" si="24"/>
        <v>-12.271340388977521</v>
      </c>
      <c r="AR35">
        <f t="shared" si="25"/>
        <v>-8.7704201113522302</v>
      </c>
      <c r="AS35">
        <f t="shared" si="26"/>
        <v>-7.5704201113522345</v>
      </c>
      <c r="AT35">
        <f t="shared" si="27"/>
        <v>-11.071340388977525</v>
      </c>
      <c r="AU35">
        <f t="shared" si="28"/>
        <v>-10.07870143816654</v>
      </c>
      <c r="AV35">
        <f t="shared" si="29"/>
        <v>12.271340388977521</v>
      </c>
      <c r="AW35">
        <f t="shared" si="30"/>
        <v>8.7704201113522302</v>
      </c>
      <c r="AX35">
        <f t="shared" si="31"/>
        <v>7.5704201113522345</v>
      </c>
      <c r="AY35">
        <f t="shared" si="32"/>
        <v>11.071340388977525</v>
      </c>
      <c r="AZ35">
        <f t="shared" si="33"/>
        <v>10.07870143816654</v>
      </c>
      <c r="BA35">
        <f t="shared" si="34"/>
        <v>9.9524444877652094</v>
      </c>
      <c r="BD35">
        <v>0.82355999999999996</v>
      </c>
      <c r="BE35">
        <v>0.70655999999999997</v>
      </c>
      <c r="BF35">
        <v>0.72589999999999999</v>
      </c>
      <c r="BG35">
        <v>0.28578999999999999</v>
      </c>
      <c r="BI35">
        <v>47.71</v>
      </c>
      <c r="BJ35">
        <v>52.5</v>
      </c>
      <c r="BK35">
        <v>51.75</v>
      </c>
      <c r="BL35">
        <v>61.5</v>
      </c>
      <c r="BM35">
        <v>15565.24512</v>
      </c>
      <c r="BN35">
        <v>26708.037110000001</v>
      </c>
      <c r="BO35">
        <v>18292.597659999999</v>
      </c>
      <c r="BP35">
        <v>19805.333979999999</v>
      </c>
    </row>
    <row r="36" spans="1:68">
      <c r="A36">
        <v>286</v>
      </c>
      <c r="B36" t="s">
        <v>92</v>
      </c>
      <c r="C36" t="s">
        <v>92</v>
      </c>
      <c r="D36">
        <v>1113</v>
      </c>
      <c r="E36">
        <v>1156</v>
      </c>
      <c r="F36">
        <v>3</v>
      </c>
      <c r="G36">
        <v>0.20313000000000001</v>
      </c>
      <c r="H36">
        <v>62</v>
      </c>
      <c r="I36">
        <v>2100</v>
      </c>
      <c r="J36">
        <f t="shared" si="7"/>
        <v>4.8795269895941189</v>
      </c>
      <c r="K36">
        <v>1.28</v>
      </c>
      <c r="L36" s="4">
        <v>0.85899999999999999</v>
      </c>
      <c r="M36">
        <f t="shared" si="39"/>
        <v>2100</v>
      </c>
      <c r="N36">
        <f t="shared" si="40"/>
        <v>62</v>
      </c>
      <c r="O36">
        <v>45</v>
      </c>
      <c r="P36">
        <f t="shared" si="10"/>
        <v>46.666666666666664</v>
      </c>
      <c r="Q36">
        <f t="shared" si="11"/>
        <v>4.8795269895941189</v>
      </c>
      <c r="R36">
        <v>3</v>
      </c>
      <c r="S36" s="17">
        <v>4963.8354490000002</v>
      </c>
      <c r="T36" s="18">
        <f t="shared" si="12"/>
        <v>1654.6118163333333</v>
      </c>
      <c r="U36">
        <f t="shared" ref="U36:U67" si="41">T36/M36</f>
        <v>0.78791038873015873</v>
      </c>
      <c r="V36" s="18">
        <v>-1</v>
      </c>
      <c r="W36" s="18">
        <v>-1</v>
      </c>
      <c r="X36" s="20">
        <f t="shared" ref="X36:X69" si="42">MAX(U36^K36,1)</f>
        <v>1</v>
      </c>
      <c r="Y36">
        <f t="shared" ref="Y36:Y69" si="43">IF(U36&lt;=1,(((O36^J36*N36^(J36/2))+((O36^(2*J36)*(N36^J36-4*P36^J36*U36^J36))^0.5))/(2*O36^J36))^(2/J36),(P36/(7/15+8/15*U36^K36)))</f>
        <v>59.771862054835687</v>
      </c>
      <c r="Z36">
        <f t="shared" ref="Z36:Z69" si="44">T36/X36</f>
        <v>1654.6118163333333</v>
      </c>
      <c r="AA36">
        <f t="shared" ref="AA36:AA69" si="45">P36/(U36)^(L36*K36)</f>
        <v>60.650247909552355</v>
      </c>
      <c r="AB36">
        <f t="shared" si="15"/>
        <v>9.9648622162786292E-6</v>
      </c>
      <c r="AC36">
        <f t="shared" si="16"/>
        <v>6.3775118184183227E-4</v>
      </c>
      <c r="AD36">
        <f t="shared" si="17"/>
        <v>7</v>
      </c>
      <c r="AE36" s="13">
        <v>7.5</v>
      </c>
      <c r="AF36">
        <f t="shared" si="18"/>
        <v>8</v>
      </c>
      <c r="AG36" s="17">
        <v>67.900000000000006</v>
      </c>
      <c r="AH36" s="17">
        <v>66.400000000000006</v>
      </c>
      <c r="AI36" s="17">
        <v>65.099999999999994</v>
      </c>
      <c r="AJ36" s="17">
        <v>63.6</v>
      </c>
      <c r="AK36" s="17">
        <v>64.599999999999994</v>
      </c>
      <c r="AL36">
        <f t="shared" si="19"/>
        <v>60.648830125264766</v>
      </c>
      <c r="AM36">
        <f t="shared" si="20"/>
        <v>60.650247909552363</v>
      </c>
      <c r="AN36">
        <f t="shared" si="21"/>
        <v>60.650247909552363</v>
      </c>
      <c r="AO36">
        <f t="shared" si="22"/>
        <v>60.648830125264766</v>
      </c>
      <c r="AP36">
        <f t="shared" si="23"/>
        <v>60.637490236791507</v>
      </c>
      <c r="AQ36">
        <f t="shared" si="24"/>
        <v>-7.2511698747352398</v>
      </c>
      <c r="AR36">
        <f t="shared" si="25"/>
        <v>-5.7497520904476431</v>
      </c>
      <c r="AS36">
        <f t="shared" si="26"/>
        <v>-4.4497520904476318</v>
      </c>
      <c r="AT36">
        <f t="shared" si="27"/>
        <v>-2.9511698747352355</v>
      </c>
      <c r="AU36">
        <f t="shared" si="28"/>
        <v>-3.9625097632084874</v>
      </c>
      <c r="AV36">
        <f t="shared" si="29"/>
        <v>7.2511698747352398</v>
      </c>
      <c r="AW36">
        <f t="shared" si="30"/>
        <v>5.7497520904476431</v>
      </c>
      <c r="AX36">
        <f t="shared" si="31"/>
        <v>4.4497520904476318</v>
      </c>
      <c r="AY36">
        <f t="shared" si="32"/>
        <v>2.9511698747352355</v>
      </c>
      <c r="AZ36">
        <f t="shared" si="33"/>
        <v>3.9625097632084874</v>
      </c>
      <c r="BA36">
        <f t="shared" si="34"/>
        <v>4.8728707387148473</v>
      </c>
      <c r="BD36">
        <v>0.58218000000000003</v>
      </c>
      <c r="BE36">
        <v>0.81818000000000002</v>
      </c>
      <c r="BF36">
        <v>1.1726799999999999</v>
      </c>
      <c r="BG36">
        <v>0.45319999999999999</v>
      </c>
      <c r="BI36">
        <v>56.65</v>
      </c>
      <c r="BJ36">
        <v>47.94</v>
      </c>
      <c r="BK36">
        <v>36.020000000000003</v>
      </c>
      <c r="BL36">
        <v>59.63</v>
      </c>
      <c r="BM36">
        <v>11003.285159999999</v>
      </c>
      <c r="BN36">
        <v>30927.345700000002</v>
      </c>
      <c r="BO36">
        <v>29551.480469999999</v>
      </c>
      <c r="BP36">
        <v>31406.46875</v>
      </c>
    </row>
    <row r="37" spans="1:68">
      <c r="A37">
        <v>291</v>
      </c>
      <c r="B37" t="s">
        <v>93</v>
      </c>
      <c r="C37" t="s">
        <v>93</v>
      </c>
      <c r="D37">
        <v>1116</v>
      </c>
      <c r="E37">
        <v>1122</v>
      </c>
      <c r="F37">
        <v>4</v>
      </c>
      <c r="G37">
        <v>0.16236</v>
      </c>
      <c r="H37">
        <v>61</v>
      </c>
      <c r="I37">
        <v>2100</v>
      </c>
      <c r="J37">
        <f t="shared" si="7"/>
        <v>5.1757581180582832</v>
      </c>
      <c r="K37">
        <v>1.28</v>
      </c>
      <c r="L37" s="4">
        <v>0.85899999999999999</v>
      </c>
      <c r="M37">
        <f t="shared" si="39"/>
        <v>2100</v>
      </c>
      <c r="N37">
        <f t="shared" si="40"/>
        <v>61</v>
      </c>
      <c r="O37">
        <v>45</v>
      </c>
      <c r="P37">
        <f t="shared" si="10"/>
        <v>46.666666666666664</v>
      </c>
      <c r="Q37">
        <f t="shared" si="11"/>
        <v>5.1757581180582832</v>
      </c>
      <c r="R37">
        <v>3</v>
      </c>
      <c r="S37" s="17">
        <v>4899.4409180000002</v>
      </c>
      <c r="T37" s="18">
        <f t="shared" si="12"/>
        <v>1633.1469726666667</v>
      </c>
      <c r="U37">
        <f t="shared" si="41"/>
        <v>0.77768903460317462</v>
      </c>
      <c r="V37" s="18">
        <v>-1</v>
      </c>
      <c r="W37" s="18">
        <v>-1</v>
      </c>
      <c r="X37" s="20">
        <f t="shared" si="42"/>
        <v>1</v>
      </c>
      <c r="Y37">
        <f t="shared" si="43"/>
        <v>59.228420373538711</v>
      </c>
      <c r="Z37">
        <f t="shared" si="44"/>
        <v>1633.1469726666667</v>
      </c>
      <c r="AA37">
        <f t="shared" si="45"/>
        <v>61.527291137798237</v>
      </c>
      <c r="AB37">
        <f t="shared" si="15"/>
        <v>9.9519213466180652E-6</v>
      </c>
      <c r="AC37">
        <f t="shared" si="16"/>
        <v>6.3692296618355617E-4</v>
      </c>
      <c r="AD37">
        <f t="shared" si="17"/>
        <v>7</v>
      </c>
      <c r="AE37" s="13">
        <v>7.5</v>
      </c>
      <c r="AF37">
        <f t="shared" si="18"/>
        <v>8</v>
      </c>
      <c r="AG37" s="17">
        <v>66.7</v>
      </c>
      <c r="AH37" s="17">
        <v>65.599999999999994</v>
      </c>
      <c r="AI37" s="17">
        <v>64.099999999999994</v>
      </c>
      <c r="AJ37" s="17">
        <v>63.8</v>
      </c>
      <c r="AK37" s="17">
        <v>64.400000000000006</v>
      </c>
      <c r="AL37">
        <f t="shared" si="19"/>
        <v>61.525814796367946</v>
      </c>
      <c r="AM37">
        <f t="shared" si="20"/>
        <v>61.527291137798237</v>
      </c>
      <c r="AN37">
        <f t="shared" si="21"/>
        <v>61.527291137798237</v>
      </c>
      <c r="AO37">
        <f t="shared" si="22"/>
        <v>61.525814796367946</v>
      </c>
      <c r="AP37">
        <f t="shared" si="23"/>
        <v>61.514006615012399</v>
      </c>
      <c r="AQ37">
        <f t="shared" si="24"/>
        <v>-5.1741852036320566</v>
      </c>
      <c r="AR37">
        <f t="shared" si="25"/>
        <v>-4.0727088622017575</v>
      </c>
      <c r="AS37">
        <f t="shared" si="26"/>
        <v>-2.5727088622017575</v>
      </c>
      <c r="AT37">
        <f t="shared" si="27"/>
        <v>-2.2741852036320509</v>
      </c>
      <c r="AU37">
        <f t="shared" si="28"/>
        <v>-2.8859933849876072</v>
      </c>
      <c r="AV37">
        <f t="shared" si="29"/>
        <v>5.1741852036320566</v>
      </c>
      <c r="AW37">
        <f t="shared" si="30"/>
        <v>4.0727088622017575</v>
      </c>
      <c r="AX37">
        <f t="shared" si="31"/>
        <v>2.5727088622017575</v>
      </c>
      <c r="AY37">
        <f t="shared" si="32"/>
        <v>2.2741852036320509</v>
      </c>
      <c r="AZ37">
        <f t="shared" si="33"/>
        <v>2.8859933849876072</v>
      </c>
      <c r="BA37">
        <f t="shared" si="34"/>
        <v>3.395956303331046</v>
      </c>
      <c r="BD37">
        <v>0.58452000000000004</v>
      </c>
      <c r="BE37">
        <v>0.52936000000000005</v>
      </c>
      <c r="BF37">
        <v>0.61238999999999999</v>
      </c>
      <c r="BG37">
        <v>0.19852</v>
      </c>
      <c r="BI37">
        <v>54.6</v>
      </c>
      <c r="BJ37">
        <v>56.32</v>
      </c>
      <c r="BK37">
        <v>53.62</v>
      </c>
      <c r="BL37">
        <v>60.84</v>
      </c>
      <c r="BM37">
        <v>14729.83496</v>
      </c>
      <c r="BN37">
        <v>26679.914059999999</v>
      </c>
      <c r="BO37">
        <v>20576.324219999999</v>
      </c>
      <c r="BP37">
        <v>18343.050780000001</v>
      </c>
    </row>
    <row r="38" spans="1:68">
      <c r="A38">
        <v>305</v>
      </c>
      <c r="B38" t="s">
        <v>94</v>
      </c>
      <c r="C38" t="s">
        <v>94</v>
      </c>
      <c r="D38">
        <v>1121</v>
      </c>
      <c r="E38">
        <v>1166</v>
      </c>
      <c r="F38">
        <v>4</v>
      </c>
      <c r="G38">
        <v>0.54293999999999998</v>
      </c>
      <c r="H38">
        <v>61</v>
      </c>
      <c r="I38">
        <v>2100</v>
      </c>
      <c r="J38">
        <f t="shared" si="7"/>
        <v>5.1757581180582832</v>
      </c>
      <c r="K38">
        <v>1.28</v>
      </c>
      <c r="L38" s="4">
        <v>0.85899999999999999</v>
      </c>
      <c r="M38">
        <f t="shared" si="39"/>
        <v>2100</v>
      </c>
      <c r="N38">
        <f t="shared" si="40"/>
        <v>61</v>
      </c>
      <c r="O38">
        <v>45</v>
      </c>
      <c r="P38">
        <f t="shared" si="10"/>
        <v>46.666666666666664</v>
      </c>
      <c r="Q38">
        <f t="shared" si="11"/>
        <v>5.1757581180582832</v>
      </c>
      <c r="R38">
        <v>3</v>
      </c>
      <c r="S38" s="17">
        <v>5112.6337890000004</v>
      </c>
      <c r="T38" s="18">
        <f t="shared" si="12"/>
        <v>1704.2112630000001</v>
      </c>
      <c r="U38">
        <f t="shared" si="41"/>
        <v>0.81152917285714288</v>
      </c>
      <c r="V38" s="18">
        <v>-1</v>
      </c>
      <c r="W38" s="18">
        <v>-1</v>
      </c>
      <c r="X38" s="20">
        <f t="shared" si="42"/>
        <v>1</v>
      </c>
      <c r="Y38">
        <f t="shared" si="43"/>
        <v>58.727415469760537</v>
      </c>
      <c r="Z38">
        <f t="shared" si="44"/>
        <v>1704.2112630000001</v>
      </c>
      <c r="AA38">
        <f t="shared" si="45"/>
        <v>58.712246334719275</v>
      </c>
      <c r="AB38">
        <f t="shared" si="15"/>
        <v>9.9941962223736373E-6</v>
      </c>
      <c r="AC38">
        <f t="shared" si="16"/>
        <v>6.3962855823191278E-4</v>
      </c>
      <c r="AD38">
        <f t="shared" si="17"/>
        <v>7</v>
      </c>
      <c r="AE38" s="13">
        <v>7.5</v>
      </c>
      <c r="AF38">
        <f t="shared" si="18"/>
        <v>8</v>
      </c>
      <c r="AG38" s="17">
        <v>63.6</v>
      </c>
      <c r="AH38" s="17">
        <v>59.6</v>
      </c>
      <c r="AI38" s="17">
        <v>56</v>
      </c>
      <c r="AJ38" s="17">
        <v>54.3</v>
      </c>
      <c r="AK38" s="17">
        <v>52</v>
      </c>
      <c r="AL38">
        <f t="shared" si="19"/>
        <v>58.710952579131899</v>
      </c>
      <c r="AM38">
        <f t="shared" si="20"/>
        <v>58.712246334719275</v>
      </c>
      <c r="AN38">
        <f t="shared" si="21"/>
        <v>58.712246334719275</v>
      </c>
      <c r="AO38">
        <f t="shared" si="22"/>
        <v>58.710952579131899</v>
      </c>
      <c r="AP38">
        <f t="shared" si="23"/>
        <v>58.700604586689757</v>
      </c>
      <c r="AQ38">
        <f t="shared" si="24"/>
        <v>-4.8890474208681027</v>
      </c>
      <c r="AR38">
        <f t="shared" si="25"/>
        <v>-0.88775366528072652</v>
      </c>
      <c r="AS38">
        <f t="shared" si="26"/>
        <v>2.7122463347192749</v>
      </c>
      <c r="AT38">
        <f t="shared" si="27"/>
        <v>4.4109525791319015</v>
      </c>
      <c r="AU38">
        <f t="shared" si="28"/>
        <v>6.7006045866897566</v>
      </c>
      <c r="AV38">
        <f t="shared" si="29"/>
        <v>4.8890474208681027</v>
      </c>
      <c r="AW38">
        <f t="shared" si="30"/>
        <v>0.88775366528072652</v>
      </c>
      <c r="AX38">
        <f t="shared" si="31"/>
        <v>2.7122463347192749</v>
      </c>
      <c r="AY38">
        <f t="shared" si="32"/>
        <v>4.4109525791319015</v>
      </c>
      <c r="AZ38">
        <f t="shared" si="33"/>
        <v>6.7006045866897566</v>
      </c>
      <c r="BA38">
        <f t="shared" si="34"/>
        <v>3.9201209173379525</v>
      </c>
      <c r="BD38">
        <v>0.47696</v>
      </c>
      <c r="BE38">
        <v>0.61280000000000001</v>
      </c>
      <c r="BF38">
        <v>0.89210999999999996</v>
      </c>
      <c r="BG38">
        <v>0.31240000000000001</v>
      </c>
      <c r="BI38">
        <v>57.66</v>
      </c>
      <c r="BJ38">
        <v>53.61</v>
      </c>
      <c r="BK38">
        <v>40.57</v>
      </c>
      <c r="BL38">
        <v>60.2</v>
      </c>
      <c r="BM38">
        <v>12019.45117</v>
      </c>
      <c r="BN38">
        <v>30885.28125</v>
      </c>
      <c r="BO38">
        <v>29975.04883</v>
      </c>
      <c r="BP38">
        <v>28866.033200000002</v>
      </c>
    </row>
    <row r="39" spans="1:68">
      <c r="A39">
        <v>307</v>
      </c>
      <c r="B39" t="s">
        <v>95</v>
      </c>
      <c r="C39" t="s">
        <v>95</v>
      </c>
      <c r="D39">
        <v>1122</v>
      </c>
      <c r="E39">
        <v>1106</v>
      </c>
      <c r="F39">
        <v>4</v>
      </c>
      <c r="G39">
        <v>0.66154000000000002</v>
      </c>
      <c r="H39">
        <v>61</v>
      </c>
      <c r="I39">
        <v>2100</v>
      </c>
      <c r="J39">
        <f t="shared" si="7"/>
        <v>5.1757581180582832</v>
      </c>
      <c r="K39">
        <v>1.28</v>
      </c>
      <c r="L39" s="4">
        <v>0.85899999999999999</v>
      </c>
      <c r="M39">
        <f t="shared" si="39"/>
        <v>2100</v>
      </c>
      <c r="N39">
        <f t="shared" si="40"/>
        <v>61</v>
      </c>
      <c r="O39">
        <v>45</v>
      </c>
      <c r="P39">
        <f t="shared" si="10"/>
        <v>46.666666666666664</v>
      </c>
      <c r="Q39">
        <f t="shared" si="11"/>
        <v>5.1757581180582832</v>
      </c>
      <c r="R39">
        <v>3</v>
      </c>
      <c r="S39" s="17">
        <v>5023.1938479999999</v>
      </c>
      <c r="T39" s="18">
        <f t="shared" si="12"/>
        <v>1674.3979493333334</v>
      </c>
      <c r="U39">
        <f t="shared" si="41"/>
        <v>0.79733235682539683</v>
      </c>
      <c r="V39" s="18">
        <v>-1</v>
      </c>
      <c r="W39" s="18">
        <v>-1</v>
      </c>
      <c r="X39" s="20">
        <f t="shared" si="42"/>
        <v>1</v>
      </c>
      <c r="Y39">
        <f t="shared" si="43"/>
        <v>58.952311311489275</v>
      </c>
      <c r="Z39">
        <f t="shared" si="44"/>
        <v>1674.3979493333334</v>
      </c>
      <c r="AA39">
        <f t="shared" si="45"/>
        <v>59.862691628246374</v>
      </c>
      <c r="AB39">
        <f t="shared" si="15"/>
        <v>9.9766578029050104E-6</v>
      </c>
      <c r="AC39">
        <f t="shared" si="16"/>
        <v>6.3850609938592066E-4</v>
      </c>
      <c r="AD39">
        <f t="shared" si="17"/>
        <v>7</v>
      </c>
      <c r="AE39" s="13">
        <v>7.5</v>
      </c>
      <c r="AF39">
        <f t="shared" si="18"/>
        <v>8</v>
      </c>
      <c r="AG39" s="17">
        <v>64.8</v>
      </c>
      <c r="AH39" s="17">
        <v>63.5</v>
      </c>
      <c r="AI39" s="17">
        <v>62.6</v>
      </c>
      <c r="AJ39" s="17">
        <v>63.6</v>
      </c>
      <c r="AK39" s="17">
        <v>63.1</v>
      </c>
      <c r="AL39">
        <f t="shared" si="19"/>
        <v>59.861325130456727</v>
      </c>
      <c r="AM39">
        <f t="shared" si="20"/>
        <v>59.862691628246374</v>
      </c>
      <c r="AN39">
        <f t="shared" si="21"/>
        <v>59.862691628246374</v>
      </c>
      <c r="AO39">
        <f t="shared" si="22"/>
        <v>59.861325130456727</v>
      </c>
      <c r="AP39">
        <f t="shared" si="23"/>
        <v>59.850395393648675</v>
      </c>
      <c r="AQ39">
        <f t="shared" si="24"/>
        <v>-4.9386748695432701</v>
      </c>
      <c r="AR39">
        <f t="shared" si="25"/>
        <v>-3.6373083717536261</v>
      </c>
      <c r="AS39">
        <f t="shared" si="26"/>
        <v>-2.7373083717536275</v>
      </c>
      <c r="AT39">
        <f t="shared" si="27"/>
        <v>-3.7386748695432743</v>
      </c>
      <c r="AU39">
        <f t="shared" si="28"/>
        <v>-3.2496046063513262</v>
      </c>
      <c r="AV39">
        <f t="shared" si="29"/>
        <v>4.9386748695432701</v>
      </c>
      <c r="AW39">
        <f t="shared" si="30"/>
        <v>3.6373083717536261</v>
      </c>
      <c r="AX39">
        <f t="shared" si="31"/>
        <v>2.7373083717536275</v>
      </c>
      <c r="AY39">
        <f t="shared" si="32"/>
        <v>3.7386748695432743</v>
      </c>
      <c r="AZ39">
        <f t="shared" si="33"/>
        <v>3.2496046063513262</v>
      </c>
      <c r="BA39">
        <f t="shared" si="34"/>
        <v>3.6603142177890247</v>
      </c>
      <c r="BD39">
        <v>0.50860000000000005</v>
      </c>
      <c r="BE39">
        <v>0.44977</v>
      </c>
      <c r="BF39">
        <v>0.55393999999999999</v>
      </c>
      <c r="BG39">
        <v>0.14591000000000001</v>
      </c>
      <c r="BI39">
        <v>56.9</v>
      </c>
      <c r="BJ39">
        <v>58.28</v>
      </c>
      <c r="BK39">
        <v>55.61</v>
      </c>
      <c r="BL39">
        <v>60.94</v>
      </c>
      <c r="BM39">
        <v>12816.80176</v>
      </c>
      <c r="BN39">
        <v>22668.222659999999</v>
      </c>
      <c r="BO39">
        <v>18612.332030000001</v>
      </c>
      <c r="BP39">
        <v>13482.316409999999</v>
      </c>
    </row>
    <row r="40" spans="1:68">
      <c r="A40">
        <v>320</v>
      </c>
      <c r="B40" t="s">
        <v>96</v>
      </c>
      <c r="C40" t="s">
        <v>96</v>
      </c>
      <c r="D40">
        <v>1127</v>
      </c>
      <c r="E40">
        <v>1181</v>
      </c>
      <c r="F40">
        <v>4</v>
      </c>
      <c r="G40">
        <v>0.65015000000000001</v>
      </c>
      <c r="H40">
        <v>61</v>
      </c>
      <c r="I40">
        <v>2100</v>
      </c>
      <c r="J40">
        <f t="shared" si="7"/>
        <v>5.1757581180582832</v>
      </c>
      <c r="K40">
        <v>1.28</v>
      </c>
      <c r="L40" s="4">
        <v>0.85899999999999999</v>
      </c>
      <c r="M40">
        <f t="shared" si="39"/>
        <v>2100</v>
      </c>
      <c r="N40">
        <f t="shared" si="40"/>
        <v>61</v>
      </c>
      <c r="O40">
        <v>45</v>
      </c>
      <c r="P40">
        <f t="shared" si="10"/>
        <v>46.666666666666664</v>
      </c>
      <c r="Q40">
        <f t="shared" si="11"/>
        <v>5.1757581180582832</v>
      </c>
      <c r="R40">
        <v>3</v>
      </c>
      <c r="S40" s="17">
        <v>5091.2763670000004</v>
      </c>
      <c r="T40" s="18">
        <f t="shared" si="12"/>
        <v>1697.0921223333335</v>
      </c>
      <c r="U40">
        <f t="shared" si="41"/>
        <v>0.80813910587301596</v>
      </c>
      <c r="V40" s="18">
        <v>-1</v>
      </c>
      <c r="W40" s="18">
        <v>-1</v>
      </c>
      <c r="X40" s="20">
        <f t="shared" si="42"/>
        <v>1</v>
      </c>
      <c r="Y40">
        <f t="shared" si="43"/>
        <v>58.783218545347403</v>
      </c>
      <c r="Z40">
        <f t="shared" si="44"/>
        <v>1697.0921223333335</v>
      </c>
      <c r="AA40">
        <f t="shared" si="45"/>
        <v>58.983106112371942</v>
      </c>
      <c r="AB40">
        <f t="shared" si="15"/>
        <v>9.9900334696767211E-6</v>
      </c>
      <c r="AC40">
        <f t="shared" si="16"/>
        <v>6.3936214205931015E-4</v>
      </c>
      <c r="AD40">
        <f t="shared" si="17"/>
        <v>7</v>
      </c>
      <c r="AE40" s="13">
        <v>7.5</v>
      </c>
      <c r="AF40">
        <f t="shared" si="18"/>
        <v>8</v>
      </c>
      <c r="AG40" s="17">
        <v>64.3</v>
      </c>
      <c r="AH40" s="17">
        <v>61.4</v>
      </c>
      <c r="AI40" s="17">
        <v>58.4</v>
      </c>
      <c r="AJ40" s="17">
        <v>57.3</v>
      </c>
      <c r="AK40" s="17">
        <v>55.4</v>
      </c>
      <c r="AL40">
        <f t="shared" si="19"/>
        <v>58.981795461177363</v>
      </c>
      <c r="AM40">
        <f t="shared" si="20"/>
        <v>58.983106112371935</v>
      </c>
      <c r="AN40">
        <f t="shared" si="21"/>
        <v>58.983106112371935</v>
      </c>
      <c r="AO40">
        <f t="shared" si="22"/>
        <v>58.981795461177363</v>
      </c>
      <c r="AP40">
        <f t="shared" si="23"/>
        <v>58.971312348154797</v>
      </c>
      <c r="AQ40">
        <f t="shared" si="24"/>
        <v>-5.3182045388226342</v>
      </c>
      <c r="AR40">
        <f t="shared" si="25"/>
        <v>-2.4168938876280635</v>
      </c>
      <c r="AS40">
        <f t="shared" si="26"/>
        <v>0.58310611237193655</v>
      </c>
      <c r="AT40">
        <f t="shared" si="27"/>
        <v>1.6817954611773658</v>
      </c>
      <c r="AU40">
        <f t="shared" si="28"/>
        <v>3.5713123481547981</v>
      </c>
      <c r="AV40">
        <f t="shared" si="29"/>
        <v>5.3182045388226342</v>
      </c>
      <c r="AW40">
        <f t="shared" si="30"/>
        <v>2.4168938876280635</v>
      </c>
      <c r="AX40">
        <f t="shared" si="31"/>
        <v>0.58310611237193655</v>
      </c>
      <c r="AY40">
        <f t="shared" si="32"/>
        <v>1.6817954611773658</v>
      </c>
      <c r="AZ40">
        <f t="shared" si="33"/>
        <v>3.5713123481547981</v>
      </c>
      <c r="BA40">
        <f t="shared" si="34"/>
        <v>2.7142624696309596</v>
      </c>
      <c r="BD40">
        <v>0.42287000000000002</v>
      </c>
      <c r="BE40">
        <v>0.52586999999999995</v>
      </c>
      <c r="BF40">
        <v>0.79532000000000003</v>
      </c>
      <c r="BG40">
        <v>0.24934999999999999</v>
      </c>
      <c r="BI40">
        <v>58.76</v>
      </c>
      <c r="BJ40">
        <v>56.42</v>
      </c>
      <c r="BK40">
        <v>45.54</v>
      </c>
      <c r="BL40">
        <v>60.64</v>
      </c>
      <c r="BM40">
        <v>10656.25684</v>
      </c>
      <c r="BN40">
        <v>26503.628909999999</v>
      </c>
      <c r="BO40">
        <v>26722.716799999998</v>
      </c>
      <c r="BP40">
        <v>23040.279299999998</v>
      </c>
    </row>
    <row r="41" spans="1:68">
      <c r="A41">
        <v>347</v>
      </c>
      <c r="B41" t="s">
        <v>97</v>
      </c>
      <c r="C41" t="s">
        <v>97</v>
      </c>
      <c r="D41">
        <v>1142</v>
      </c>
      <c r="E41">
        <v>1094</v>
      </c>
      <c r="F41">
        <v>3</v>
      </c>
      <c r="G41">
        <v>0.31466</v>
      </c>
      <c r="H41">
        <v>65</v>
      </c>
      <c r="I41">
        <v>2100</v>
      </c>
      <c r="J41">
        <f t="shared" si="7"/>
        <v>4.1836864539729977</v>
      </c>
      <c r="K41">
        <v>1.28</v>
      </c>
      <c r="L41" s="4">
        <v>0.85899999999999999</v>
      </c>
      <c r="M41">
        <f t="shared" ref="M41:M48" si="46">I41</f>
        <v>2100</v>
      </c>
      <c r="N41">
        <f t="shared" ref="N41:N48" si="47">H41</f>
        <v>65</v>
      </c>
      <c r="O41">
        <v>45</v>
      </c>
      <c r="P41">
        <f t="shared" si="10"/>
        <v>46.666666666666664</v>
      </c>
      <c r="Q41">
        <f t="shared" si="11"/>
        <v>4.1836864539729977</v>
      </c>
      <c r="R41">
        <v>3</v>
      </c>
      <c r="S41" s="17">
        <v>4819.1123049999997</v>
      </c>
      <c r="T41" s="18">
        <f t="shared" si="12"/>
        <v>1606.3707683333332</v>
      </c>
      <c r="U41">
        <f t="shared" si="41"/>
        <v>0.76493846111111108</v>
      </c>
      <c r="V41" s="18">
        <v>-1</v>
      </c>
      <c r="W41" s="18">
        <v>-1</v>
      </c>
      <c r="X41" s="20">
        <f t="shared" si="42"/>
        <v>1</v>
      </c>
      <c r="Y41">
        <f t="shared" si="43"/>
        <v>62.15112268868733</v>
      </c>
      <c r="Z41">
        <f t="shared" si="44"/>
        <v>1606.3707683333332</v>
      </c>
      <c r="AA41">
        <f t="shared" si="45"/>
        <v>62.655871355267806</v>
      </c>
      <c r="AB41">
        <f t="shared" si="15"/>
        <v>9.9355618989277457E-6</v>
      </c>
      <c r="AC41">
        <f t="shared" si="16"/>
        <v>6.3587596153137573E-4</v>
      </c>
      <c r="AD41">
        <f t="shared" si="17"/>
        <v>7</v>
      </c>
      <c r="AE41" s="13">
        <v>7.5</v>
      </c>
      <c r="AF41">
        <f t="shared" si="18"/>
        <v>8</v>
      </c>
      <c r="AG41" s="17">
        <v>69.3</v>
      </c>
      <c r="AH41" s="17">
        <v>67.900000000000006</v>
      </c>
      <c r="AI41" s="17">
        <v>66.599999999999994</v>
      </c>
      <c r="AJ41" s="17">
        <v>65.8</v>
      </c>
      <c r="AK41" s="17">
        <v>66</v>
      </c>
      <c r="AL41">
        <f t="shared" si="19"/>
        <v>62.654317396855923</v>
      </c>
      <c r="AM41">
        <f t="shared" si="20"/>
        <v>62.655871355267813</v>
      </c>
      <c r="AN41">
        <f t="shared" si="21"/>
        <v>62.655871355267813</v>
      </c>
      <c r="AO41">
        <f t="shared" si="22"/>
        <v>62.654317396855923</v>
      </c>
      <c r="AP41">
        <f t="shared" si="23"/>
        <v>62.641888503924193</v>
      </c>
      <c r="AQ41">
        <f t="shared" si="24"/>
        <v>-6.6456826031440741</v>
      </c>
      <c r="AR41">
        <f t="shared" si="25"/>
        <v>-5.2441286447321929</v>
      </c>
      <c r="AS41">
        <f t="shared" si="26"/>
        <v>-3.9441286447321815</v>
      </c>
      <c r="AT41">
        <f t="shared" si="27"/>
        <v>-3.1456826031440741</v>
      </c>
      <c r="AU41">
        <f t="shared" si="28"/>
        <v>-3.3581114960758072</v>
      </c>
      <c r="AV41">
        <f t="shared" si="29"/>
        <v>6.6456826031440741</v>
      </c>
      <c r="AW41">
        <f t="shared" si="30"/>
        <v>5.2441286447321929</v>
      </c>
      <c r="AX41">
        <f t="shared" si="31"/>
        <v>3.9441286447321815</v>
      </c>
      <c r="AY41">
        <f t="shared" si="32"/>
        <v>3.1456826031440741</v>
      </c>
      <c r="AZ41">
        <f t="shared" si="33"/>
        <v>3.3581114960758072</v>
      </c>
      <c r="BA41">
        <f t="shared" si="34"/>
        <v>4.4675467983656656</v>
      </c>
      <c r="BD41">
        <v>0.40032000000000001</v>
      </c>
      <c r="BE41">
        <v>0.58692</v>
      </c>
      <c r="BF41">
        <v>0.89149999999999996</v>
      </c>
      <c r="BG41">
        <v>0.28216000000000002</v>
      </c>
      <c r="BI41">
        <v>63.94</v>
      </c>
      <c r="BJ41">
        <v>61.27</v>
      </c>
      <c r="BK41">
        <v>53.23</v>
      </c>
      <c r="BL41">
        <v>64.67</v>
      </c>
      <c r="BM41">
        <v>7566.1064500000002</v>
      </c>
      <c r="BN41">
        <v>22185.466799999998</v>
      </c>
      <c r="BO41">
        <v>22465.917969999999</v>
      </c>
      <c r="BP41">
        <v>19553.845700000002</v>
      </c>
    </row>
    <row r="42" spans="1:68">
      <c r="A42">
        <v>353</v>
      </c>
      <c r="B42" t="s">
        <v>98</v>
      </c>
      <c r="C42" t="s">
        <v>98</v>
      </c>
      <c r="D42">
        <v>1145</v>
      </c>
      <c r="E42">
        <v>1182</v>
      </c>
      <c r="F42">
        <v>2</v>
      </c>
      <c r="G42">
        <v>0.74553999999999998</v>
      </c>
      <c r="H42">
        <v>65</v>
      </c>
      <c r="I42">
        <v>2100</v>
      </c>
      <c r="J42">
        <f t="shared" si="7"/>
        <v>4.1836864539729977</v>
      </c>
      <c r="K42">
        <v>1.28</v>
      </c>
      <c r="L42" s="4">
        <v>0.85899999999999999</v>
      </c>
      <c r="M42">
        <f t="shared" si="46"/>
        <v>2100</v>
      </c>
      <c r="N42">
        <f t="shared" si="47"/>
        <v>65</v>
      </c>
      <c r="O42">
        <v>45</v>
      </c>
      <c r="P42">
        <f t="shared" si="10"/>
        <v>46.666666666666664</v>
      </c>
      <c r="Q42">
        <f t="shared" si="11"/>
        <v>4.1836864539729977</v>
      </c>
      <c r="R42">
        <v>3</v>
      </c>
      <c r="S42" s="17">
        <v>4750.75</v>
      </c>
      <c r="T42" s="18">
        <f t="shared" si="12"/>
        <v>1583.5833333333333</v>
      </c>
      <c r="U42">
        <f t="shared" si="41"/>
        <v>0.75408730158730153</v>
      </c>
      <c r="V42" s="18">
        <v>-1</v>
      </c>
      <c r="W42" s="18">
        <v>-1</v>
      </c>
      <c r="X42" s="20">
        <f t="shared" si="42"/>
        <v>1</v>
      </c>
      <c r="Y42">
        <f t="shared" si="43"/>
        <v>62.337426900245937</v>
      </c>
      <c r="Z42">
        <f t="shared" si="44"/>
        <v>1583.5833333333333</v>
      </c>
      <c r="AA42">
        <f t="shared" si="45"/>
        <v>63.647910831233894</v>
      </c>
      <c r="AB42">
        <f t="shared" si="15"/>
        <v>9.921444896979961E-6</v>
      </c>
      <c r="AC42">
        <f t="shared" si="16"/>
        <v>6.3497247340671751E-4</v>
      </c>
      <c r="AD42">
        <f t="shared" si="17"/>
        <v>7</v>
      </c>
      <c r="AE42" s="13">
        <v>7.5</v>
      </c>
      <c r="AF42">
        <f t="shared" si="18"/>
        <v>8</v>
      </c>
      <c r="AG42" s="17">
        <v>68.900000000000006</v>
      </c>
      <c r="AH42" s="17">
        <v>67.599999999999994</v>
      </c>
      <c r="AI42" s="17">
        <v>66.2</v>
      </c>
      <c r="AJ42" s="17">
        <v>65.900000000000006</v>
      </c>
      <c r="AK42" s="17">
        <v>65.900000000000006</v>
      </c>
      <c r="AL42">
        <f t="shared" si="19"/>
        <v>63.646286512703242</v>
      </c>
      <c r="AM42">
        <f t="shared" si="20"/>
        <v>63.647910831233894</v>
      </c>
      <c r="AN42">
        <f t="shared" si="21"/>
        <v>63.647910831233894</v>
      </c>
      <c r="AO42">
        <f t="shared" si="22"/>
        <v>63.646286512703242</v>
      </c>
      <c r="AP42">
        <f t="shared" si="23"/>
        <v>63.633294948480355</v>
      </c>
      <c r="AQ42">
        <f t="shared" si="24"/>
        <v>-5.2537134872967641</v>
      </c>
      <c r="AR42">
        <f t="shared" si="25"/>
        <v>-3.9520891687661006</v>
      </c>
      <c r="AS42">
        <f t="shared" si="26"/>
        <v>-2.5520891687661091</v>
      </c>
      <c r="AT42">
        <f t="shared" si="27"/>
        <v>-2.2537134872967641</v>
      </c>
      <c r="AU42">
        <f t="shared" si="28"/>
        <v>-2.2667050515196507</v>
      </c>
      <c r="AV42">
        <f t="shared" si="29"/>
        <v>5.2537134872967641</v>
      </c>
      <c r="AW42">
        <f t="shared" si="30"/>
        <v>3.9520891687661006</v>
      </c>
      <c r="AX42">
        <f t="shared" si="31"/>
        <v>2.5520891687661091</v>
      </c>
      <c r="AY42">
        <f t="shared" si="32"/>
        <v>2.2537134872967641</v>
      </c>
      <c r="AZ42">
        <f t="shared" si="33"/>
        <v>2.2667050515196507</v>
      </c>
      <c r="BA42">
        <f t="shared" si="34"/>
        <v>3.2556620727290779</v>
      </c>
      <c r="BD42">
        <v>0.56632000000000005</v>
      </c>
      <c r="BE42">
        <v>0.78115999999999997</v>
      </c>
      <c r="BF42">
        <v>1.10476</v>
      </c>
      <c r="BG42">
        <v>0.38890000000000002</v>
      </c>
      <c r="BI42">
        <v>61.66</v>
      </c>
      <c r="BJ42">
        <v>56.48</v>
      </c>
      <c r="BK42">
        <v>47.14</v>
      </c>
      <c r="BL42">
        <v>64.03</v>
      </c>
      <c r="BM42">
        <v>7135.5927700000002</v>
      </c>
      <c r="BN42">
        <v>19685.134770000001</v>
      </c>
      <c r="BO42">
        <v>18559.910159999999</v>
      </c>
      <c r="BP42">
        <v>17967.121090000001</v>
      </c>
    </row>
    <row r="43" spans="1:68">
      <c r="A43">
        <v>357</v>
      </c>
      <c r="B43" t="s">
        <v>99</v>
      </c>
      <c r="C43" t="s">
        <v>99</v>
      </c>
      <c r="D43">
        <v>1147</v>
      </c>
      <c r="E43">
        <v>1090</v>
      </c>
      <c r="F43">
        <v>2</v>
      </c>
      <c r="G43">
        <v>0.75441000000000003</v>
      </c>
      <c r="H43">
        <v>70</v>
      </c>
      <c r="I43">
        <v>2100</v>
      </c>
      <c r="J43">
        <f t="shared" si="7"/>
        <v>3.4190225827029095</v>
      </c>
      <c r="K43">
        <v>1.28</v>
      </c>
      <c r="L43" s="4">
        <v>0.85899999999999999</v>
      </c>
      <c r="M43">
        <f t="shared" si="46"/>
        <v>2100</v>
      </c>
      <c r="N43">
        <f t="shared" si="47"/>
        <v>70</v>
      </c>
      <c r="O43">
        <v>45</v>
      </c>
      <c r="P43">
        <f t="shared" si="10"/>
        <v>46.666666666666664</v>
      </c>
      <c r="Q43">
        <f t="shared" si="11"/>
        <v>3.4190225827029095</v>
      </c>
      <c r="R43">
        <v>3</v>
      </c>
      <c r="S43" s="17">
        <v>4626.064453</v>
      </c>
      <c r="T43" s="18">
        <f t="shared" si="12"/>
        <v>1542.0214843333333</v>
      </c>
      <c r="U43">
        <f t="shared" si="41"/>
        <v>0.73429594492063488</v>
      </c>
      <c r="V43" s="18">
        <v>-1</v>
      </c>
      <c r="W43" s="18">
        <v>-1</v>
      </c>
      <c r="X43" s="20">
        <f t="shared" si="42"/>
        <v>1</v>
      </c>
      <c r="Y43">
        <f t="shared" si="43"/>
        <v>65.97734403819895</v>
      </c>
      <c r="Z43">
        <f t="shared" si="44"/>
        <v>1542.0214843333333</v>
      </c>
      <c r="AA43">
        <f t="shared" si="45"/>
        <v>65.536637659462428</v>
      </c>
      <c r="AB43">
        <f t="shared" si="15"/>
        <v>9.8952191991529212E-6</v>
      </c>
      <c r="AC43">
        <f t="shared" si="16"/>
        <v>6.3329402874578696E-4</v>
      </c>
      <c r="AD43">
        <f t="shared" si="17"/>
        <v>7</v>
      </c>
      <c r="AE43" s="13">
        <v>7.5</v>
      </c>
      <c r="AF43">
        <f t="shared" si="18"/>
        <v>8</v>
      </c>
      <c r="AG43" s="17">
        <v>68.099999999999994</v>
      </c>
      <c r="AH43" s="17">
        <v>64.599999999999994</v>
      </c>
      <c r="AI43" s="17">
        <v>67.099999999999994</v>
      </c>
      <c r="AJ43" s="17">
        <v>66.3</v>
      </c>
      <c r="AK43" s="17">
        <v>66.2</v>
      </c>
      <c r="AL43">
        <f t="shared" si="19"/>
        <v>65.534873769080917</v>
      </c>
      <c r="AM43">
        <f t="shared" si="20"/>
        <v>65.536637659462428</v>
      </c>
      <c r="AN43">
        <f t="shared" si="21"/>
        <v>65.536637659462428</v>
      </c>
      <c r="AO43">
        <f t="shared" si="22"/>
        <v>65.534873769080917</v>
      </c>
      <c r="AP43">
        <f t="shared" si="23"/>
        <v>65.52076606344616</v>
      </c>
      <c r="AQ43">
        <f t="shared" si="24"/>
        <v>-2.565126230919077</v>
      </c>
      <c r="AR43">
        <f t="shared" si="25"/>
        <v>0.93663765946243416</v>
      </c>
      <c r="AS43">
        <f t="shared" si="26"/>
        <v>-1.5633623405375658</v>
      </c>
      <c r="AT43">
        <f t="shared" si="27"/>
        <v>-0.76512623091907983</v>
      </c>
      <c r="AU43">
        <f t="shared" si="28"/>
        <v>-0.67923393655384245</v>
      </c>
      <c r="AV43">
        <f t="shared" si="29"/>
        <v>2.565126230919077</v>
      </c>
      <c r="AW43">
        <f t="shared" si="30"/>
        <v>0.93663765946243416</v>
      </c>
      <c r="AX43">
        <f t="shared" si="31"/>
        <v>1.5633623405375658</v>
      </c>
      <c r="AY43">
        <f t="shared" si="32"/>
        <v>0.76512623091907983</v>
      </c>
      <c r="AZ43">
        <f t="shared" si="33"/>
        <v>0.67923393655384245</v>
      </c>
      <c r="BA43">
        <f t="shared" si="34"/>
        <v>1.3018972796783999</v>
      </c>
      <c r="BD43">
        <v>0.57759000000000005</v>
      </c>
      <c r="BE43">
        <v>0.53503999999999996</v>
      </c>
      <c r="BF43">
        <v>0.65153000000000005</v>
      </c>
      <c r="BG43">
        <v>0.17488999999999999</v>
      </c>
      <c r="BI43">
        <v>65.260000000000005</v>
      </c>
      <c r="BJ43">
        <v>66.28</v>
      </c>
      <c r="BK43">
        <v>63.18</v>
      </c>
      <c r="BL43">
        <v>69.91</v>
      </c>
      <c r="BM43">
        <v>7277.5820299999996</v>
      </c>
      <c r="BN43">
        <v>13483.090819999999</v>
      </c>
      <c r="BO43">
        <v>10945.688480000001</v>
      </c>
      <c r="BP43">
        <v>8079.8735399999996</v>
      </c>
    </row>
    <row r="44" spans="1:68">
      <c r="A44">
        <v>359</v>
      </c>
      <c r="B44" t="s">
        <v>100</v>
      </c>
      <c r="C44" t="s">
        <v>100</v>
      </c>
      <c r="D44">
        <v>1148</v>
      </c>
      <c r="E44">
        <v>1095</v>
      </c>
      <c r="F44">
        <v>2</v>
      </c>
      <c r="G44">
        <v>0.83755000000000002</v>
      </c>
      <c r="H44">
        <v>65</v>
      </c>
      <c r="I44">
        <v>2100</v>
      </c>
      <c r="J44">
        <f t="shared" si="7"/>
        <v>4.1836864539729977</v>
      </c>
      <c r="K44">
        <v>1.28</v>
      </c>
      <c r="L44" s="4">
        <v>0.85899999999999999</v>
      </c>
      <c r="M44">
        <f t="shared" si="46"/>
        <v>2100</v>
      </c>
      <c r="N44">
        <f t="shared" si="47"/>
        <v>65</v>
      </c>
      <c r="O44">
        <v>45</v>
      </c>
      <c r="P44">
        <f t="shared" si="10"/>
        <v>46.666666666666664</v>
      </c>
      <c r="Q44">
        <f t="shared" si="11"/>
        <v>4.1836864539729977</v>
      </c>
      <c r="R44">
        <v>3</v>
      </c>
      <c r="S44" s="17">
        <v>5161.3471680000002</v>
      </c>
      <c r="T44" s="18">
        <f t="shared" si="12"/>
        <v>1720.4490560000002</v>
      </c>
      <c r="U44">
        <f t="shared" si="41"/>
        <v>0.81926145523809535</v>
      </c>
      <c r="V44" s="18">
        <v>-1</v>
      </c>
      <c r="W44" s="18">
        <v>-1</v>
      </c>
      <c r="X44" s="20">
        <f t="shared" si="42"/>
        <v>1</v>
      </c>
      <c r="Y44">
        <f t="shared" si="43"/>
        <v>61.015934256116175</v>
      </c>
      <c r="Z44">
        <f t="shared" si="44"/>
        <v>1720.4490560000002</v>
      </c>
      <c r="AA44">
        <f t="shared" si="45"/>
        <v>58.103253163493342</v>
      </c>
      <c r="AB44">
        <f t="shared" si="15"/>
        <v>1.0003632613542819E-5</v>
      </c>
      <c r="AC44">
        <f t="shared" si="16"/>
        <v>6.4023248726674043E-4</v>
      </c>
      <c r="AD44">
        <f t="shared" si="17"/>
        <v>7</v>
      </c>
      <c r="AE44" s="13">
        <v>7.5</v>
      </c>
      <c r="AF44">
        <f t="shared" si="18"/>
        <v>8</v>
      </c>
      <c r="AG44" s="17">
        <v>66.400000000000006</v>
      </c>
      <c r="AH44" s="17">
        <v>66.5</v>
      </c>
      <c r="AI44" s="17">
        <v>65.400000000000006</v>
      </c>
      <c r="AJ44" s="17">
        <v>65.400000000000006</v>
      </c>
      <c r="AK44" s="17">
        <v>64.599999999999994</v>
      </c>
      <c r="AL44">
        <f t="shared" si="19"/>
        <v>58.101996880738838</v>
      </c>
      <c r="AM44">
        <f t="shared" si="20"/>
        <v>58.103253163493342</v>
      </c>
      <c r="AN44">
        <f t="shared" si="21"/>
        <v>58.103253163493342</v>
      </c>
      <c r="AO44">
        <f t="shared" si="22"/>
        <v>58.101996880738838</v>
      </c>
      <c r="AP44">
        <f t="shared" si="23"/>
        <v>58.091948574085308</v>
      </c>
      <c r="AQ44">
        <f t="shared" si="24"/>
        <v>-8.2980031192611676</v>
      </c>
      <c r="AR44">
        <f t="shared" si="25"/>
        <v>-8.396746836506658</v>
      </c>
      <c r="AS44">
        <f t="shared" si="26"/>
        <v>-7.2967468365066637</v>
      </c>
      <c r="AT44">
        <f t="shared" si="27"/>
        <v>-7.2980031192611676</v>
      </c>
      <c r="AU44">
        <f t="shared" si="28"/>
        <v>-6.5080514259146867</v>
      </c>
      <c r="AV44">
        <f t="shared" si="29"/>
        <v>8.2980031192611676</v>
      </c>
      <c r="AW44">
        <f t="shared" si="30"/>
        <v>8.396746836506658</v>
      </c>
      <c r="AX44">
        <f t="shared" si="31"/>
        <v>7.2967468365066637</v>
      </c>
      <c r="AY44">
        <f t="shared" si="32"/>
        <v>7.2980031192611676</v>
      </c>
      <c r="AZ44">
        <f t="shared" si="33"/>
        <v>6.5080514259146867</v>
      </c>
      <c r="BA44">
        <f t="shared" si="34"/>
        <v>7.5595102674900687</v>
      </c>
      <c r="BD44">
        <v>0.4602</v>
      </c>
      <c r="BE44">
        <v>0.55095000000000005</v>
      </c>
      <c r="BF44">
        <v>0.71704999999999997</v>
      </c>
      <c r="BG44">
        <v>0.23938999999999999</v>
      </c>
      <c r="BI44">
        <v>63.29</v>
      </c>
      <c r="BJ44">
        <v>61.95</v>
      </c>
      <c r="BK44">
        <v>58.24</v>
      </c>
      <c r="BL44">
        <v>64.81</v>
      </c>
      <c r="BM44">
        <v>5798.5253899999998</v>
      </c>
      <c r="BN44">
        <v>13883.833979999999</v>
      </c>
      <c r="BO44">
        <v>12046.367190000001</v>
      </c>
      <c r="BP44">
        <v>11059.9668</v>
      </c>
    </row>
    <row r="45" spans="1:68">
      <c r="A45">
        <v>368</v>
      </c>
      <c r="B45" t="s">
        <v>101</v>
      </c>
      <c r="C45" t="s">
        <v>101</v>
      </c>
      <c r="D45">
        <v>1151</v>
      </c>
      <c r="E45">
        <v>1189</v>
      </c>
      <c r="F45">
        <v>2</v>
      </c>
      <c r="G45">
        <v>0.92515999999999998</v>
      </c>
      <c r="H45">
        <v>70</v>
      </c>
      <c r="I45">
        <v>2100</v>
      </c>
      <c r="J45">
        <f t="shared" si="7"/>
        <v>3.4190225827029095</v>
      </c>
      <c r="K45">
        <v>1.28</v>
      </c>
      <c r="L45" s="4">
        <v>0.85899999999999999</v>
      </c>
      <c r="M45">
        <f t="shared" si="46"/>
        <v>2100</v>
      </c>
      <c r="N45">
        <f t="shared" si="47"/>
        <v>70</v>
      </c>
      <c r="O45">
        <v>45</v>
      </c>
      <c r="P45">
        <f t="shared" si="10"/>
        <v>46.666666666666664</v>
      </c>
      <c r="Q45">
        <f t="shared" si="11"/>
        <v>3.4190225827029095</v>
      </c>
      <c r="R45">
        <v>3</v>
      </c>
      <c r="S45" s="17">
        <v>4860.4790039999998</v>
      </c>
      <c r="T45" s="18">
        <f t="shared" si="12"/>
        <v>1620.159668</v>
      </c>
      <c r="U45">
        <f t="shared" si="41"/>
        <v>0.77150460380952379</v>
      </c>
      <c r="V45" s="18">
        <v>-1</v>
      </c>
      <c r="W45" s="18">
        <v>-1</v>
      </c>
      <c r="X45" s="20">
        <f t="shared" si="42"/>
        <v>1</v>
      </c>
      <c r="Y45">
        <f t="shared" si="43"/>
        <v>65.104610721044722</v>
      </c>
      <c r="Z45">
        <f t="shared" si="44"/>
        <v>1620.159668</v>
      </c>
      <c r="AA45">
        <f t="shared" si="45"/>
        <v>62.069797607522268</v>
      </c>
      <c r="AB45">
        <f t="shared" si="15"/>
        <v>9.9440169066587834E-6</v>
      </c>
      <c r="AC45">
        <f t="shared" si="16"/>
        <v>6.3641708202616214E-4</v>
      </c>
      <c r="AD45">
        <f t="shared" si="17"/>
        <v>7</v>
      </c>
      <c r="AE45" s="13">
        <v>7.5</v>
      </c>
      <c r="AF45">
        <f t="shared" si="18"/>
        <v>8</v>
      </c>
      <c r="AG45" s="17">
        <v>67.599999999999994</v>
      </c>
      <c r="AH45" s="17">
        <v>64.2</v>
      </c>
      <c r="AI45" s="17">
        <v>66.7</v>
      </c>
      <c r="AJ45" s="17">
        <v>65.900000000000006</v>
      </c>
      <c r="AK45" s="17">
        <v>65.900000000000006</v>
      </c>
      <c r="AL45">
        <f t="shared" si="19"/>
        <v>62.068284275990528</v>
      </c>
      <c r="AM45">
        <f t="shared" si="20"/>
        <v>62.069797607522261</v>
      </c>
      <c r="AN45">
        <f t="shared" si="21"/>
        <v>62.069797607522261</v>
      </c>
      <c r="AO45">
        <f t="shared" si="22"/>
        <v>62.068284275990528</v>
      </c>
      <c r="AP45">
        <f t="shared" si="23"/>
        <v>62.0561802797829</v>
      </c>
      <c r="AQ45">
        <f t="shared" si="24"/>
        <v>-5.5317157240094659</v>
      </c>
      <c r="AR45">
        <f t="shared" si="25"/>
        <v>-2.1302023924777416</v>
      </c>
      <c r="AS45">
        <f t="shared" si="26"/>
        <v>-4.6302023924777416</v>
      </c>
      <c r="AT45">
        <f t="shared" si="27"/>
        <v>-3.8317157240094772</v>
      </c>
      <c r="AU45">
        <f t="shared" si="28"/>
        <v>-3.8438197202171054</v>
      </c>
      <c r="AV45">
        <f t="shared" si="29"/>
        <v>5.5317157240094659</v>
      </c>
      <c r="AW45">
        <f t="shared" si="30"/>
        <v>2.1302023924777416</v>
      </c>
      <c r="AX45">
        <f t="shared" si="31"/>
        <v>4.6302023924777416</v>
      </c>
      <c r="AY45">
        <f t="shared" si="32"/>
        <v>3.8317157240094772</v>
      </c>
      <c r="AZ45">
        <f t="shared" si="33"/>
        <v>3.8438197202171054</v>
      </c>
      <c r="BA45">
        <f t="shared" si="34"/>
        <v>3.9935311906383064</v>
      </c>
      <c r="BD45">
        <v>0.54815000000000003</v>
      </c>
      <c r="BE45">
        <v>0.51898</v>
      </c>
      <c r="BF45">
        <v>0.63690000000000002</v>
      </c>
      <c r="BG45">
        <v>0.17072999999999999</v>
      </c>
      <c r="BI45">
        <v>66</v>
      </c>
      <c r="BJ45">
        <v>66.62</v>
      </c>
      <c r="BK45">
        <v>63.61</v>
      </c>
      <c r="BL45">
        <v>69.92</v>
      </c>
      <c r="BM45">
        <v>6906.6362300000001</v>
      </c>
      <c r="BN45">
        <v>13078.250980000001</v>
      </c>
      <c r="BO45">
        <v>10699.872069999999</v>
      </c>
      <c r="BP45">
        <v>7887.5219699999998</v>
      </c>
    </row>
    <row r="46" spans="1:68">
      <c r="A46">
        <v>380</v>
      </c>
      <c r="B46" t="s">
        <v>102</v>
      </c>
      <c r="C46" t="s">
        <v>102</v>
      </c>
      <c r="D46">
        <v>1156</v>
      </c>
      <c r="E46">
        <v>1074</v>
      </c>
      <c r="F46">
        <v>3</v>
      </c>
      <c r="G46">
        <v>0.63288999999999995</v>
      </c>
      <c r="H46">
        <v>62</v>
      </c>
      <c r="I46">
        <v>2100</v>
      </c>
      <c r="J46">
        <f t="shared" si="7"/>
        <v>4.8795269895941189</v>
      </c>
      <c r="K46">
        <v>1.28</v>
      </c>
      <c r="L46" s="4">
        <v>0.85899999999999999</v>
      </c>
      <c r="M46">
        <f t="shared" si="46"/>
        <v>2100</v>
      </c>
      <c r="N46">
        <f t="shared" si="47"/>
        <v>62</v>
      </c>
      <c r="O46">
        <v>45</v>
      </c>
      <c r="P46">
        <f t="shared" si="10"/>
        <v>46.666666666666664</v>
      </c>
      <c r="Q46">
        <f t="shared" si="11"/>
        <v>4.8795269895941189</v>
      </c>
      <c r="R46">
        <v>3</v>
      </c>
      <c r="S46" s="17">
        <v>5236.8842770000001</v>
      </c>
      <c r="T46" s="18">
        <f t="shared" si="12"/>
        <v>1745.6280923333334</v>
      </c>
      <c r="U46">
        <f t="shared" si="41"/>
        <v>0.83125147253968257</v>
      </c>
      <c r="V46" s="18">
        <v>-1</v>
      </c>
      <c r="W46" s="18">
        <v>-1</v>
      </c>
      <c r="X46" s="20">
        <f t="shared" si="42"/>
        <v>1</v>
      </c>
      <c r="Y46">
        <f t="shared" si="43"/>
        <v>58.983239384897473</v>
      </c>
      <c r="Z46">
        <f t="shared" si="44"/>
        <v>1745.6280923333334</v>
      </c>
      <c r="AA46">
        <f t="shared" si="45"/>
        <v>57.182426721440855</v>
      </c>
      <c r="AB46">
        <f t="shared" si="15"/>
        <v>1.001810768227617E-5</v>
      </c>
      <c r="AC46">
        <f t="shared" si="16"/>
        <v>6.4115889166567485E-4</v>
      </c>
      <c r="AD46">
        <f t="shared" si="17"/>
        <v>7</v>
      </c>
      <c r="AE46" s="13">
        <v>7.5</v>
      </c>
      <c r="AF46">
        <f t="shared" si="18"/>
        <v>8</v>
      </c>
      <c r="AG46" s="17">
        <v>68.900000000000006</v>
      </c>
      <c r="AH46" s="17">
        <v>67.5</v>
      </c>
      <c r="AI46" s="17">
        <v>66.400000000000006</v>
      </c>
      <c r="AJ46" s="17">
        <v>64.900000000000006</v>
      </c>
      <c r="AK46" s="17">
        <v>65.5</v>
      </c>
      <c r="AL46">
        <f t="shared" si="19"/>
        <v>57.181225757438639</v>
      </c>
      <c r="AM46">
        <f t="shared" si="20"/>
        <v>57.182426721440855</v>
      </c>
      <c r="AN46">
        <f t="shared" si="21"/>
        <v>57.182426721440855</v>
      </c>
      <c r="AO46">
        <f t="shared" si="22"/>
        <v>57.181225757438639</v>
      </c>
      <c r="AP46">
        <f t="shared" si="23"/>
        <v>57.171619861174513</v>
      </c>
      <c r="AQ46">
        <f t="shared" si="24"/>
        <v>-11.718774242561366</v>
      </c>
      <c r="AR46">
        <f t="shared" si="25"/>
        <v>-10.317573278559145</v>
      </c>
      <c r="AS46">
        <f t="shared" si="26"/>
        <v>-9.2175732785591507</v>
      </c>
      <c r="AT46">
        <f t="shared" si="27"/>
        <v>-7.7187742425613663</v>
      </c>
      <c r="AU46">
        <f t="shared" si="28"/>
        <v>-8.3283801388254872</v>
      </c>
      <c r="AV46">
        <f t="shared" si="29"/>
        <v>11.718774242561366</v>
      </c>
      <c r="AW46">
        <f t="shared" si="30"/>
        <v>10.317573278559145</v>
      </c>
      <c r="AX46">
        <f t="shared" si="31"/>
        <v>9.2175732785591507</v>
      </c>
      <c r="AY46">
        <f t="shared" si="32"/>
        <v>7.7187742425613663</v>
      </c>
      <c r="AZ46">
        <f t="shared" si="33"/>
        <v>8.3283801388254872</v>
      </c>
      <c r="BA46">
        <f t="shared" si="34"/>
        <v>9.4602150362133024</v>
      </c>
      <c r="BD46">
        <v>0.56516999999999995</v>
      </c>
      <c r="BE46">
        <v>0.75495000000000001</v>
      </c>
      <c r="BF46">
        <v>1.0162800000000001</v>
      </c>
      <c r="BG46">
        <v>0.44211</v>
      </c>
      <c r="BI46">
        <v>57.13</v>
      </c>
      <c r="BJ46">
        <v>50.6</v>
      </c>
      <c r="BK46">
        <v>39.67</v>
      </c>
      <c r="BL46">
        <v>59.81</v>
      </c>
      <c r="BM46">
        <v>10681.69434</v>
      </c>
      <c r="BN46">
        <v>28537.185549999998</v>
      </c>
      <c r="BO46">
        <v>25610.339840000001</v>
      </c>
      <c r="BP46">
        <v>30637.884770000001</v>
      </c>
    </row>
    <row r="47" spans="1:68">
      <c r="A47">
        <v>384</v>
      </c>
      <c r="B47" t="s">
        <v>103</v>
      </c>
      <c r="C47" t="s">
        <v>103</v>
      </c>
      <c r="D47">
        <v>1158</v>
      </c>
      <c r="E47">
        <v>1163</v>
      </c>
      <c r="F47">
        <v>3</v>
      </c>
      <c r="G47">
        <v>0.75178999999999996</v>
      </c>
      <c r="H47">
        <v>62</v>
      </c>
      <c r="I47">
        <v>2100</v>
      </c>
      <c r="J47">
        <f t="shared" si="7"/>
        <v>4.8795269895941189</v>
      </c>
      <c r="K47">
        <v>1.28</v>
      </c>
      <c r="L47" s="4">
        <v>0.85899999999999999</v>
      </c>
      <c r="M47">
        <f t="shared" si="46"/>
        <v>2100</v>
      </c>
      <c r="N47">
        <f t="shared" si="47"/>
        <v>62</v>
      </c>
      <c r="O47">
        <v>45</v>
      </c>
      <c r="P47">
        <f t="shared" si="10"/>
        <v>46.666666666666664</v>
      </c>
      <c r="Q47">
        <f t="shared" si="11"/>
        <v>4.8795269895941189</v>
      </c>
      <c r="R47">
        <v>3</v>
      </c>
      <c r="S47" s="17">
        <v>5217.8901370000003</v>
      </c>
      <c r="T47" s="18">
        <f t="shared" si="12"/>
        <v>1739.2967123333335</v>
      </c>
      <c r="U47">
        <f t="shared" si="41"/>
        <v>0.8282365296825398</v>
      </c>
      <c r="V47" s="18">
        <v>-1</v>
      </c>
      <c r="W47" s="18">
        <v>-1</v>
      </c>
      <c r="X47" s="20">
        <f t="shared" si="42"/>
        <v>1</v>
      </c>
      <c r="Y47">
        <f t="shared" si="43"/>
        <v>59.04615876736753</v>
      </c>
      <c r="Z47">
        <f t="shared" si="44"/>
        <v>1739.2967123333335</v>
      </c>
      <c r="AA47">
        <f t="shared" si="45"/>
        <v>57.411338949802214</v>
      </c>
      <c r="AB47">
        <f t="shared" si="15"/>
        <v>1.0014485644433074E-5</v>
      </c>
      <c r="AC47">
        <f t="shared" si="16"/>
        <v>6.4092708124371674E-4</v>
      </c>
      <c r="AD47">
        <f t="shared" si="17"/>
        <v>7</v>
      </c>
      <c r="AE47" s="13">
        <v>7.5</v>
      </c>
      <c r="AF47">
        <f t="shared" si="18"/>
        <v>8</v>
      </c>
      <c r="AG47" s="17">
        <v>68.7</v>
      </c>
      <c r="AH47" s="17">
        <v>68</v>
      </c>
      <c r="AI47" s="17">
        <v>66.599999999999994</v>
      </c>
      <c r="AJ47" s="17">
        <v>65.599999999999994</v>
      </c>
      <c r="AK47" s="17">
        <v>66.400000000000006</v>
      </c>
      <c r="AL47">
        <f t="shared" si="19"/>
        <v>57.410124383829661</v>
      </c>
      <c r="AM47">
        <f t="shared" si="20"/>
        <v>57.411338949802207</v>
      </c>
      <c r="AN47">
        <f t="shared" si="21"/>
        <v>57.411338949802207</v>
      </c>
      <c r="AO47">
        <f t="shared" si="22"/>
        <v>57.410124383829661</v>
      </c>
      <c r="AP47">
        <f t="shared" si="23"/>
        <v>57.400409705758875</v>
      </c>
      <c r="AQ47">
        <f t="shared" si="24"/>
        <v>-11.289875616170342</v>
      </c>
      <c r="AR47">
        <f t="shared" si="25"/>
        <v>-10.588661050197793</v>
      </c>
      <c r="AS47">
        <f t="shared" si="26"/>
        <v>-9.188661050197787</v>
      </c>
      <c r="AT47">
        <f t="shared" si="27"/>
        <v>-8.1898756161703332</v>
      </c>
      <c r="AU47">
        <f t="shared" si="28"/>
        <v>-8.9995902942411306</v>
      </c>
      <c r="AV47">
        <f t="shared" si="29"/>
        <v>11.289875616170342</v>
      </c>
      <c r="AW47">
        <f t="shared" si="30"/>
        <v>10.588661050197793</v>
      </c>
      <c r="AX47">
        <f t="shared" si="31"/>
        <v>9.188661050197787</v>
      </c>
      <c r="AY47">
        <f t="shared" si="32"/>
        <v>8.1898756161703332</v>
      </c>
      <c r="AZ47">
        <f t="shared" si="33"/>
        <v>8.9995902942411306</v>
      </c>
      <c r="BA47">
        <f t="shared" si="34"/>
        <v>9.651332725395477</v>
      </c>
      <c r="BD47">
        <v>0.54291</v>
      </c>
      <c r="BE47">
        <v>0.73041</v>
      </c>
      <c r="BF47">
        <v>1.0103800000000001</v>
      </c>
      <c r="BG47">
        <v>0.43591000000000002</v>
      </c>
      <c r="BI47">
        <v>57.72</v>
      </c>
      <c r="BJ47">
        <v>51.57</v>
      </c>
      <c r="BK47">
        <v>39.79</v>
      </c>
      <c r="BL47">
        <v>59.9</v>
      </c>
      <c r="BM47">
        <v>10260.933590000001</v>
      </c>
      <c r="BN47">
        <v>27609.414059999999</v>
      </c>
      <c r="BO47">
        <v>25461.453130000002</v>
      </c>
      <c r="BP47">
        <v>30208.875</v>
      </c>
    </row>
    <row r="48" spans="1:68">
      <c r="A48">
        <v>385</v>
      </c>
      <c r="B48" t="s">
        <v>104</v>
      </c>
      <c r="C48" t="s">
        <v>104</v>
      </c>
      <c r="D48">
        <v>1159</v>
      </c>
      <c r="E48">
        <v>1071</v>
      </c>
      <c r="F48">
        <v>3</v>
      </c>
      <c r="G48">
        <v>0.21246999999999999</v>
      </c>
      <c r="H48">
        <v>62</v>
      </c>
      <c r="I48">
        <v>2100</v>
      </c>
      <c r="J48">
        <f t="shared" si="7"/>
        <v>4.8795269895941189</v>
      </c>
      <c r="K48">
        <v>1.28</v>
      </c>
      <c r="L48" s="4">
        <v>0.85899999999999999</v>
      </c>
      <c r="M48">
        <f t="shared" si="46"/>
        <v>2100</v>
      </c>
      <c r="N48">
        <f t="shared" si="47"/>
        <v>62</v>
      </c>
      <c r="O48">
        <v>45</v>
      </c>
      <c r="P48">
        <f t="shared" si="10"/>
        <v>46.666666666666664</v>
      </c>
      <c r="Q48">
        <f t="shared" si="11"/>
        <v>4.8795269895941189</v>
      </c>
      <c r="R48">
        <v>3</v>
      </c>
      <c r="S48" s="17">
        <v>5724.7055659999996</v>
      </c>
      <c r="T48" s="18">
        <f t="shared" si="12"/>
        <v>1908.2351886666665</v>
      </c>
      <c r="U48">
        <f t="shared" si="41"/>
        <v>0.90868342317460316</v>
      </c>
      <c r="V48" s="18">
        <v>-1</v>
      </c>
      <c r="W48" s="18">
        <v>-1</v>
      </c>
      <c r="X48" s="20">
        <f t="shared" si="42"/>
        <v>1</v>
      </c>
      <c r="Y48">
        <f t="shared" si="43"/>
        <v>56.739639315435532</v>
      </c>
      <c r="Z48">
        <f t="shared" si="44"/>
        <v>1908.2351886666665</v>
      </c>
      <c r="AA48">
        <f t="shared" si="45"/>
        <v>51.848112769936961</v>
      </c>
      <c r="AB48">
        <f t="shared" si="15"/>
        <v>1.0107299776309096E-5</v>
      </c>
      <c r="AC48">
        <f t="shared" si="16"/>
        <v>6.4686718568378212E-4</v>
      </c>
      <c r="AD48">
        <f t="shared" si="17"/>
        <v>7</v>
      </c>
      <c r="AE48" s="13">
        <v>7.5</v>
      </c>
      <c r="AF48">
        <f t="shared" si="18"/>
        <v>8</v>
      </c>
      <c r="AG48" s="17">
        <v>66.400000000000006</v>
      </c>
      <c r="AH48" s="17">
        <v>60.3</v>
      </c>
      <c r="AI48" s="17">
        <v>65.099999999999994</v>
      </c>
      <c r="AJ48" s="17">
        <v>66.900000000000006</v>
      </c>
      <c r="AK48" s="17">
        <v>67.2</v>
      </c>
      <c r="AL48">
        <f t="shared" si="19"/>
        <v>51.847201511643981</v>
      </c>
      <c r="AM48">
        <f t="shared" si="20"/>
        <v>51.848112769936968</v>
      </c>
      <c r="AN48">
        <f t="shared" si="21"/>
        <v>51.848112769936968</v>
      </c>
      <c r="AO48">
        <f t="shared" si="22"/>
        <v>51.847201511643981</v>
      </c>
      <c r="AP48">
        <f t="shared" si="23"/>
        <v>51.839912598279355</v>
      </c>
      <c r="AQ48">
        <f t="shared" si="24"/>
        <v>-14.552798488356025</v>
      </c>
      <c r="AR48">
        <f t="shared" si="25"/>
        <v>-8.4518872300630292</v>
      </c>
      <c r="AS48">
        <f t="shared" si="26"/>
        <v>-13.251887230063026</v>
      </c>
      <c r="AT48">
        <f t="shared" si="27"/>
        <v>-15.052798488356025</v>
      </c>
      <c r="AU48">
        <f t="shared" si="28"/>
        <v>-15.360087401720648</v>
      </c>
      <c r="AV48">
        <f t="shared" si="29"/>
        <v>14.552798488356025</v>
      </c>
      <c r="AW48">
        <f t="shared" si="30"/>
        <v>8.4518872300630292</v>
      </c>
      <c r="AX48">
        <f t="shared" si="31"/>
        <v>13.251887230063026</v>
      </c>
      <c r="AY48">
        <f t="shared" si="32"/>
        <v>15.052798488356025</v>
      </c>
      <c r="AZ48">
        <f t="shared" si="33"/>
        <v>15.360087401720648</v>
      </c>
      <c r="BA48">
        <f t="shared" si="34"/>
        <v>13.333891767711751</v>
      </c>
      <c r="BD48">
        <v>0.82432000000000005</v>
      </c>
      <c r="BE48">
        <v>0.71231</v>
      </c>
      <c r="BF48">
        <v>0.74856999999999996</v>
      </c>
      <c r="BG48">
        <v>0.28602</v>
      </c>
      <c r="BI48">
        <v>47.68</v>
      </c>
      <c r="BJ48">
        <v>52.28</v>
      </c>
      <c r="BK48">
        <v>50.86</v>
      </c>
      <c r="BL48">
        <v>61.5</v>
      </c>
      <c r="BM48">
        <v>15579.691409999999</v>
      </c>
      <c r="BN48">
        <v>26925.212889999999</v>
      </c>
      <c r="BO48">
        <v>18863.914059999999</v>
      </c>
      <c r="BP48">
        <v>19821.054690000001</v>
      </c>
    </row>
    <row r="49" spans="1:68">
      <c r="A49">
        <v>386</v>
      </c>
      <c r="B49" t="s">
        <v>105</v>
      </c>
      <c r="C49" t="s">
        <v>105</v>
      </c>
      <c r="D49">
        <v>1160</v>
      </c>
      <c r="E49">
        <v>1069</v>
      </c>
      <c r="F49">
        <v>3</v>
      </c>
      <c r="G49">
        <v>0.32017000000000001</v>
      </c>
      <c r="H49">
        <v>65</v>
      </c>
      <c r="I49">
        <v>2100</v>
      </c>
      <c r="J49">
        <f t="shared" si="7"/>
        <v>4.1836864539729977</v>
      </c>
      <c r="K49">
        <v>1.28</v>
      </c>
      <c r="L49" s="4">
        <v>0.85899999999999999</v>
      </c>
      <c r="M49">
        <f t="shared" ref="M49:M65" si="48">I49</f>
        <v>2100</v>
      </c>
      <c r="N49">
        <f t="shared" ref="N49:N65" si="49">H49</f>
        <v>65</v>
      </c>
      <c r="O49">
        <v>45</v>
      </c>
      <c r="P49">
        <f t="shared" si="10"/>
        <v>46.666666666666664</v>
      </c>
      <c r="Q49">
        <f t="shared" si="11"/>
        <v>4.1836864539729977</v>
      </c>
      <c r="R49">
        <v>3</v>
      </c>
      <c r="S49" s="17">
        <v>5450.0527339999999</v>
      </c>
      <c r="T49" s="18">
        <f t="shared" si="12"/>
        <v>1816.6842446666667</v>
      </c>
      <c r="U49">
        <f t="shared" si="41"/>
        <v>0.86508773555555563</v>
      </c>
      <c r="V49" s="18">
        <v>7.4166670000000003</v>
      </c>
      <c r="W49" s="18">
        <v>7.6666670000000003</v>
      </c>
      <c r="X49" s="20">
        <f t="shared" si="42"/>
        <v>1</v>
      </c>
      <c r="Y49">
        <f t="shared" si="43"/>
        <v>59.70440800377169</v>
      </c>
      <c r="Z49">
        <f t="shared" si="44"/>
        <v>1816.6842446666667</v>
      </c>
      <c r="AA49">
        <f t="shared" si="45"/>
        <v>54.72810357182545</v>
      </c>
      <c r="AB49">
        <f t="shared" si="15"/>
        <v>1.0057965716044159E-5</v>
      </c>
      <c r="AC49">
        <f t="shared" si="16"/>
        <v>6.4370980582682618E-4</v>
      </c>
      <c r="AD49">
        <f t="shared" si="17"/>
        <v>7</v>
      </c>
      <c r="AE49" s="13">
        <v>7.5</v>
      </c>
      <c r="AF49">
        <f t="shared" si="18"/>
        <v>8</v>
      </c>
      <c r="AG49" s="17">
        <v>68.8</v>
      </c>
      <c r="AH49" s="17">
        <v>56.8</v>
      </c>
      <c r="AI49" s="17">
        <v>65.599999999999994</v>
      </c>
      <c r="AJ49" s="17">
        <v>67.900000000000006</v>
      </c>
      <c r="AK49" s="17">
        <v>68</v>
      </c>
      <c r="AL49">
        <f t="shared" si="19"/>
        <v>54.727042308754925</v>
      </c>
      <c r="AM49">
        <f t="shared" si="20"/>
        <v>54.72810357182545</v>
      </c>
      <c r="AN49">
        <f t="shared" si="21"/>
        <v>54.72810357182545</v>
      </c>
      <c r="AO49">
        <f t="shared" si="22"/>
        <v>54.727042308754925</v>
      </c>
      <c r="AP49">
        <f t="shared" si="23"/>
        <v>54.71855368568793</v>
      </c>
      <c r="AQ49">
        <f t="shared" si="24"/>
        <v>-14.072957691245072</v>
      </c>
      <c r="AR49">
        <f t="shared" si="25"/>
        <v>-2.0718964281745471</v>
      </c>
      <c r="AS49">
        <f t="shared" si="26"/>
        <v>-10.871896428174544</v>
      </c>
      <c r="AT49">
        <f t="shared" si="27"/>
        <v>-13.172957691245081</v>
      </c>
      <c r="AU49">
        <f t="shared" si="28"/>
        <v>-13.28144631431207</v>
      </c>
      <c r="AV49">
        <f t="shared" si="29"/>
        <v>14.072957691245072</v>
      </c>
      <c r="AW49">
        <f t="shared" si="30"/>
        <v>2.0718964281745471</v>
      </c>
      <c r="AX49">
        <f t="shared" si="31"/>
        <v>10.871896428174544</v>
      </c>
      <c r="AY49">
        <f t="shared" si="32"/>
        <v>13.172957691245081</v>
      </c>
      <c r="AZ49">
        <f t="shared" si="33"/>
        <v>13.28144631431207</v>
      </c>
      <c r="BA49">
        <f t="shared" si="34"/>
        <v>10.694230910630264</v>
      </c>
      <c r="BD49">
        <v>0.77137</v>
      </c>
      <c r="BE49">
        <v>0.68062</v>
      </c>
      <c r="BF49">
        <v>0.71423000000000003</v>
      </c>
      <c r="BG49">
        <v>0.27454000000000001</v>
      </c>
      <c r="BI49">
        <v>56.76</v>
      </c>
      <c r="BJ49">
        <v>59.17</v>
      </c>
      <c r="BK49">
        <v>58.32</v>
      </c>
      <c r="BL49">
        <v>64.7</v>
      </c>
      <c r="BM49">
        <v>14578.9668</v>
      </c>
      <c r="BN49">
        <v>25727.46875</v>
      </c>
      <c r="BO49">
        <v>17998.582030000001</v>
      </c>
      <c r="BP49">
        <v>19025.597659999999</v>
      </c>
    </row>
    <row r="50" spans="1:68">
      <c r="A50">
        <v>388</v>
      </c>
      <c r="B50" t="s">
        <v>106</v>
      </c>
      <c r="C50" t="s">
        <v>106</v>
      </c>
      <c r="D50">
        <v>1161</v>
      </c>
      <c r="E50">
        <v>1227</v>
      </c>
      <c r="F50">
        <v>3</v>
      </c>
      <c r="G50">
        <v>0.64632999999999996</v>
      </c>
      <c r="H50">
        <v>65</v>
      </c>
      <c r="I50">
        <v>2100</v>
      </c>
      <c r="J50">
        <f t="shared" si="7"/>
        <v>4.1836864539729977</v>
      </c>
      <c r="K50">
        <v>1.28</v>
      </c>
      <c r="L50" s="4">
        <v>0.85899999999999999</v>
      </c>
      <c r="M50">
        <f t="shared" si="48"/>
        <v>2100</v>
      </c>
      <c r="N50">
        <f t="shared" si="49"/>
        <v>65</v>
      </c>
      <c r="O50">
        <v>45</v>
      </c>
      <c r="P50">
        <f t="shared" si="10"/>
        <v>46.666666666666664</v>
      </c>
      <c r="Q50">
        <f t="shared" si="11"/>
        <v>4.1836864539729977</v>
      </c>
      <c r="R50">
        <v>3</v>
      </c>
      <c r="S50" s="17">
        <v>5176.8999020000001</v>
      </c>
      <c r="T50" s="18">
        <f t="shared" si="12"/>
        <v>1725.6333006666666</v>
      </c>
      <c r="U50">
        <f t="shared" si="41"/>
        <v>0.82173014317460313</v>
      </c>
      <c r="V50" s="18">
        <v>-1</v>
      </c>
      <c r="W50" s="18">
        <v>-1</v>
      </c>
      <c r="X50" s="20">
        <f t="shared" si="42"/>
        <v>1</v>
      </c>
      <c r="Y50">
        <f t="shared" si="43"/>
        <v>60.95486920880569</v>
      </c>
      <c r="Z50">
        <f t="shared" si="44"/>
        <v>1725.6333006666666</v>
      </c>
      <c r="AA50">
        <f t="shared" si="45"/>
        <v>57.911352899588138</v>
      </c>
      <c r="AB50">
        <f t="shared" si="15"/>
        <v>1.000662848575308E-5</v>
      </c>
      <c r="AC50">
        <f t="shared" si="16"/>
        <v>6.4042422308819712E-4</v>
      </c>
      <c r="AD50">
        <f t="shared" si="17"/>
        <v>7</v>
      </c>
      <c r="AE50" s="13">
        <v>7.5</v>
      </c>
      <c r="AF50">
        <f t="shared" si="18"/>
        <v>8</v>
      </c>
      <c r="AG50" s="17">
        <v>67</v>
      </c>
      <c r="AH50" s="17">
        <v>65.7</v>
      </c>
      <c r="AI50" s="17">
        <v>64.3</v>
      </c>
      <c r="AJ50" s="17">
        <v>63.6</v>
      </c>
      <c r="AK50" s="17">
        <v>64.3</v>
      </c>
      <c r="AL50">
        <f t="shared" si="19"/>
        <v>57.910108278013603</v>
      </c>
      <c r="AM50">
        <f t="shared" si="20"/>
        <v>57.911352899588145</v>
      </c>
      <c r="AN50">
        <f t="shared" si="21"/>
        <v>57.911352899588145</v>
      </c>
      <c r="AO50">
        <f t="shared" si="22"/>
        <v>57.910108278013603</v>
      </c>
      <c r="AP50">
        <f t="shared" si="23"/>
        <v>57.900153231029222</v>
      </c>
      <c r="AQ50">
        <f t="shared" si="24"/>
        <v>-9.0898917219863975</v>
      </c>
      <c r="AR50">
        <f t="shared" si="25"/>
        <v>-7.7886471004118576</v>
      </c>
      <c r="AS50">
        <f t="shared" si="26"/>
        <v>-6.3886471004118519</v>
      </c>
      <c r="AT50">
        <f t="shared" si="27"/>
        <v>-5.6898917219863989</v>
      </c>
      <c r="AU50">
        <f t="shared" si="28"/>
        <v>-6.3998467689707752</v>
      </c>
      <c r="AV50">
        <f t="shared" si="29"/>
        <v>9.0898917219863975</v>
      </c>
      <c r="AW50">
        <f t="shared" si="30"/>
        <v>7.7886471004118576</v>
      </c>
      <c r="AX50">
        <f t="shared" si="31"/>
        <v>6.3886471004118519</v>
      </c>
      <c r="AY50">
        <f t="shared" si="32"/>
        <v>5.6898917219863989</v>
      </c>
      <c r="AZ50">
        <f t="shared" si="33"/>
        <v>6.3998467689707752</v>
      </c>
      <c r="BA50">
        <f t="shared" si="34"/>
        <v>7.0713848827534562</v>
      </c>
      <c r="BD50">
        <v>0.52847</v>
      </c>
      <c r="BE50">
        <v>0.69957999999999998</v>
      </c>
      <c r="BF50">
        <v>0.86646000000000001</v>
      </c>
      <c r="BG50">
        <v>0.40305999999999997</v>
      </c>
      <c r="BI50">
        <v>62.31</v>
      </c>
      <c r="BJ50">
        <v>58.71</v>
      </c>
      <c r="BK50">
        <v>53.98</v>
      </c>
      <c r="BL50">
        <v>63.91</v>
      </c>
      <c r="BM50">
        <v>9988.1640599999992</v>
      </c>
      <c r="BN50">
        <v>26444.271479999999</v>
      </c>
      <c r="BO50">
        <v>21834.814450000002</v>
      </c>
      <c r="BP50">
        <v>27931.855469999999</v>
      </c>
    </row>
    <row r="51" spans="1:68">
      <c r="A51">
        <v>389</v>
      </c>
      <c r="B51" t="s">
        <v>107</v>
      </c>
      <c r="C51" t="s">
        <v>107</v>
      </c>
      <c r="D51">
        <v>1162</v>
      </c>
      <c r="E51">
        <v>1159</v>
      </c>
      <c r="F51">
        <v>3</v>
      </c>
      <c r="G51">
        <v>0.75066999999999995</v>
      </c>
      <c r="H51">
        <v>62</v>
      </c>
      <c r="I51">
        <v>2100</v>
      </c>
      <c r="J51">
        <f t="shared" si="7"/>
        <v>4.8795269895941189</v>
      </c>
      <c r="K51">
        <v>1.28</v>
      </c>
      <c r="L51" s="4">
        <v>0.85899999999999999</v>
      </c>
      <c r="M51">
        <f t="shared" si="48"/>
        <v>2100</v>
      </c>
      <c r="N51">
        <f t="shared" si="49"/>
        <v>62</v>
      </c>
      <c r="O51">
        <v>45</v>
      </c>
      <c r="P51">
        <f t="shared" si="10"/>
        <v>46.666666666666664</v>
      </c>
      <c r="Q51">
        <f t="shared" si="11"/>
        <v>4.8795269895941189</v>
      </c>
      <c r="R51">
        <v>3</v>
      </c>
      <c r="S51" s="17">
        <v>5664.3627930000002</v>
      </c>
      <c r="T51" s="18">
        <f t="shared" si="12"/>
        <v>1888.1209310000002</v>
      </c>
      <c r="U51">
        <f t="shared" si="41"/>
        <v>0.89910520523809534</v>
      </c>
      <c r="V51" s="18">
        <v>-1</v>
      </c>
      <c r="W51" s="18">
        <v>-1</v>
      </c>
      <c r="X51" s="20">
        <f t="shared" si="42"/>
        <v>1</v>
      </c>
      <c r="Y51">
        <f t="shared" si="43"/>
        <v>57.103501689269542</v>
      </c>
      <c r="Z51">
        <f t="shared" si="44"/>
        <v>1888.1209310000002</v>
      </c>
      <c r="AA51">
        <f t="shared" si="45"/>
        <v>52.455743477887523</v>
      </c>
      <c r="AB51">
        <f t="shared" si="15"/>
        <v>1.0096646390431963E-5</v>
      </c>
      <c r="AC51">
        <f t="shared" si="16"/>
        <v>6.4618536898764563E-4</v>
      </c>
      <c r="AD51">
        <f t="shared" si="17"/>
        <v>7</v>
      </c>
      <c r="AE51" s="13">
        <v>7.5</v>
      </c>
      <c r="AF51">
        <f t="shared" si="18"/>
        <v>8</v>
      </c>
      <c r="AG51" s="17">
        <v>67.3</v>
      </c>
      <c r="AH51" s="17">
        <v>59.7</v>
      </c>
      <c r="AI51" s="17">
        <v>65.8</v>
      </c>
      <c r="AJ51" s="17">
        <v>67.400000000000006</v>
      </c>
      <c r="AK51" s="17">
        <v>67.7</v>
      </c>
      <c r="AL51">
        <f t="shared" si="19"/>
        <v>52.45480179297796</v>
      </c>
      <c r="AM51">
        <f t="shared" si="20"/>
        <v>52.455743477887516</v>
      </c>
      <c r="AN51">
        <f t="shared" si="21"/>
        <v>52.455743477887516</v>
      </c>
      <c r="AO51">
        <f t="shared" si="22"/>
        <v>52.45480179297796</v>
      </c>
      <c r="AP51">
        <f t="shared" si="23"/>
        <v>52.447269530695117</v>
      </c>
      <c r="AQ51">
        <f t="shared" si="24"/>
        <v>-14.845198207022037</v>
      </c>
      <c r="AR51">
        <f t="shared" si="25"/>
        <v>-7.2442565221124866</v>
      </c>
      <c r="AS51">
        <f t="shared" si="26"/>
        <v>-13.344256522112481</v>
      </c>
      <c r="AT51">
        <f t="shared" si="27"/>
        <v>-14.945198207022045</v>
      </c>
      <c r="AU51">
        <f t="shared" si="28"/>
        <v>-15.252730469304886</v>
      </c>
      <c r="AV51">
        <f t="shared" si="29"/>
        <v>14.845198207022037</v>
      </c>
      <c r="AW51">
        <f t="shared" si="30"/>
        <v>7.2442565221124866</v>
      </c>
      <c r="AX51">
        <f t="shared" si="31"/>
        <v>13.344256522112481</v>
      </c>
      <c r="AY51">
        <f t="shared" si="32"/>
        <v>14.945198207022045</v>
      </c>
      <c r="AZ51">
        <f t="shared" si="33"/>
        <v>15.252730469304886</v>
      </c>
      <c r="BA51">
        <f t="shared" si="34"/>
        <v>13.126327985514786</v>
      </c>
      <c r="BD51">
        <v>0.79078999999999999</v>
      </c>
      <c r="BE51">
        <v>0.67435999999999996</v>
      </c>
      <c r="BF51">
        <v>0.72126000000000001</v>
      </c>
      <c r="BG51">
        <v>0.27467999999999998</v>
      </c>
      <c r="BI51">
        <v>49.11</v>
      </c>
      <c r="BJ51">
        <v>53.68</v>
      </c>
      <c r="BK51">
        <v>51.93</v>
      </c>
      <c r="BL51">
        <v>61.56</v>
      </c>
      <c r="BM51">
        <v>14945.95508</v>
      </c>
      <c r="BN51">
        <v>25490.837889999999</v>
      </c>
      <c r="BO51">
        <v>18175.654299999998</v>
      </c>
      <c r="BP51">
        <v>19035.425780000001</v>
      </c>
    </row>
    <row r="52" spans="1:68">
      <c r="A52">
        <v>391</v>
      </c>
      <c r="B52" t="s">
        <v>108</v>
      </c>
      <c r="C52" t="s">
        <v>108</v>
      </c>
      <c r="D52">
        <v>1163</v>
      </c>
      <c r="E52">
        <v>1070</v>
      </c>
      <c r="F52">
        <v>3</v>
      </c>
      <c r="G52">
        <v>0.52510000000000001</v>
      </c>
      <c r="H52">
        <v>62</v>
      </c>
      <c r="I52">
        <v>2100</v>
      </c>
      <c r="J52">
        <f t="shared" si="7"/>
        <v>4.8795269895941189</v>
      </c>
      <c r="K52">
        <v>1.28</v>
      </c>
      <c r="L52" s="4">
        <v>0.85899999999999999</v>
      </c>
      <c r="M52">
        <f t="shared" si="48"/>
        <v>2100</v>
      </c>
      <c r="N52">
        <f t="shared" si="49"/>
        <v>62</v>
      </c>
      <c r="O52">
        <v>45</v>
      </c>
      <c r="P52">
        <f t="shared" si="10"/>
        <v>46.666666666666664</v>
      </c>
      <c r="Q52">
        <f t="shared" si="11"/>
        <v>4.8795269895941189</v>
      </c>
      <c r="R52">
        <v>3</v>
      </c>
      <c r="S52" s="17">
        <v>5257.205078</v>
      </c>
      <c r="T52" s="18">
        <f t="shared" si="12"/>
        <v>1752.4016926666666</v>
      </c>
      <c r="U52">
        <f t="shared" si="41"/>
        <v>0.8344769965079365</v>
      </c>
      <c r="V52" s="18">
        <v>-1</v>
      </c>
      <c r="W52" s="18">
        <v>-1</v>
      </c>
      <c r="X52" s="20">
        <f t="shared" si="42"/>
        <v>1</v>
      </c>
      <c r="Y52">
        <f t="shared" si="43"/>
        <v>58.914398351798184</v>
      </c>
      <c r="Z52">
        <f t="shared" si="44"/>
        <v>1752.4016926666666</v>
      </c>
      <c r="AA52">
        <f t="shared" si="45"/>
        <v>56.939448145154692</v>
      </c>
      <c r="AB52">
        <f t="shared" si="15"/>
        <v>1.0021969629748454E-5</v>
      </c>
      <c r="AC52">
        <f t="shared" si="16"/>
        <v>6.4140605630390107E-4</v>
      </c>
      <c r="AD52">
        <f t="shared" si="17"/>
        <v>7</v>
      </c>
      <c r="AE52" s="13">
        <v>7.5</v>
      </c>
      <c r="AF52">
        <f t="shared" si="18"/>
        <v>8</v>
      </c>
      <c r="AG52" s="17">
        <v>68.7</v>
      </c>
      <c r="AH52" s="17">
        <v>67.3</v>
      </c>
      <c r="AI52" s="17">
        <v>66.400000000000006</v>
      </c>
      <c r="AJ52" s="17">
        <v>65.2</v>
      </c>
      <c r="AK52" s="17">
        <v>66.2</v>
      </c>
      <c r="AL52">
        <f t="shared" si="19"/>
        <v>56.938261510988148</v>
      </c>
      <c r="AM52">
        <f t="shared" si="20"/>
        <v>56.939448145154692</v>
      </c>
      <c r="AN52">
        <f t="shared" si="21"/>
        <v>56.939448145154692</v>
      </c>
      <c r="AO52">
        <f t="shared" si="22"/>
        <v>56.938261510988148</v>
      </c>
      <c r="AP52">
        <f t="shared" si="23"/>
        <v>56.928770217903967</v>
      </c>
      <c r="AQ52">
        <f t="shared" si="24"/>
        <v>-11.761738489011854</v>
      </c>
      <c r="AR52">
        <f t="shared" si="25"/>
        <v>-10.360551854845305</v>
      </c>
      <c r="AS52">
        <f t="shared" si="26"/>
        <v>-9.4605518548453134</v>
      </c>
      <c r="AT52">
        <f t="shared" si="27"/>
        <v>-8.2617384890118544</v>
      </c>
      <c r="AU52">
        <f t="shared" si="28"/>
        <v>-9.2712297820960359</v>
      </c>
      <c r="AV52">
        <f t="shared" si="29"/>
        <v>11.761738489011854</v>
      </c>
      <c r="AW52">
        <f t="shared" si="30"/>
        <v>10.360551854845305</v>
      </c>
      <c r="AX52">
        <f t="shared" si="31"/>
        <v>9.4605518548453134</v>
      </c>
      <c r="AY52">
        <f t="shared" si="32"/>
        <v>8.2617384890118544</v>
      </c>
      <c r="AZ52">
        <f t="shared" si="33"/>
        <v>9.2712297820960359</v>
      </c>
      <c r="BA52">
        <f t="shared" si="34"/>
        <v>9.8231620939620719</v>
      </c>
      <c r="BD52">
        <v>0.56133999999999995</v>
      </c>
      <c r="BE52">
        <v>0.74921000000000004</v>
      </c>
      <c r="BF52">
        <v>1.0732600000000001</v>
      </c>
      <c r="BG52">
        <v>0.44503999999999999</v>
      </c>
      <c r="BI52">
        <v>57.24</v>
      </c>
      <c r="BJ52">
        <v>50.84</v>
      </c>
      <c r="BK52">
        <v>38.450000000000003</v>
      </c>
      <c r="BL52">
        <v>59.77</v>
      </c>
      <c r="BM52">
        <v>10609.306640000001</v>
      </c>
      <c r="BN52">
        <v>28320.09375</v>
      </c>
      <c r="BO52">
        <v>27046.255860000001</v>
      </c>
      <c r="BP52">
        <v>30841.492190000001</v>
      </c>
    </row>
    <row r="53" spans="1:68">
      <c r="A53">
        <v>394</v>
      </c>
      <c r="B53" t="s">
        <v>109</v>
      </c>
      <c r="C53" t="s">
        <v>109</v>
      </c>
      <c r="D53">
        <v>1165</v>
      </c>
      <c r="E53">
        <v>1037</v>
      </c>
      <c r="F53">
        <v>3</v>
      </c>
      <c r="G53">
        <v>0.78444999999999998</v>
      </c>
      <c r="H53">
        <v>62</v>
      </c>
      <c r="I53">
        <v>2100</v>
      </c>
      <c r="J53">
        <f t="shared" si="7"/>
        <v>4.8795269895941189</v>
      </c>
      <c r="K53">
        <v>1.28</v>
      </c>
      <c r="L53" s="4">
        <v>0.85899999999999999</v>
      </c>
      <c r="M53">
        <f t="shared" si="48"/>
        <v>2100</v>
      </c>
      <c r="N53">
        <f t="shared" si="49"/>
        <v>62</v>
      </c>
      <c r="O53">
        <v>45</v>
      </c>
      <c r="P53">
        <f t="shared" si="10"/>
        <v>46.666666666666664</v>
      </c>
      <c r="Q53">
        <f t="shared" si="11"/>
        <v>4.8795269895941189</v>
      </c>
      <c r="R53">
        <v>3</v>
      </c>
      <c r="S53" s="17">
        <v>5387.1777339999999</v>
      </c>
      <c r="T53" s="18">
        <f t="shared" si="12"/>
        <v>1795.7259113333332</v>
      </c>
      <c r="U53">
        <f t="shared" si="41"/>
        <v>0.85510757682539673</v>
      </c>
      <c r="V53" s="18">
        <v>-1</v>
      </c>
      <c r="W53" s="18">
        <v>7.5833329999999997</v>
      </c>
      <c r="X53" s="20">
        <f t="shared" si="42"/>
        <v>1</v>
      </c>
      <c r="Y53">
        <f t="shared" si="43"/>
        <v>58.433320304350005</v>
      </c>
      <c r="Z53">
        <f t="shared" si="44"/>
        <v>1795.7259113333332</v>
      </c>
      <c r="AA53">
        <f t="shared" si="45"/>
        <v>55.4308222488308</v>
      </c>
      <c r="AB53">
        <f t="shared" si="15"/>
        <v>1.0046357530554218E-5</v>
      </c>
      <c r="AC53">
        <f t="shared" si="16"/>
        <v>6.4296688195546994E-4</v>
      </c>
      <c r="AD53">
        <f t="shared" si="17"/>
        <v>7</v>
      </c>
      <c r="AE53" s="13">
        <v>7.5</v>
      </c>
      <c r="AF53">
        <f t="shared" si="18"/>
        <v>8</v>
      </c>
      <c r="AG53" s="17">
        <v>69.7</v>
      </c>
      <c r="AH53" s="17">
        <v>60.7</v>
      </c>
      <c r="AI53" s="17">
        <v>61</v>
      </c>
      <c r="AJ53" s="17">
        <v>65.400000000000006</v>
      </c>
      <c r="AK53" s="17">
        <v>62.7</v>
      </c>
      <c r="AL53">
        <f t="shared" si="19"/>
        <v>55.429722122455949</v>
      </c>
      <c r="AM53">
        <f t="shared" si="20"/>
        <v>55.4308222488308</v>
      </c>
      <c r="AN53">
        <f t="shared" si="21"/>
        <v>55.4308222488308</v>
      </c>
      <c r="AO53">
        <f t="shared" si="22"/>
        <v>55.429722122455949</v>
      </c>
      <c r="AP53">
        <f t="shared" si="23"/>
        <v>55.420922683257466</v>
      </c>
      <c r="AQ53">
        <f t="shared" si="24"/>
        <v>-14.270277877544054</v>
      </c>
      <c r="AR53">
        <f t="shared" si="25"/>
        <v>-5.2691777511692024</v>
      </c>
      <c r="AS53">
        <f t="shared" si="26"/>
        <v>-5.5691777511691996</v>
      </c>
      <c r="AT53">
        <f t="shared" si="27"/>
        <v>-9.9702778775440564</v>
      </c>
      <c r="AU53">
        <f t="shared" si="28"/>
        <v>-7.2790773167425371</v>
      </c>
      <c r="AV53">
        <f t="shared" si="29"/>
        <v>14.270277877544054</v>
      </c>
      <c r="AW53">
        <f t="shared" si="30"/>
        <v>5.2691777511692024</v>
      </c>
      <c r="AX53">
        <f t="shared" si="31"/>
        <v>5.5691777511691996</v>
      </c>
      <c r="AY53">
        <f t="shared" si="32"/>
        <v>9.9702778775440564</v>
      </c>
      <c r="AZ53">
        <f t="shared" si="33"/>
        <v>7.2790773167425371</v>
      </c>
      <c r="BA53">
        <f t="shared" si="34"/>
        <v>8.4715977148338091</v>
      </c>
      <c r="BD53">
        <v>0.47249000000000002</v>
      </c>
      <c r="BE53">
        <v>0.40991</v>
      </c>
      <c r="BF53">
        <v>0.44211</v>
      </c>
      <c r="BG53">
        <v>0.15987999999999999</v>
      </c>
      <c r="BI53">
        <v>59.26</v>
      </c>
      <c r="BJ53">
        <v>60.3</v>
      </c>
      <c r="BK53">
        <v>59.81</v>
      </c>
      <c r="BL53">
        <v>61.93</v>
      </c>
      <c r="BM53">
        <v>8929.9697300000007</v>
      </c>
      <c r="BN53">
        <v>15494.722659999999</v>
      </c>
      <c r="BO53">
        <v>11141.146479999999</v>
      </c>
      <c r="BP53">
        <v>11079.51367</v>
      </c>
    </row>
    <row r="54" spans="1:68">
      <c r="A54">
        <v>396</v>
      </c>
      <c r="B54" t="s">
        <v>110</v>
      </c>
      <c r="C54" t="s">
        <v>110</v>
      </c>
      <c r="D54">
        <v>1166</v>
      </c>
      <c r="E54">
        <v>1184</v>
      </c>
      <c r="F54">
        <v>2</v>
      </c>
      <c r="G54">
        <v>0.65276000000000001</v>
      </c>
      <c r="H54">
        <v>62</v>
      </c>
      <c r="I54">
        <v>2100</v>
      </c>
      <c r="J54">
        <f t="shared" si="7"/>
        <v>4.8795269895941189</v>
      </c>
      <c r="K54">
        <v>1.28</v>
      </c>
      <c r="L54" s="4">
        <v>0.85899999999999999</v>
      </c>
      <c r="M54">
        <f t="shared" si="48"/>
        <v>2100</v>
      </c>
      <c r="N54">
        <f t="shared" si="49"/>
        <v>62</v>
      </c>
      <c r="O54">
        <v>45</v>
      </c>
      <c r="P54">
        <f t="shared" si="10"/>
        <v>46.666666666666664</v>
      </c>
      <c r="Q54">
        <f t="shared" si="11"/>
        <v>4.8795269895941189</v>
      </c>
      <c r="R54">
        <v>3</v>
      </c>
      <c r="S54" s="17">
        <v>5198.8471680000002</v>
      </c>
      <c r="T54" s="18">
        <f t="shared" si="12"/>
        <v>1732.9490560000002</v>
      </c>
      <c r="U54">
        <f t="shared" si="41"/>
        <v>0.82521383619047628</v>
      </c>
      <c r="V54" s="18">
        <v>-1</v>
      </c>
      <c r="W54" s="18">
        <v>-1</v>
      </c>
      <c r="X54" s="20">
        <f t="shared" si="42"/>
        <v>1</v>
      </c>
      <c r="Y54">
        <f t="shared" si="43"/>
        <v>59.107894629115684</v>
      </c>
      <c r="Z54">
        <f t="shared" si="44"/>
        <v>1732.9490560000002</v>
      </c>
      <c r="AA54">
        <f t="shared" si="45"/>
        <v>57.642602656609583</v>
      </c>
      <c r="AB54">
        <f t="shared" si="15"/>
        <v>1.0010842357023E-5</v>
      </c>
      <c r="AC54">
        <f t="shared" si="16"/>
        <v>6.4069391084947203E-4</v>
      </c>
      <c r="AD54">
        <f t="shared" si="17"/>
        <v>7</v>
      </c>
      <c r="AE54" s="13">
        <v>7.5</v>
      </c>
      <c r="AF54">
        <f t="shared" si="18"/>
        <v>8</v>
      </c>
      <c r="AG54" s="17">
        <v>68.8</v>
      </c>
      <c r="AH54" s="17">
        <v>67.8</v>
      </c>
      <c r="AI54" s="17">
        <v>66.2</v>
      </c>
      <c r="AJ54" s="17">
        <v>64.400000000000006</v>
      </c>
      <c r="AK54" s="17">
        <v>65.400000000000006</v>
      </c>
      <c r="AL54">
        <f t="shared" si="19"/>
        <v>57.641374248404084</v>
      </c>
      <c r="AM54">
        <f t="shared" si="20"/>
        <v>57.642602656609576</v>
      </c>
      <c r="AN54">
        <f t="shared" si="21"/>
        <v>57.642602656609576</v>
      </c>
      <c r="AO54">
        <f t="shared" si="22"/>
        <v>57.641374248404084</v>
      </c>
      <c r="AP54">
        <f t="shared" si="23"/>
        <v>57.631548867278113</v>
      </c>
      <c r="AQ54">
        <f t="shared" si="24"/>
        <v>-11.158625751595913</v>
      </c>
      <c r="AR54">
        <f t="shared" si="25"/>
        <v>-10.157397343390421</v>
      </c>
      <c r="AS54">
        <f t="shared" si="26"/>
        <v>-8.5573973433904271</v>
      </c>
      <c r="AT54">
        <f t="shared" si="27"/>
        <v>-6.7586257515959218</v>
      </c>
      <c r="AU54">
        <f t="shared" si="28"/>
        <v>-7.7684511327218928</v>
      </c>
      <c r="AV54">
        <f t="shared" si="29"/>
        <v>11.158625751595913</v>
      </c>
      <c r="AW54">
        <f t="shared" si="30"/>
        <v>10.157397343390421</v>
      </c>
      <c r="AX54">
        <f t="shared" si="31"/>
        <v>8.5573973433904271</v>
      </c>
      <c r="AY54">
        <f t="shared" si="32"/>
        <v>6.7586257515959218</v>
      </c>
      <c r="AZ54">
        <f t="shared" si="33"/>
        <v>7.7684511327218928</v>
      </c>
      <c r="BA54">
        <f t="shared" si="34"/>
        <v>8.8800994645389153</v>
      </c>
      <c r="BD54">
        <v>0.49436000000000002</v>
      </c>
      <c r="BE54">
        <v>0.67993999999999999</v>
      </c>
      <c r="BF54">
        <v>0.94157999999999997</v>
      </c>
      <c r="BG54">
        <v>0.41126000000000001</v>
      </c>
      <c r="BI54">
        <v>58.84</v>
      </c>
      <c r="BJ54">
        <v>53.48</v>
      </c>
      <c r="BK54">
        <v>42.54</v>
      </c>
      <c r="BL54">
        <v>60.28</v>
      </c>
      <c r="BM54">
        <v>6228.8920900000003</v>
      </c>
      <c r="BN54">
        <v>17134.402340000001</v>
      </c>
      <c r="BO54">
        <v>15818.530269999999</v>
      </c>
      <c r="BP54">
        <v>19000.101559999999</v>
      </c>
    </row>
    <row r="55" spans="1:68">
      <c r="A55">
        <v>403</v>
      </c>
      <c r="B55" t="s">
        <v>111</v>
      </c>
      <c r="C55" t="s">
        <v>111</v>
      </c>
      <c r="D55">
        <v>1169</v>
      </c>
      <c r="E55">
        <v>89</v>
      </c>
      <c r="F55">
        <v>4</v>
      </c>
      <c r="G55">
        <v>0.39178000000000002</v>
      </c>
      <c r="H55">
        <v>61</v>
      </c>
      <c r="I55">
        <v>2100</v>
      </c>
      <c r="J55">
        <f t="shared" si="7"/>
        <v>5.1757581180582832</v>
      </c>
      <c r="K55">
        <v>1.28</v>
      </c>
      <c r="L55" s="4">
        <v>0.85899999999999999</v>
      </c>
      <c r="M55">
        <f t="shared" si="48"/>
        <v>2100</v>
      </c>
      <c r="N55">
        <f t="shared" si="49"/>
        <v>61</v>
      </c>
      <c r="O55">
        <v>45</v>
      </c>
      <c r="P55">
        <f t="shared" si="10"/>
        <v>46.666666666666664</v>
      </c>
      <c r="Q55">
        <f t="shared" si="11"/>
        <v>5.1757581180582832</v>
      </c>
      <c r="R55">
        <v>3</v>
      </c>
      <c r="S55" s="17">
        <v>5379.9287109999996</v>
      </c>
      <c r="T55" s="18">
        <f t="shared" si="12"/>
        <v>1793.3095703333331</v>
      </c>
      <c r="U55">
        <f t="shared" si="41"/>
        <v>0.85395693825396812</v>
      </c>
      <c r="V55" s="18">
        <v>7.5833329999999997</v>
      </c>
      <c r="W55" s="18">
        <v>8.5</v>
      </c>
      <c r="X55" s="20">
        <f t="shared" si="42"/>
        <v>1</v>
      </c>
      <c r="Y55">
        <f t="shared" si="43"/>
        <v>57.896382175854683</v>
      </c>
      <c r="Z55">
        <f t="shared" si="44"/>
        <v>1793.3095703333331</v>
      </c>
      <c r="AA55">
        <f t="shared" si="45"/>
        <v>55.512949354341252</v>
      </c>
      <c r="AB55">
        <f t="shared" si="15"/>
        <v>1.0045011358932461E-5</v>
      </c>
      <c r="AC55">
        <f t="shared" si="16"/>
        <v>6.4288072697167749E-4</v>
      </c>
      <c r="AD55">
        <f t="shared" si="17"/>
        <v>7</v>
      </c>
      <c r="AE55" s="13">
        <v>7.5</v>
      </c>
      <c r="AF55">
        <f t="shared" si="18"/>
        <v>8</v>
      </c>
      <c r="AG55" s="17">
        <v>61.4</v>
      </c>
      <c r="AH55" s="17">
        <v>45.9</v>
      </c>
      <c r="AI55" s="17">
        <v>45.2</v>
      </c>
      <c r="AJ55" s="17">
        <v>57.1</v>
      </c>
      <c r="AK55" s="17">
        <v>56.5</v>
      </c>
      <c r="AL55">
        <f t="shared" si="19"/>
        <v>55.51184462700531</v>
      </c>
      <c r="AM55">
        <f t="shared" si="20"/>
        <v>55.512949354341252</v>
      </c>
      <c r="AN55">
        <f t="shared" si="21"/>
        <v>55.512949354341252</v>
      </c>
      <c r="AO55">
        <f t="shared" si="22"/>
        <v>55.51184462700531</v>
      </c>
      <c r="AP55">
        <f t="shared" si="23"/>
        <v>55.503008390947315</v>
      </c>
      <c r="AQ55">
        <f t="shared" si="24"/>
        <v>-5.8881553729946887</v>
      </c>
      <c r="AR55">
        <f t="shared" si="25"/>
        <v>9.6129493543412536</v>
      </c>
      <c r="AS55">
        <f t="shared" si="26"/>
        <v>10.312949354341249</v>
      </c>
      <c r="AT55">
        <f t="shared" si="27"/>
        <v>-1.5881553729946916</v>
      </c>
      <c r="AU55">
        <f t="shared" si="28"/>
        <v>-0.99699160905268513</v>
      </c>
      <c r="AV55">
        <f t="shared" si="29"/>
        <v>5.8881553729946887</v>
      </c>
      <c r="AW55">
        <f t="shared" si="30"/>
        <v>9.6129493543412536</v>
      </c>
      <c r="AX55">
        <f t="shared" si="31"/>
        <v>10.312949354341249</v>
      </c>
      <c r="AY55">
        <f t="shared" si="32"/>
        <v>1.5881553729946916</v>
      </c>
      <c r="AZ55">
        <f t="shared" si="33"/>
        <v>0.99699160905268513</v>
      </c>
      <c r="BA55">
        <f t="shared" si="34"/>
        <v>5.6798402127449137</v>
      </c>
      <c r="BD55">
        <v>0.54240999999999995</v>
      </c>
      <c r="BE55">
        <v>0.60438000000000003</v>
      </c>
      <c r="BF55">
        <v>0.79535</v>
      </c>
      <c r="BG55">
        <v>0.21540000000000001</v>
      </c>
      <c r="BI55">
        <v>55.96</v>
      </c>
      <c r="BJ55">
        <v>53.93</v>
      </c>
      <c r="BK55">
        <v>45.54</v>
      </c>
      <c r="BL55">
        <v>60.77</v>
      </c>
      <c r="BM55">
        <v>13668.747069999999</v>
      </c>
      <c r="BN55">
        <v>30460.949219999999</v>
      </c>
      <c r="BO55">
        <v>26723.89258</v>
      </c>
      <c r="BP55">
        <v>19903.404299999998</v>
      </c>
    </row>
    <row r="56" spans="1:68">
      <c r="A56">
        <v>411</v>
      </c>
      <c r="B56" t="s">
        <v>112</v>
      </c>
      <c r="C56" t="s">
        <v>112</v>
      </c>
      <c r="D56">
        <v>1172</v>
      </c>
      <c r="E56">
        <v>1179</v>
      </c>
      <c r="F56">
        <v>4</v>
      </c>
      <c r="G56">
        <v>0.32200000000000001</v>
      </c>
      <c r="H56">
        <v>61</v>
      </c>
      <c r="I56">
        <v>2100</v>
      </c>
      <c r="J56">
        <f t="shared" si="7"/>
        <v>5.1757581180582832</v>
      </c>
      <c r="K56">
        <v>1.28</v>
      </c>
      <c r="L56" s="4">
        <v>0.85899999999999999</v>
      </c>
      <c r="M56">
        <f t="shared" si="48"/>
        <v>2100</v>
      </c>
      <c r="N56">
        <f t="shared" si="49"/>
        <v>61</v>
      </c>
      <c r="O56">
        <v>45</v>
      </c>
      <c r="P56">
        <f t="shared" si="10"/>
        <v>46.666666666666664</v>
      </c>
      <c r="Q56">
        <f t="shared" si="11"/>
        <v>5.1757581180582832</v>
      </c>
      <c r="R56">
        <v>3</v>
      </c>
      <c r="S56" s="17">
        <v>5172.189453</v>
      </c>
      <c r="T56" s="18">
        <f t="shared" si="12"/>
        <v>1724.0631510000001</v>
      </c>
      <c r="U56">
        <f t="shared" si="41"/>
        <v>0.82098245285714289</v>
      </c>
      <c r="V56" s="18">
        <v>-1</v>
      </c>
      <c r="W56" s="18">
        <v>-1</v>
      </c>
      <c r="X56" s="20">
        <f t="shared" si="42"/>
        <v>1</v>
      </c>
      <c r="Y56">
        <f t="shared" si="43"/>
        <v>58.564356078911864</v>
      </c>
      <c r="Z56">
        <f t="shared" si="44"/>
        <v>1724.0631510000001</v>
      </c>
      <c r="AA56">
        <f t="shared" si="45"/>
        <v>57.969345742807285</v>
      </c>
      <c r="AB56">
        <f t="shared" si="15"/>
        <v>1.00057219839624E-5</v>
      </c>
      <c r="AC56">
        <f t="shared" si="16"/>
        <v>6.4036620697359361E-4</v>
      </c>
      <c r="AD56">
        <f t="shared" si="17"/>
        <v>7</v>
      </c>
      <c r="AE56" s="13">
        <v>7.5</v>
      </c>
      <c r="AF56">
        <f t="shared" si="18"/>
        <v>8</v>
      </c>
      <c r="AG56" s="17">
        <v>64.7</v>
      </c>
      <c r="AH56" s="17">
        <v>60.6</v>
      </c>
      <c r="AI56" s="17">
        <v>60.7</v>
      </c>
      <c r="AJ56" s="17">
        <v>62.4</v>
      </c>
      <c r="AK56" s="17">
        <v>61.4</v>
      </c>
      <c r="AL56">
        <f t="shared" si="19"/>
        <v>57.968097604585893</v>
      </c>
      <c r="AM56">
        <f t="shared" si="20"/>
        <v>57.969345742807285</v>
      </c>
      <c r="AN56">
        <f t="shared" si="21"/>
        <v>57.969345742807285</v>
      </c>
      <c r="AO56">
        <f t="shared" si="22"/>
        <v>57.968097604585893</v>
      </c>
      <c r="AP56">
        <f t="shared" si="23"/>
        <v>57.958114433385731</v>
      </c>
      <c r="AQ56">
        <f t="shared" si="24"/>
        <v>-6.7319023954141102</v>
      </c>
      <c r="AR56">
        <f t="shared" si="25"/>
        <v>-2.6306542571927167</v>
      </c>
      <c r="AS56">
        <f t="shared" si="26"/>
        <v>-2.7306542571927181</v>
      </c>
      <c r="AT56">
        <f t="shared" si="27"/>
        <v>-4.4319023954141059</v>
      </c>
      <c r="AU56">
        <f t="shared" si="28"/>
        <v>-3.4418855666142676</v>
      </c>
      <c r="AV56">
        <f t="shared" si="29"/>
        <v>6.7319023954141102</v>
      </c>
      <c r="AW56">
        <f t="shared" si="30"/>
        <v>2.6306542571927167</v>
      </c>
      <c r="AX56">
        <f t="shared" si="31"/>
        <v>2.7306542571927181</v>
      </c>
      <c r="AY56">
        <f t="shared" si="32"/>
        <v>4.4319023954141059</v>
      </c>
      <c r="AZ56">
        <f t="shared" si="33"/>
        <v>3.4418855666142676</v>
      </c>
      <c r="BA56">
        <f t="shared" si="34"/>
        <v>3.9933997743655838</v>
      </c>
      <c r="BD56">
        <v>0.54674999999999996</v>
      </c>
      <c r="BE56">
        <v>0.50821000000000005</v>
      </c>
      <c r="BF56">
        <v>0.65047999999999995</v>
      </c>
      <c r="BG56">
        <v>0.16893</v>
      </c>
      <c r="BI56">
        <v>55.83</v>
      </c>
      <c r="BJ56">
        <v>56.91</v>
      </c>
      <c r="BK56">
        <v>52.18</v>
      </c>
      <c r="BL56">
        <v>60.9</v>
      </c>
      <c r="BM56">
        <v>13778.04492</v>
      </c>
      <c r="BN56">
        <v>25613.957030000001</v>
      </c>
      <c r="BO56">
        <v>21856.154299999998</v>
      </c>
      <c r="BP56">
        <v>15609.10059</v>
      </c>
    </row>
    <row r="57" spans="1:68">
      <c r="A57">
        <v>412</v>
      </c>
      <c r="B57" t="s">
        <v>113</v>
      </c>
      <c r="C57" t="s">
        <v>113</v>
      </c>
      <c r="D57">
        <v>1173</v>
      </c>
      <c r="E57">
        <v>1127</v>
      </c>
      <c r="F57">
        <v>4</v>
      </c>
      <c r="G57">
        <v>0.37417</v>
      </c>
      <c r="H57">
        <v>61</v>
      </c>
      <c r="I57">
        <v>2100</v>
      </c>
      <c r="J57">
        <f t="shared" si="7"/>
        <v>5.1757581180582832</v>
      </c>
      <c r="K57">
        <v>1.28</v>
      </c>
      <c r="L57" s="4">
        <v>0.85899999999999999</v>
      </c>
      <c r="M57">
        <f t="shared" si="48"/>
        <v>2100</v>
      </c>
      <c r="N57">
        <f t="shared" si="49"/>
        <v>61</v>
      </c>
      <c r="O57">
        <v>45</v>
      </c>
      <c r="P57">
        <f t="shared" si="10"/>
        <v>46.666666666666664</v>
      </c>
      <c r="Q57">
        <f t="shared" si="11"/>
        <v>5.1757581180582832</v>
      </c>
      <c r="R57">
        <v>3</v>
      </c>
      <c r="S57" s="17">
        <v>5636.9721680000002</v>
      </c>
      <c r="T57" s="18">
        <f t="shared" si="12"/>
        <v>1878.9907226666667</v>
      </c>
      <c r="U57">
        <f t="shared" si="41"/>
        <v>0.89475748698412694</v>
      </c>
      <c r="V57" s="18">
        <v>-1</v>
      </c>
      <c r="W57" s="18">
        <v>-1</v>
      </c>
      <c r="X57" s="20">
        <f t="shared" si="42"/>
        <v>1</v>
      </c>
      <c r="Y57">
        <f t="shared" si="43"/>
        <v>56.782413694946037</v>
      </c>
      <c r="Z57">
        <f t="shared" si="44"/>
        <v>1878.9907226666667</v>
      </c>
      <c r="AA57">
        <f t="shared" si="45"/>
        <v>52.7360654075353</v>
      </c>
      <c r="AB57">
        <f t="shared" si="15"/>
        <v>1.009177687433657E-5</v>
      </c>
      <c r="AC57">
        <f t="shared" si="16"/>
        <v>6.4587371995754046E-4</v>
      </c>
      <c r="AD57">
        <f t="shared" si="17"/>
        <v>7</v>
      </c>
      <c r="AE57" s="13">
        <v>7.5</v>
      </c>
      <c r="AF57">
        <f t="shared" si="18"/>
        <v>8</v>
      </c>
      <c r="AG57" s="17">
        <v>62.9</v>
      </c>
      <c r="AH57" s="17">
        <v>60.4</v>
      </c>
      <c r="AI57" s="17">
        <v>59.7</v>
      </c>
      <c r="AJ57" s="17">
        <v>59.9</v>
      </c>
      <c r="AK57" s="17">
        <v>60.5</v>
      </c>
      <c r="AL57">
        <f t="shared" si="19"/>
        <v>52.735109467711929</v>
      </c>
      <c r="AM57">
        <f t="shared" si="20"/>
        <v>52.7360654075353</v>
      </c>
      <c r="AN57">
        <f t="shared" si="21"/>
        <v>52.7360654075353</v>
      </c>
      <c r="AO57">
        <f t="shared" si="22"/>
        <v>52.735109467711929</v>
      </c>
      <c r="AP57">
        <f t="shared" si="23"/>
        <v>52.72746319657422</v>
      </c>
      <c r="AQ57">
        <f t="shared" si="24"/>
        <v>-10.164890532288069</v>
      </c>
      <c r="AR57">
        <f t="shared" si="25"/>
        <v>-7.6639345924646989</v>
      </c>
      <c r="AS57">
        <f t="shared" si="26"/>
        <v>-6.9639345924647031</v>
      </c>
      <c r="AT57">
        <f t="shared" si="27"/>
        <v>-7.1648905322880694</v>
      </c>
      <c r="AU57">
        <f t="shared" si="28"/>
        <v>-7.7725368034257798</v>
      </c>
      <c r="AV57">
        <f t="shared" si="29"/>
        <v>10.164890532288069</v>
      </c>
      <c r="AW57">
        <f t="shared" si="30"/>
        <v>7.6639345924646989</v>
      </c>
      <c r="AX57">
        <f t="shared" si="31"/>
        <v>6.9639345924647031</v>
      </c>
      <c r="AY57">
        <f t="shared" si="32"/>
        <v>7.1648905322880694</v>
      </c>
      <c r="AZ57">
        <f t="shared" si="33"/>
        <v>7.7725368034257798</v>
      </c>
      <c r="BA57">
        <f t="shared" si="34"/>
        <v>7.9460374105862641</v>
      </c>
      <c r="BD57">
        <v>0.50087999999999999</v>
      </c>
      <c r="BE57">
        <v>0.58865000000000001</v>
      </c>
      <c r="BF57">
        <v>0.86467000000000005</v>
      </c>
      <c r="BG57">
        <v>0.27357999999999999</v>
      </c>
      <c r="BI57">
        <v>57.11</v>
      </c>
      <c r="BJ57">
        <v>54.47</v>
      </c>
      <c r="BK57">
        <v>42</v>
      </c>
      <c r="BL57">
        <v>60.49</v>
      </c>
      <c r="BM57">
        <v>12622.058590000001</v>
      </c>
      <c r="BN57">
        <v>29668.115229999999</v>
      </c>
      <c r="BO57">
        <v>29053.033200000002</v>
      </c>
      <c r="BP57">
        <v>25279.179690000001</v>
      </c>
    </row>
    <row r="58" spans="1:68">
      <c r="A58">
        <v>418</v>
      </c>
      <c r="B58" t="s">
        <v>114</v>
      </c>
      <c r="C58" t="s">
        <v>114</v>
      </c>
      <c r="D58">
        <v>1175</v>
      </c>
      <c r="E58">
        <v>1079</v>
      </c>
      <c r="F58">
        <v>4</v>
      </c>
      <c r="G58">
        <v>0.45129000000000002</v>
      </c>
      <c r="H58">
        <v>61</v>
      </c>
      <c r="I58">
        <v>2100</v>
      </c>
      <c r="J58">
        <f t="shared" si="7"/>
        <v>5.1757581180582832</v>
      </c>
      <c r="K58">
        <v>1.28</v>
      </c>
      <c r="L58" s="4">
        <v>0.85899999999999999</v>
      </c>
      <c r="M58">
        <f t="shared" si="48"/>
        <v>2100</v>
      </c>
      <c r="N58">
        <f t="shared" si="49"/>
        <v>61</v>
      </c>
      <c r="O58">
        <v>45</v>
      </c>
      <c r="P58">
        <f t="shared" si="10"/>
        <v>46.666666666666664</v>
      </c>
      <c r="Q58">
        <f t="shared" si="11"/>
        <v>5.1757581180582832</v>
      </c>
      <c r="R58">
        <v>3</v>
      </c>
      <c r="S58" s="17">
        <v>5767.1225590000004</v>
      </c>
      <c r="T58" s="18">
        <f t="shared" si="12"/>
        <v>1922.3741863333335</v>
      </c>
      <c r="U58">
        <f t="shared" si="41"/>
        <v>0.91541627920634927</v>
      </c>
      <c r="V58" s="18">
        <v>-1</v>
      </c>
      <c r="W58" s="18">
        <v>-1</v>
      </c>
      <c r="X58" s="20">
        <f t="shared" si="42"/>
        <v>1</v>
      </c>
      <c r="Y58">
        <f t="shared" si="43"/>
        <v>56.039861796244892</v>
      </c>
      <c r="Z58">
        <f t="shared" si="44"/>
        <v>1922.3741863333335</v>
      </c>
      <c r="AA58">
        <f t="shared" si="45"/>
        <v>51.428974363957181</v>
      </c>
      <c r="AB58">
        <f t="shared" si="15"/>
        <v>1.0114728047991518E-5</v>
      </c>
      <c r="AC58">
        <f t="shared" si="16"/>
        <v>6.4734259507145714E-4</v>
      </c>
      <c r="AD58">
        <f t="shared" si="17"/>
        <v>7</v>
      </c>
      <c r="AE58" s="13">
        <v>7.5</v>
      </c>
      <c r="AF58">
        <f t="shared" si="18"/>
        <v>8</v>
      </c>
      <c r="AG58" s="17">
        <v>59.9</v>
      </c>
      <c r="AH58" s="17">
        <v>56.7</v>
      </c>
      <c r="AI58" s="17">
        <v>54.9</v>
      </c>
      <c r="AJ58" s="17">
        <v>56.6</v>
      </c>
      <c r="AK58" s="17">
        <v>58.5</v>
      </c>
      <c r="AL58">
        <f t="shared" si="19"/>
        <v>51.42808371930623</v>
      </c>
      <c r="AM58">
        <f t="shared" si="20"/>
        <v>51.428974363957181</v>
      </c>
      <c r="AN58">
        <f t="shared" si="21"/>
        <v>51.428974363957181</v>
      </c>
      <c r="AO58">
        <f t="shared" si="22"/>
        <v>51.42808371930623</v>
      </c>
      <c r="AP58">
        <f t="shared" si="23"/>
        <v>51.420959672483129</v>
      </c>
      <c r="AQ58">
        <f t="shared" si="24"/>
        <v>-8.4719162806937689</v>
      </c>
      <c r="AR58">
        <f t="shared" si="25"/>
        <v>-5.2710256360428218</v>
      </c>
      <c r="AS58">
        <f t="shared" si="26"/>
        <v>-3.4710256360428176</v>
      </c>
      <c r="AT58">
        <f t="shared" si="27"/>
        <v>-5.1719162806937717</v>
      </c>
      <c r="AU58">
        <f t="shared" si="28"/>
        <v>-7.0790403275168714</v>
      </c>
      <c r="AV58">
        <f t="shared" si="29"/>
        <v>8.4719162806937689</v>
      </c>
      <c r="AW58">
        <f t="shared" si="30"/>
        <v>5.2710256360428218</v>
      </c>
      <c r="AX58">
        <f t="shared" si="31"/>
        <v>3.4710256360428176</v>
      </c>
      <c r="AY58">
        <f t="shared" si="32"/>
        <v>5.1719162806937717</v>
      </c>
      <c r="AZ58">
        <f t="shared" si="33"/>
        <v>7.0790403275168714</v>
      </c>
      <c r="BA58">
        <f t="shared" si="34"/>
        <v>5.8929848321980103</v>
      </c>
      <c r="BD58">
        <v>0.56249000000000005</v>
      </c>
      <c r="BE58">
        <v>0.60224999999999995</v>
      </c>
      <c r="BF58">
        <v>0.73712</v>
      </c>
      <c r="BG58">
        <v>0.27627000000000002</v>
      </c>
      <c r="BI58">
        <v>55.33</v>
      </c>
      <c r="BJ58">
        <v>54.01</v>
      </c>
      <c r="BK58">
        <v>48.36</v>
      </c>
      <c r="BL58">
        <v>60.47</v>
      </c>
      <c r="BM58">
        <v>14174.750980000001</v>
      </c>
      <c r="BN58">
        <v>30353.582030000001</v>
      </c>
      <c r="BO58">
        <v>24767.121090000001</v>
      </c>
      <c r="BP58">
        <v>25527.708979999999</v>
      </c>
    </row>
    <row r="59" spans="1:68">
      <c r="A59">
        <v>424</v>
      </c>
      <c r="B59" t="s">
        <v>115</v>
      </c>
      <c r="C59" t="s">
        <v>115</v>
      </c>
      <c r="D59">
        <v>1178</v>
      </c>
      <c r="E59">
        <v>1173</v>
      </c>
      <c r="F59">
        <v>4</v>
      </c>
      <c r="G59">
        <v>0.30026999999999998</v>
      </c>
      <c r="H59">
        <v>61</v>
      </c>
      <c r="I59">
        <v>2100</v>
      </c>
      <c r="J59">
        <f t="shared" si="7"/>
        <v>5.1757581180582832</v>
      </c>
      <c r="K59">
        <v>1.28</v>
      </c>
      <c r="L59" s="4">
        <v>0.85899999999999999</v>
      </c>
      <c r="M59">
        <f t="shared" si="48"/>
        <v>2100</v>
      </c>
      <c r="N59">
        <f t="shared" si="49"/>
        <v>61</v>
      </c>
      <c r="O59">
        <v>45</v>
      </c>
      <c r="P59">
        <f t="shared" si="10"/>
        <v>46.666666666666664</v>
      </c>
      <c r="Q59">
        <f t="shared" si="11"/>
        <v>5.1757581180582832</v>
      </c>
      <c r="R59">
        <v>3</v>
      </c>
      <c r="S59" s="17">
        <v>5636.9721680000002</v>
      </c>
      <c r="T59" s="18">
        <f t="shared" si="12"/>
        <v>1878.9907226666667</v>
      </c>
      <c r="U59">
        <f t="shared" si="41"/>
        <v>0.89475748698412694</v>
      </c>
      <c r="V59" s="18">
        <v>-1</v>
      </c>
      <c r="W59" s="18">
        <v>-1</v>
      </c>
      <c r="X59" s="20">
        <f t="shared" si="42"/>
        <v>1</v>
      </c>
      <c r="Y59">
        <f t="shared" si="43"/>
        <v>56.782413694946037</v>
      </c>
      <c r="Z59">
        <f t="shared" si="44"/>
        <v>1878.9907226666667</v>
      </c>
      <c r="AA59">
        <f t="shared" si="45"/>
        <v>52.7360654075353</v>
      </c>
      <c r="AB59">
        <f t="shared" si="15"/>
        <v>1.009177687433657E-5</v>
      </c>
      <c r="AC59">
        <f t="shared" si="16"/>
        <v>6.4587371995754046E-4</v>
      </c>
      <c r="AD59">
        <f t="shared" si="17"/>
        <v>7</v>
      </c>
      <c r="AE59" s="13">
        <v>7.5</v>
      </c>
      <c r="AF59">
        <f t="shared" si="18"/>
        <v>8</v>
      </c>
      <c r="AG59" s="17">
        <v>62.9</v>
      </c>
      <c r="AH59" s="17">
        <v>60.4</v>
      </c>
      <c r="AI59" s="17">
        <v>59.7</v>
      </c>
      <c r="AJ59" s="17">
        <v>59.9</v>
      </c>
      <c r="AK59" s="17">
        <v>60.5</v>
      </c>
      <c r="AL59">
        <f t="shared" si="19"/>
        <v>52.735109467711929</v>
      </c>
      <c r="AM59">
        <f t="shared" si="20"/>
        <v>52.7360654075353</v>
      </c>
      <c r="AN59">
        <f t="shared" si="21"/>
        <v>52.7360654075353</v>
      </c>
      <c r="AO59">
        <f t="shared" si="22"/>
        <v>52.735109467711929</v>
      </c>
      <c r="AP59">
        <f t="shared" si="23"/>
        <v>52.72746319657422</v>
      </c>
      <c r="AQ59">
        <f t="shared" si="24"/>
        <v>-10.164890532288069</v>
      </c>
      <c r="AR59">
        <f t="shared" si="25"/>
        <v>-7.6639345924646989</v>
      </c>
      <c r="AS59">
        <f t="shared" si="26"/>
        <v>-6.9639345924647031</v>
      </c>
      <c r="AT59">
        <f t="shared" si="27"/>
        <v>-7.1648905322880694</v>
      </c>
      <c r="AU59">
        <f t="shared" si="28"/>
        <v>-7.7725368034257798</v>
      </c>
      <c r="AV59">
        <f t="shared" si="29"/>
        <v>10.164890532288069</v>
      </c>
      <c r="AW59">
        <f t="shared" si="30"/>
        <v>7.6639345924646989</v>
      </c>
      <c r="AX59">
        <f t="shared" si="31"/>
        <v>6.9639345924647031</v>
      </c>
      <c r="AY59">
        <f t="shared" si="32"/>
        <v>7.1648905322880694</v>
      </c>
      <c r="AZ59">
        <f t="shared" si="33"/>
        <v>7.7725368034257798</v>
      </c>
      <c r="BA59">
        <f t="shared" si="34"/>
        <v>7.9460374105862641</v>
      </c>
      <c r="BD59">
        <v>0.47047</v>
      </c>
      <c r="BE59">
        <v>0.55437999999999998</v>
      </c>
      <c r="BF59">
        <v>0.81644000000000005</v>
      </c>
      <c r="BG59">
        <v>0.23835999999999999</v>
      </c>
      <c r="BI59">
        <v>57.81</v>
      </c>
      <c r="BJ59">
        <v>55.6</v>
      </c>
      <c r="BK59">
        <v>44.47</v>
      </c>
      <c r="BL59">
        <v>60.68</v>
      </c>
      <c r="BM59">
        <v>11855.88379</v>
      </c>
      <c r="BN59">
        <v>27940.789059999999</v>
      </c>
      <c r="BO59">
        <v>27432.523440000001</v>
      </c>
      <c r="BP59">
        <v>22024.640630000002</v>
      </c>
    </row>
    <row r="60" spans="1:68">
      <c r="A60">
        <v>425</v>
      </c>
      <c r="B60" t="s">
        <v>116</v>
      </c>
      <c r="C60" t="s">
        <v>116</v>
      </c>
      <c r="D60">
        <v>1179</v>
      </c>
      <c r="E60">
        <v>1077</v>
      </c>
      <c r="F60">
        <v>4</v>
      </c>
      <c r="G60">
        <v>0.157</v>
      </c>
      <c r="H60">
        <v>61</v>
      </c>
      <c r="I60">
        <v>2100</v>
      </c>
      <c r="J60">
        <f t="shared" si="7"/>
        <v>5.1757581180582832</v>
      </c>
      <c r="K60">
        <v>1.28</v>
      </c>
      <c r="L60" s="4">
        <v>0.85899999999999999</v>
      </c>
      <c r="M60">
        <f t="shared" si="48"/>
        <v>2100</v>
      </c>
      <c r="N60">
        <f t="shared" si="49"/>
        <v>61</v>
      </c>
      <c r="O60">
        <v>45</v>
      </c>
      <c r="P60">
        <f t="shared" si="10"/>
        <v>46.666666666666664</v>
      </c>
      <c r="Q60">
        <f t="shared" si="11"/>
        <v>5.1757581180582832</v>
      </c>
      <c r="R60">
        <v>3</v>
      </c>
      <c r="S60" s="17">
        <v>5172.189453</v>
      </c>
      <c r="T60" s="18">
        <f t="shared" si="12"/>
        <v>1724.0631510000001</v>
      </c>
      <c r="U60">
        <f t="shared" si="41"/>
        <v>0.82098245285714289</v>
      </c>
      <c r="V60" s="18">
        <v>-1</v>
      </c>
      <c r="W60" s="18">
        <v>-1</v>
      </c>
      <c r="X60" s="20">
        <f t="shared" si="42"/>
        <v>1</v>
      </c>
      <c r="Y60">
        <f t="shared" si="43"/>
        <v>58.564356078911864</v>
      </c>
      <c r="Z60">
        <f t="shared" si="44"/>
        <v>1724.0631510000001</v>
      </c>
      <c r="AA60">
        <f t="shared" si="45"/>
        <v>57.969345742807285</v>
      </c>
      <c r="AB60">
        <f t="shared" si="15"/>
        <v>1.00057219839624E-5</v>
      </c>
      <c r="AC60">
        <f t="shared" si="16"/>
        <v>6.4036620697359361E-4</v>
      </c>
      <c r="AD60">
        <f t="shared" si="17"/>
        <v>7</v>
      </c>
      <c r="AE60" s="13">
        <v>7.5</v>
      </c>
      <c r="AF60">
        <f t="shared" si="18"/>
        <v>8</v>
      </c>
      <c r="AG60" s="17">
        <v>64.7</v>
      </c>
      <c r="AH60" s="17">
        <v>60.6</v>
      </c>
      <c r="AI60" s="17">
        <v>60.7</v>
      </c>
      <c r="AJ60" s="17">
        <v>62.4</v>
      </c>
      <c r="AK60" s="17">
        <v>61.4</v>
      </c>
      <c r="AL60">
        <f t="shared" si="19"/>
        <v>57.968097604585893</v>
      </c>
      <c r="AM60">
        <f t="shared" si="20"/>
        <v>57.969345742807285</v>
      </c>
      <c r="AN60">
        <f t="shared" si="21"/>
        <v>57.969345742807285</v>
      </c>
      <c r="AO60">
        <f t="shared" si="22"/>
        <v>57.968097604585893</v>
      </c>
      <c r="AP60">
        <f t="shared" si="23"/>
        <v>57.958114433385731</v>
      </c>
      <c r="AQ60">
        <f t="shared" si="24"/>
        <v>-6.7319023954141102</v>
      </c>
      <c r="AR60">
        <f t="shared" si="25"/>
        <v>-2.6306542571927167</v>
      </c>
      <c r="AS60">
        <f t="shared" si="26"/>
        <v>-2.7306542571927181</v>
      </c>
      <c r="AT60">
        <f t="shared" si="27"/>
        <v>-4.4319023954141059</v>
      </c>
      <c r="AU60">
        <f t="shared" si="28"/>
        <v>-3.4418855666142676</v>
      </c>
      <c r="AV60">
        <f t="shared" si="29"/>
        <v>6.7319023954141102</v>
      </c>
      <c r="AW60">
        <f t="shared" si="30"/>
        <v>2.6306542571927167</v>
      </c>
      <c r="AX60">
        <f t="shared" si="31"/>
        <v>2.7306542571927181</v>
      </c>
      <c r="AY60">
        <f t="shared" si="32"/>
        <v>4.4319023954141059</v>
      </c>
      <c r="AZ60">
        <f t="shared" si="33"/>
        <v>3.4418855666142676</v>
      </c>
      <c r="BA60">
        <f t="shared" si="34"/>
        <v>3.9933997743655838</v>
      </c>
      <c r="BD60">
        <v>0.50900999999999996</v>
      </c>
      <c r="BE60">
        <v>0.48080000000000001</v>
      </c>
      <c r="BF60">
        <v>0.62148000000000003</v>
      </c>
      <c r="BG60">
        <v>0.16194</v>
      </c>
      <c r="BI60">
        <v>56.89</v>
      </c>
      <c r="BJ60">
        <v>57.57</v>
      </c>
      <c r="BK60">
        <v>53.28</v>
      </c>
      <c r="BL60">
        <v>60.91</v>
      </c>
      <c r="BM60">
        <v>12827.13574</v>
      </c>
      <c r="BN60">
        <v>24232.39258</v>
      </c>
      <c r="BO60">
        <v>20881.742190000001</v>
      </c>
      <c r="BP60">
        <v>14963.63184</v>
      </c>
    </row>
    <row r="61" spans="1:68">
      <c r="A61">
        <v>429</v>
      </c>
      <c r="B61" t="s">
        <v>117</v>
      </c>
      <c r="C61" t="s">
        <v>117</v>
      </c>
      <c r="D61">
        <v>1181</v>
      </c>
      <c r="E61">
        <v>1121</v>
      </c>
      <c r="F61">
        <v>4</v>
      </c>
      <c r="G61">
        <v>0.16819000000000001</v>
      </c>
      <c r="H61">
        <v>61</v>
      </c>
      <c r="I61">
        <v>2100</v>
      </c>
      <c r="J61">
        <f t="shared" si="7"/>
        <v>5.1757581180582832</v>
      </c>
      <c r="K61">
        <v>1.28</v>
      </c>
      <c r="L61" s="4">
        <v>0.85899999999999999</v>
      </c>
      <c r="M61">
        <f t="shared" si="48"/>
        <v>2100</v>
      </c>
      <c r="N61">
        <f t="shared" si="49"/>
        <v>61</v>
      </c>
      <c r="O61">
        <v>45</v>
      </c>
      <c r="P61">
        <f t="shared" si="10"/>
        <v>46.666666666666664</v>
      </c>
      <c r="Q61">
        <f t="shared" si="11"/>
        <v>5.1757581180582832</v>
      </c>
      <c r="R61">
        <v>3</v>
      </c>
      <c r="S61" s="17">
        <v>5091.2763670000004</v>
      </c>
      <c r="T61" s="18">
        <f t="shared" si="12"/>
        <v>1697.0921223333335</v>
      </c>
      <c r="U61">
        <f t="shared" si="41"/>
        <v>0.80813910587301596</v>
      </c>
      <c r="V61" s="18">
        <v>-1</v>
      </c>
      <c r="W61" s="18">
        <v>-1</v>
      </c>
      <c r="X61" s="20">
        <f t="shared" si="42"/>
        <v>1</v>
      </c>
      <c r="Y61">
        <f t="shared" si="43"/>
        <v>58.783218545347403</v>
      </c>
      <c r="Z61">
        <f t="shared" si="44"/>
        <v>1697.0921223333335</v>
      </c>
      <c r="AA61">
        <f t="shared" si="45"/>
        <v>58.983106112371942</v>
      </c>
      <c r="AB61">
        <f t="shared" si="15"/>
        <v>9.9900334696767211E-6</v>
      </c>
      <c r="AC61">
        <f t="shared" si="16"/>
        <v>6.3936214205931015E-4</v>
      </c>
      <c r="AD61">
        <f t="shared" si="17"/>
        <v>7</v>
      </c>
      <c r="AE61" s="13">
        <v>7.5</v>
      </c>
      <c r="AF61">
        <f t="shared" si="18"/>
        <v>8</v>
      </c>
      <c r="AG61" s="17">
        <v>64.3</v>
      </c>
      <c r="AH61" s="17">
        <v>61.4</v>
      </c>
      <c r="AI61" s="17">
        <v>58.4</v>
      </c>
      <c r="AJ61" s="17">
        <v>57.3</v>
      </c>
      <c r="AK61" s="17">
        <v>55.4</v>
      </c>
      <c r="AL61">
        <f t="shared" si="19"/>
        <v>58.981795461177363</v>
      </c>
      <c r="AM61">
        <f t="shared" si="20"/>
        <v>58.983106112371935</v>
      </c>
      <c r="AN61">
        <f t="shared" si="21"/>
        <v>58.983106112371935</v>
      </c>
      <c r="AO61">
        <f t="shared" si="22"/>
        <v>58.981795461177363</v>
      </c>
      <c r="AP61">
        <f t="shared" si="23"/>
        <v>58.971312348154797</v>
      </c>
      <c r="AQ61">
        <f t="shared" si="24"/>
        <v>-5.3182045388226342</v>
      </c>
      <c r="AR61">
        <f t="shared" si="25"/>
        <v>-2.4168938876280635</v>
      </c>
      <c r="AS61">
        <f t="shared" si="26"/>
        <v>0.58310611237193655</v>
      </c>
      <c r="AT61">
        <f t="shared" si="27"/>
        <v>1.6817954611773658</v>
      </c>
      <c r="AU61">
        <f t="shared" si="28"/>
        <v>3.5713123481547981</v>
      </c>
      <c r="AV61">
        <f t="shared" si="29"/>
        <v>5.3182045388226342</v>
      </c>
      <c r="AW61">
        <f t="shared" si="30"/>
        <v>2.4168938876280635</v>
      </c>
      <c r="AX61">
        <f t="shared" si="31"/>
        <v>0.58310611237193655</v>
      </c>
      <c r="AY61">
        <f t="shared" si="32"/>
        <v>1.6817954611773658</v>
      </c>
      <c r="AZ61">
        <f t="shared" si="33"/>
        <v>3.5713123481547981</v>
      </c>
      <c r="BA61">
        <f t="shared" si="34"/>
        <v>2.7142624696309596</v>
      </c>
      <c r="BD61">
        <v>0.49249999999999999</v>
      </c>
      <c r="BE61">
        <v>0.62921000000000005</v>
      </c>
      <c r="BF61">
        <v>0.91566000000000003</v>
      </c>
      <c r="BG61">
        <v>0.31952000000000003</v>
      </c>
      <c r="BI61">
        <v>57.31</v>
      </c>
      <c r="BJ61">
        <v>52.99</v>
      </c>
      <c r="BK61">
        <v>39.35</v>
      </c>
      <c r="BL61">
        <v>60.13</v>
      </c>
      <c r="BM61">
        <v>12410.884770000001</v>
      </c>
      <c r="BN61">
        <v>31712.15625</v>
      </c>
      <c r="BO61">
        <v>30766.289059999999</v>
      </c>
      <c r="BP61">
        <v>29523.568360000001</v>
      </c>
    </row>
    <row r="62" spans="1:68">
      <c r="A62">
        <v>432</v>
      </c>
      <c r="B62" t="s">
        <v>118</v>
      </c>
      <c r="C62" t="s">
        <v>118</v>
      </c>
      <c r="D62">
        <v>1182</v>
      </c>
      <c r="E62">
        <v>1148</v>
      </c>
      <c r="F62">
        <v>2</v>
      </c>
      <c r="G62">
        <v>0.55047000000000001</v>
      </c>
      <c r="H62">
        <v>65</v>
      </c>
      <c r="I62">
        <v>2100</v>
      </c>
      <c r="J62">
        <f t="shared" si="7"/>
        <v>4.1836864539729977</v>
      </c>
      <c r="K62">
        <v>1.28</v>
      </c>
      <c r="L62" s="4">
        <v>0.85899999999999999</v>
      </c>
      <c r="M62">
        <f t="shared" si="48"/>
        <v>2100</v>
      </c>
      <c r="N62">
        <f t="shared" si="49"/>
        <v>65</v>
      </c>
      <c r="O62">
        <v>45</v>
      </c>
      <c r="P62">
        <f t="shared" si="10"/>
        <v>46.666666666666664</v>
      </c>
      <c r="Q62">
        <f t="shared" si="11"/>
        <v>4.1836864539729977</v>
      </c>
      <c r="R62">
        <v>3</v>
      </c>
      <c r="S62" s="17">
        <v>4670.8784180000002</v>
      </c>
      <c r="T62" s="18">
        <f t="shared" si="12"/>
        <v>1556.9594726666667</v>
      </c>
      <c r="U62">
        <f t="shared" si="41"/>
        <v>0.74140927269841272</v>
      </c>
      <c r="V62" s="18">
        <v>-1</v>
      </c>
      <c r="W62" s="18">
        <v>-1</v>
      </c>
      <c r="X62" s="20">
        <f t="shared" si="42"/>
        <v>1</v>
      </c>
      <c r="Y62">
        <f t="shared" si="43"/>
        <v>62.540892491218663</v>
      </c>
      <c r="Z62">
        <f t="shared" si="44"/>
        <v>1556.9594726666667</v>
      </c>
      <c r="AA62">
        <f t="shared" si="45"/>
        <v>64.845612102582081</v>
      </c>
      <c r="AB62">
        <f t="shared" si="15"/>
        <v>9.9047176047386849E-6</v>
      </c>
      <c r="AC62">
        <f t="shared" si="16"/>
        <v>6.3390192670327583E-4</v>
      </c>
      <c r="AD62">
        <f t="shared" si="17"/>
        <v>7</v>
      </c>
      <c r="AE62" s="13">
        <v>7.5</v>
      </c>
      <c r="AF62">
        <f t="shared" si="18"/>
        <v>8</v>
      </c>
      <c r="AG62" s="17">
        <v>68.5</v>
      </c>
      <c r="AH62" s="17">
        <v>67.400000000000006</v>
      </c>
      <c r="AI62" s="17">
        <v>66</v>
      </c>
      <c r="AJ62" s="17">
        <v>65.8</v>
      </c>
      <c r="AK62" s="17">
        <v>65.400000000000006</v>
      </c>
      <c r="AL62">
        <f t="shared" si="19"/>
        <v>64.84390013914124</v>
      </c>
      <c r="AM62">
        <f t="shared" si="20"/>
        <v>64.845612102582081</v>
      </c>
      <c r="AN62">
        <f t="shared" si="21"/>
        <v>64.845612102582081</v>
      </c>
      <c r="AO62">
        <f t="shared" si="22"/>
        <v>64.84390013914124</v>
      </c>
      <c r="AP62">
        <f t="shared" si="23"/>
        <v>64.83020768510211</v>
      </c>
      <c r="AQ62">
        <f t="shared" si="24"/>
        <v>-3.6560998608587596</v>
      </c>
      <c r="AR62">
        <f t="shared" si="25"/>
        <v>-2.554387897417925</v>
      </c>
      <c r="AS62">
        <f t="shared" si="26"/>
        <v>-1.1543878974179194</v>
      </c>
      <c r="AT62">
        <f t="shared" si="27"/>
        <v>-0.95609986085875676</v>
      </c>
      <c r="AU62">
        <f t="shared" si="28"/>
        <v>-0.56979231489789584</v>
      </c>
      <c r="AV62">
        <f t="shared" si="29"/>
        <v>3.6560998608587596</v>
      </c>
      <c r="AW62">
        <f t="shared" si="30"/>
        <v>2.554387897417925</v>
      </c>
      <c r="AX62">
        <f t="shared" si="31"/>
        <v>1.1543878974179194</v>
      </c>
      <c r="AY62">
        <f t="shared" si="32"/>
        <v>0.95609986085875676</v>
      </c>
      <c r="AZ62">
        <f t="shared" si="33"/>
        <v>0.56979231489789584</v>
      </c>
      <c r="BA62">
        <f t="shared" si="34"/>
        <v>1.7781535662902512</v>
      </c>
      <c r="BD62">
        <v>0.61626999999999998</v>
      </c>
      <c r="BE62">
        <v>0.78266000000000002</v>
      </c>
      <c r="BF62">
        <v>1.087</v>
      </c>
      <c r="BG62">
        <v>0.37655</v>
      </c>
      <c r="BI62">
        <v>60.66</v>
      </c>
      <c r="BJ62">
        <v>56.44</v>
      </c>
      <c r="BK62">
        <v>47.66</v>
      </c>
      <c r="BL62">
        <v>64.12</v>
      </c>
      <c r="BM62">
        <v>7765.0507799999996</v>
      </c>
      <c r="BN62">
        <v>19723.04492</v>
      </c>
      <c r="BO62">
        <v>18261.658200000002</v>
      </c>
      <c r="BP62">
        <v>17396.457030000001</v>
      </c>
    </row>
    <row r="63" spans="1:68">
      <c r="A63">
        <v>436</v>
      </c>
      <c r="B63" t="s">
        <v>119</v>
      </c>
      <c r="C63" t="s">
        <v>119</v>
      </c>
      <c r="D63">
        <v>1184</v>
      </c>
      <c r="E63">
        <v>1055</v>
      </c>
      <c r="F63">
        <v>3</v>
      </c>
      <c r="G63">
        <v>0.20008999999999999</v>
      </c>
      <c r="H63">
        <v>62</v>
      </c>
      <c r="I63">
        <v>2100</v>
      </c>
      <c r="J63">
        <f t="shared" si="7"/>
        <v>4.8795269895941189</v>
      </c>
      <c r="K63">
        <v>1.28</v>
      </c>
      <c r="L63" s="4">
        <v>0.85899999999999999</v>
      </c>
      <c r="M63">
        <f t="shared" si="48"/>
        <v>2100</v>
      </c>
      <c r="N63">
        <f t="shared" si="49"/>
        <v>62</v>
      </c>
      <c r="O63">
        <v>45</v>
      </c>
      <c r="P63">
        <f t="shared" si="10"/>
        <v>46.666666666666664</v>
      </c>
      <c r="Q63">
        <f t="shared" si="11"/>
        <v>4.8795269895941189</v>
      </c>
      <c r="R63">
        <v>3</v>
      </c>
      <c r="S63" s="17">
        <v>5198.8471680000002</v>
      </c>
      <c r="T63" s="18">
        <f t="shared" si="12"/>
        <v>1732.9490560000002</v>
      </c>
      <c r="U63">
        <f t="shared" si="41"/>
        <v>0.82521383619047628</v>
      </c>
      <c r="V63" s="18">
        <v>-1</v>
      </c>
      <c r="W63" s="18">
        <v>-1</v>
      </c>
      <c r="X63" s="20">
        <f t="shared" si="42"/>
        <v>1</v>
      </c>
      <c r="Y63">
        <f t="shared" si="43"/>
        <v>59.107894629115684</v>
      </c>
      <c r="Z63">
        <f t="shared" si="44"/>
        <v>1732.9490560000002</v>
      </c>
      <c r="AA63">
        <f t="shared" si="45"/>
        <v>57.642602656609583</v>
      </c>
      <c r="AB63">
        <f t="shared" si="15"/>
        <v>1.0010842357023E-5</v>
      </c>
      <c r="AC63">
        <f t="shared" si="16"/>
        <v>6.4069391084947203E-4</v>
      </c>
      <c r="AD63">
        <f t="shared" si="17"/>
        <v>7</v>
      </c>
      <c r="AE63" s="13">
        <v>7.5</v>
      </c>
      <c r="AF63">
        <f t="shared" si="18"/>
        <v>8</v>
      </c>
      <c r="AG63" s="17">
        <v>68.8</v>
      </c>
      <c r="AH63" s="17">
        <v>67.8</v>
      </c>
      <c r="AI63" s="17">
        <v>66.2</v>
      </c>
      <c r="AJ63" s="17">
        <v>64.400000000000006</v>
      </c>
      <c r="AK63" s="17">
        <v>65.400000000000006</v>
      </c>
      <c r="AL63">
        <f t="shared" si="19"/>
        <v>57.641374248404084</v>
      </c>
      <c r="AM63">
        <f t="shared" si="20"/>
        <v>57.642602656609576</v>
      </c>
      <c r="AN63">
        <f t="shared" si="21"/>
        <v>57.642602656609576</v>
      </c>
      <c r="AO63">
        <f t="shared" si="22"/>
        <v>57.641374248404084</v>
      </c>
      <c r="AP63">
        <f t="shared" si="23"/>
        <v>57.631548867278113</v>
      </c>
      <c r="AQ63">
        <f t="shared" si="24"/>
        <v>-11.158625751595913</v>
      </c>
      <c r="AR63">
        <f t="shared" si="25"/>
        <v>-10.157397343390421</v>
      </c>
      <c r="AS63">
        <f t="shared" si="26"/>
        <v>-8.5573973433904271</v>
      </c>
      <c r="AT63">
        <f t="shared" si="27"/>
        <v>-6.7586257515959218</v>
      </c>
      <c r="AU63">
        <f t="shared" si="28"/>
        <v>-7.7684511327218928</v>
      </c>
      <c r="AV63">
        <f t="shared" si="29"/>
        <v>11.158625751595913</v>
      </c>
      <c r="AW63">
        <f t="shared" si="30"/>
        <v>10.157397343390421</v>
      </c>
      <c r="AX63">
        <f t="shared" si="31"/>
        <v>8.5573973433904271</v>
      </c>
      <c r="AY63">
        <f t="shared" si="32"/>
        <v>6.7586257515959218</v>
      </c>
      <c r="AZ63">
        <f t="shared" si="33"/>
        <v>7.7684511327218928</v>
      </c>
      <c r="BA63">
        <f t="shared" si="34"/>
        <v>8.8800994645389153</v>
      </c>
      <c r="BD63">
        <v>0.56501000000000001</v>
      </c>
      <c r="BE63">
        <v>0.75334999999999996</v>
      </c>
      <c r="BF63">
        <v>1.0531600000000001</v>
      </c>
      <c r="BG63">
        <v>0.44429000000000002</v>
      </c>
      <c r="BI63">
        <v>57.13</v>
      </c>
      <c r="BJ63">
        <v>50.67</v>
      </c>
      <c r="BK63">
        <v>38.89</v>
      </c>
      <c r="BL63">
        <v>59.78</v>
      </c>
      <c r="BM63">
        <v>10678.73633</v>
      </c>
      <c r="BN63">
        <v>28476.496090000001</v>
      </c>
      <c r="BO63">
        <v>26539.619139999999</v>
      </c>
      <c r="BP63">
        <v>30789.17383</v>
      </c>
    </row>
    <row r="64" spans="1:68">
      <c r="A64">
        <v>445</v>
      </c>
      <c r="B64" t="s">
        <v>120</v>
      </c>
      <c r="C64" t="s">
        <v>120</v>
      </c>
      <c r="D64">
        <v>1189</v>
      </c>
      <c r="E64">
        <v>1147</v>
      </c>
      <c r="F64">
        <v>2</v>
      </c>
      <c r="G64">
        <v>0.62168999999999996</v>
      </c>
      <c r="H64">
        <v>70</v>
      </c>
      <c r="I64">
        <v>2100</v>
      </c>
      <c r="J64">
        <f t="shared" si="7"/>
        <v>3.4190225827029095</v>
      </c>
      <c r="K64">
        <v>1.28</v>
      </c>
      <c r="L64" s="4">
        <v>0.85899999999999999</v>
      </c>
      <c r="M64">
        <f t="shared" si="48"/>
        <v>2100</v>
      </c>
      <c r="N64">
        <f t="shared" si="49"/>
        <v>70</v>
      </c>
      <c r="O64">
        <v>45</v>
      </c>
      <c r="P64">
        <f t="shared" si="10"/>
        <v>46.666666666666664</v>
      </c>
      <c r="Q64">
        <f t="shared" si="11"/>
        <v>3.4190225827029095</v>
      </c>
      <c r="R64">
        <v>3</v>
      </c>
      <c r="S64" s="17">
        <v>4860.4790039999998</v>
      </c>
      <c r="T64" s="18">
        <f t="shared" si="12"/>
        <v>1620.159668</v>
      </c>
      <c r="U64">
        <f t="shared" si="41"/>
        <v>0.77150460380952379</v>
      </c>
      <c r="V64" s="18">
        <v>-1</v>
      </c>
      <c r="W64" s="18">
        <v>-1</v>
      </c>
      <c r="X64" s="20">
        <f t="shared" si="42"/>
        <v>1</v>
      </c>
      <c r="Y64">
        <f t="shared" si="43"/>
        <v>65.104610721044722</v>
      </c>
      <c r="Z64">
        <f t="shared" si="44"/>
        <v>1620.159668</v>
      </c>
      <c r="AA64">
        <f t="shared" si="45"/>
        <v>62.069797607522268</v>
      </c>
      <c r="AB64">
        <f t="shared" si="15"/>
        <v>9.9440169066587834E-6</v>
      </c>
      <c r="AC64">
        <f t="shared" si="16"/>
        <v>6.3641708202616214E-4</v>
      </c>
      <c r="AD64">
        <f t="shared" si="17"/>
        <v>7</v>
      </c>
      <c r="AE64" s="13">
        <v>7.5</v>
      </c>
      <c r="AF64">
        <f t="shared" si="18"/>
        <v>8</v>
      </c>
      <c r="AG64" s="17">
        <v>67.599999999999994</v>
      </c>
      <c r="AH64" s="17">
        <v>64.2</v>
      </c>
      <c r="AI64" s="17">
        <v>66.7</v>
      </c>
      <c r="AJ64" s="17">
        <v>65.900000000000006</v>
      </c>
      <c r="AK64" s="17">
        <v>65.900000000000006</v>
      </c>
      <c r="AL64">
        <f t="shared" si="19"/>
        <v>62.068284275990528</v>
      </c>
      <c r="AM64">
        <f t="shared" si="20"/>
        <v>62.069797607522261</v>
      </c>
      <c r="AN64">
        <f t="shared" si="21"/>
        <v>62.069797607522261</v>
      </c>
      <c r="AO64">
        <f t="shared" si="22"/>
        <v>62.068284275990528</v>
      </c>
      <c r="AP64">
        <f t="shared" si="23"/>
        <v>62.0561802797829</v>
      </c>
      <c r="AQ64">
        <f t="shared" si="24"/>
        <v>-5.5317157240094659</v>
      </c>
      <c r="AR64">
        <f t="shared" si="25"/>
        <v>-2.1302023924777416</v>
      </c>
      <c r="AS64">
        <f t="shared" si="26"/>
        <v>-4.6302023924777416</v>
      </c>
      <c r="AT64">
        <f t="shared" si="27"/>
        <v>-3.8317157240094772</v>
      </c>
      <c r="AU64">
        <f t="shared" si="28"/>
        <v>-3.8438197202171054</v>
      </c>
      <c r="AV64">
        <f t="shared" si="29"/>
        <v>5.5317157240094659</v>
      </c>
      <c r="AW64">
        <f t="shared" si="30"/>
        <v>2.1302023924777416</v>
      </c>
      <c r="AX64">
        <f t="shared" si="31"/>
        <v>4.6302023924777416</v>
      </c>
      <c r="AY64">
        <f t="shared" si="32"/>
        <v>3.8317157240094772</v>
      </c>
      <c r="AZ64">
        <f t="shared" si="33"/>
        <v>3.8438197202171054</v>
      </c>
      <c r="BA64">
        <f t="shared" si="34"/>
        <v>3.9935311906383064</v>
      </c>
      <c r="BD64">
        <v>0.58230000000000004</v>
      </c>
      <c r="BE64">
        <v>0.53661999999999999</v>
      </c>
      <c r="BF64">
        <v>0.65522000000000002</v>
      </c>
      <c r="BG64">
        <v>0.17526</v>
      </c>
      <c r="BI64">
        <v>65.14</v>
      </c>
      <c r="BJ64">
        <v>66.239999999999995</v>
      </c>
      <c r="BK64">
        <v>63.06</v>
      </c>
      <c r="BL64">
        <v>69.91</v>
      </c>
      <c r="BM64">
        <v>7337.02441</v>
      </c>
      <c r="BN64">
        <v>13522.74121</v>
      </c>
      <c r="BO64">
        <v>11007.737300000001</v>
      </c>
      <c r="BP64">
        <v>8097.0888699999996</v>
      </c>
    </row>
    <row r="65" spans="1:68">
      <c r="A65">
        <v>446</v>
      </c>
      <c r="B65" t="s">
        <v>121</v>
      </c>
      <c r="C65" t="s">
        <v>121</v>
      </c>
      <c r="D65">
        <v>1190</v>
      </c>
      <c r="E65">
        <v>1092</v>
      </c>
      <c r="F65">
        <v>2</v>
      </c>
      <c r="G65">
        <v>0.82816999999999996</v>
      </c>
      <c r="H65">
        <v>70</v>
      </c>
      <c r="I65">
        <v>2100</v>
      </c>
      <c r="J65">
        <f t="shared" si="7"/>
        <v>3.4190225827029095</v>
      </c>
      <c r="K65">
        <v>1.28</v>
      </c>
      <c r="L65" s="4">
        <v>0.85899999999999999</v>
      </c>
      <c r="M65">
        <f t="shared" si="48"/>
        <v>2100</v>
      </c>
      <c r="N65">
        <f t="shared" si="49"/>
        <v>70</v>
      </c>
      <c r="O65">
        <v>45</v>
      </c>
      <c r="P65">
        <f t="shared" si="10"/>
        <v>46.666666666666664</v>
      </c>
      <c r="Q65">
        <f t="shared" si="11"/>
        <v>3.4190225827029095</v>
      </c>
      <c r="R65">
        <v>3</v>
      </c>
      <c r="S65" s="17">
        <v>4575.8862300000001</v>
      </c>
      <c r="T65" s="18">
        <f t="shared" si="12"/>
        <v>1525.2954099999999</v>
      </c>
      <c r="U65">
        <f t="shared" si="41"/>
        <v>0.7263311476190476</v>
      </c>
      <c r="V65" s="18">
        <v>-1</v>
      </c>
      <c r="W65" s="18">
        <v>-1</v>
      </c>
      <c r="X65" s="20">
        <f t="shared" si="42"/>
        <v>1</v>
      </c>
      <c r="Y65">
        <f t="shared" si="43"/>
        <v>66.144703041289659</v>
      </c>
      <c r="Z65">
        <f t="shared" si="44"/>
        <v>1525.2954099999999</v>
      </c>
      <c r="AA65">
        <f t="shared" si="45"/>
        <v>66.327249810737484</v>
      </c>
      <c r="AB65">
        <f t="shared" si="15"/>
        <v>9.8844849963132626E-6</v>
      </c>
      <c r="AC65">
        <f t="shared" si="16"/>
        <v>6.3260703976404881E-4</v>
      </c>
      <c r="AD65">
        <f t="shared" si="17"/>
        <v>7</v>
      </c>
      <c r="AE65" s="13">
        <v>7.5</v>
      </c>
      <c r="AF65">
        <f t="shared" si="18"/>
        <v>8</v>
      </c>
      <c r="AG65" s="17">
        <v>63.1</v>
      </c>
      <c r="AH65" s="17">
        <v>62.9</v>
      </c>
      <c r="AI65" s="17">
        <v>62.7</v>
      </c>
      <c r="AJ65" s="17">
        <v>63.2</v>
      </c>
      <c r="AK65" s="17">
        <v>62.4</v>
      </c>
      <c r="AL65">
        <f t="shared" si="19"/>
        <v>66.325425276192178</v>
      </c>
      <c r="AM65">
        <f t="shared" si="20"/>
        <v>66.327249810737484</v>
      </c>
      <c r="AN65">
        <f t="shared" si="21"/>
        <v>66.327249810737484</v>
      </c>
      <c r="AO65">
        <f t="shared" si="22"/>
        <v>66.325425276192178</v>
      </c>
      <c r="AP65">
        <f t="shared" si="23"/>
        <v>66.310832612673067</v>
      </c>
      <c r="AQ65">
        <f t="shared" si="24"/>
        <v>3.2254252761921762</v>
      </c>
      <c r="AR65">
        <f t="shared" si="25"/>
        <v>3.4272498107374858</v>
      </c>
      <c r="AS65">
        <f t="shared" si="26"/>
        <v>3.6272498107374815</v>
      </c>
      <c r="AT65">
        <f t="shared" si="27"/>
        <v>3.1254252761921748</v>
      </c>
      <c r="AU65">
        <f t="shared" si="28"/>
        <v>3.9108326126730688</v>
      </c>
      <c r="AV65">
        <f t="shared" si="29"/>
        <v>3.2254252761921762</v>
      </c>
      <c r="AW65">
        <f t="shared" si="30"/>
        <v>3.4272498107374858</v>
      </c>
      <c r="AX65">
        <f t="shared" si="31"/>
        <v>3.6272498107374815</v>
      </c>
      <c r="AY65">
        <f t="shared" si="32"/>
        <v>3.1254252761921748</v>
      </c>
      <c r="AZ65">
        <f t="shared" si="33"/>
        <v>3.9108326126730688</v>
      </c>
      <c r="BA65">
        <f t="shared" si="34"/>
        <v>3.4632365573064776</v>
      </c>
      <c r="BD65">
        <v>0.46515000000000001</v>
      </c>
      <c r="BE65">
        <v>0.55227999999999999</v>
      </c>
      <c r="BF65">
        <v>0.71874000000000005</v>
      </c>
      <c r="BG65">
        <v>0.23977999999999999</v>
      </c>
      <c r="BI65">
        <v>67.64</v>
      </c>
      <c r="BJ65">
        <v>65.900000000000006</v>
      </c>
      <c r="BK65">
        <v>60.93</v>
      </c>
      <c r="BL65">
        <v>69.75</v>
      </c>
      <c r="BM65">
        <v>5860.9311500000003</v>
      </c>
      <c r="BN65">
        <v>13917.43262</v>
      </c>
      <c r="BO65">
        <v>12074.827149999999</v>
      </c>
      <c r="BP65">
        <v>11077.896479999999</v>
      </c>
    </row>
    <row r="66" spans="1:68">
      <c r="A66">
        <v>467</v>
      </c>
      <c r="B66" t="s">
        <v>122</v>
      </c>
      <c r="C66" t="s">
        <v>122</v>
      </c>
      <c r="D66">
        <v>1200</v>
      </c>
      <c r="E66">
        <v>1093</v>
      </c>
      <c r="F66">
        <v>3</v>
      </c>
      <c r="G66">
        <v>0.66920000000000002</v>
      </c>
      <c r="H66">
        <v>65</v>
      </c>
      <c r="I66">
        <v>2100</v>
      </c>
      <c r="J66">
        <f t="shared" si="7"/>
        <v>4.1836864539729977</v>
      </c>
      <c r="K66">
        <v>1.28</v>
      </c>
      <c r="L66" s="4">
        <v>0.85899999999999999</v>
      </c>
      <c r="M66">
        <f t="shared" ref="M66:M68" si="50">I66</f>
        <v>2100</v>
      </c>
      <c r="N66">
        <f t="shared" ref="N66:N68" si="51">H66</f>
        <v>65</v>
      </c>
      <c r="O66">
        <v>45</v>
      </c>
      <c r="P66">
        <f t="shared" si="10"/>
        <v>46.666666666666664</v>
      </c>
      <c r="Q66">
        <f t="shared" si="11"/>
        <v>4.1836864539729977</v>
      </c>
      <c r="R66">
        <v>3</v>
      </c>
      <c r="S66" s="17">
        <v>4778.513672</v>
      </c>
      <c r="T66" s="18">
        <f t="shared" si="12"/>
        <v>1592.8378906666667</v>
      </c>
      <c r="U66">
        <f t="shared" si="41"/>
        <v>0.7584942336507936</v>
      </c>
      <c r="V66" s="18">
        <v>-1</v>
      </c>
      <c r="W66" s="18">
        <v>-1</v>
      </c>
      <c r="X66" s="20">
        <f t="shared" si="42"/>
        <v>1</v>
      </c>
      <c r="Y66">
        <f t="shared" si="43"/>
        <v>62.263166899160943</v>
      </c>
      <c r="Z66">
        <f t="shared" si="44"/>
        <v>1592.8378906666667</v>
      </c>
      <c r="AA66">
        <f t="shared" si="45"/>
        <v>63.241424860160109</v>
      </c>
      <c r="AB66">
        <f t="shared" si="15"/>
        <v>9.9272000915292542E-6</v>
      </c>
      <c r="AC66">
        <f t="shared" si="16"/>
        <v>6.3534080585787227E-4</v>
      </c>
      <c r="AD66">
        <f t="shared" si="17"/>
        <v>7</v>
      </c>
      <c r="AE66" s="13">
        <v>7.5</v>
      </c>
      <c r="AF66">
        <f t="shared" si="18"/>
        <v>8</v>
      </c>
      <c r="AG66" s="17">
        <v>68.099999999999994</v>
      </c>
      <c r="AH66" s="17">
        <v>66.5</v>
      </c>
      <c r="AI66" s="17">
        <v>65</v>
      </c>
      <c r="AJ66" s="17">
        <v>64.3</v>
      </c>
      <c r="AK66" s="17">
        <v>64.7</v>
      </c>
      <c r="AL66">
        <f t="shared" si="19"/>
        <v>63.239829614731633</v>
      </c>
      <c r="AM66">
        <f t="shared" si="20"/>
        <v>63.241424860160109</v>
      </c>
      <c r="AN66">
        <f t="shared" si="21"/>
        <v>63.241424860160109</v>
      </c>
      <c r="AO66">
        <f t="shared" si="22"/>
        <v>63.239829614731633</v>
      </c>
      <c r="AP66">
        <f t="shared" si="23"/>
        <v>63.22707054796863</v>
      </c>
      <c r="AQ66">
        <f t="shared" si="24"/>
        <v>-4.8601703852683613</v>
      </c>
      <c r="AR66">
        <f t="shared" si="25"/>
        <v>-3.2585751398398912</v>
      </c>
      <c r="AS66">
        <f t="shared" si="26"/>
        <v>-1.7585751398398912</v>
      </c>
      <c r="AT66">
        <f t="shared" si="27"/>
        <v>-1.0601703852683642</v>
      </c>
      <c r="AU66">
        <f t="shared" si="28"/>
        <v>-1.4729294520313729</v>
      </c>
      <c r="AV66">
        <f t="shared" si="29"/>
        <v>4.8601703852683613</v>
      </c>
      <c r="AW66">
        <f t="shared" si="30"/>
        <v>3.2585751398398912</v>
      </c>
      <c r="AX66">
        <f t="shared" si="31"/>
        <v>1.7585751398398912</v>
      </c>
      <c r="AY66">
        <f t="shared" si="32"/>
        <v>1.0601703852683642</v>
      </c>
      <c r="AZ66">
        <f t="shared" si="33"/>
        <v>1.4729294520313729</v>
      </c>
      <c r="BA66">
        <f t="shared" si="34"/>
        <v>2.4820841004495762</v>
      </c>
      <c r="BD66">
        <v>0.45204</v>
      </c>
      <c r="BE66">
        <v>0.65825999999999996</v>
      </c>
      <c r="BF66">
        <v>0.98880000000000001</v>
      </c>
      <c r="BG66">
        <v>0.34378999999999998</v>
      </c>
      <c r="BI66">
        <v>63.4</v>
      </c>
      <c r="BJ66">
        <v>59.72</v>
      </c>
      <c r="BK66">
        <v>50.33</v>
      </c>
      <c r="BL66">
        <v>64.36</v>
      </c>
      <c r="BM66">
        <v>8543.5478500000008</v>
      </c>
      <c r="BN66">
        <v>24882.285159999999</v>
      </c>
      <c r="BO66">
        <v>24917.785159999999</v>
      </c>
      <c r="BP66">
        <v>23824.353520000001</v>
      </c>
    </row>
    <row r="67" spans="1:68">
      <c r="A67">
        <v>469</v>
      </c>
      <c r="B67" t="s">
        <v>123</v>
      </c>
      <c r="C67" t="s">
        <v>123</v>
      </c>
      <c r="D67">
        <v>1202</v>
      </c>
      <c r="E67">
        <v>1113</v>
      </c>
      <c r="F67">
        <v>3</v>
      </c>
      <c r="G67">
        <v>0.60045999999999999</v>
      </c>
      <c r="H67">
        <v>62</v>
      </c>
      <c r="I67">
        <v>2100</v>
      </c>
      <c r="J67">
        <f t="shared" si="7"/>
        <v>4.8795269895941189</v>
      </c>
      <c r="K67">
        <v>1.28</v>
      </c>
      <c r="L67" s="4">
        <v>0.85899999999999999</v>
      </c>
      <c r="M67">
        <f t="shared" si="50"/>
        <v>2100</v>
      </c>
      <c r="N67">
        <f t="shared" si="51"/>
        <v>62</v>
      </c>
      <c r="O67">
        <v>45</v>
      </c>
      <c r="P67">
        <f t="shared" si="10"/>
        <v>46.666666666666664</v>
      </c>
      <c r="Q67">
        <f t="shared" si="11"/>
        <v>4.8795269895941189</v>
      </c>
      <c r="R67">
        <v>3</v>
      </c>
      <c r="S67" s="17">
        <v>4963.8354490000002</v>
      </c>
      <c r="T67" s="18">
        <f t="shared" si="12"/>
        <v>1654.6118163333333</v>
      </c>
      <c r="U67">
        <f t="shared" si="41"/>
        <v>0.78791038873015873</v>
      </c>
      <c r="V67" s="18">
        <v>-1</v>
      </c>
      <c r="W67" s="18">
        <v>-1</v>
      </c>
      <c r="X67" s="20">
        <f t="shared" si="42"/>
        <v>1</v>
      </c>
      <c r="Y67">
        <f t="shared" si="43"/>
        <v>59.771862054835687</v>
      </c>
      <c r="Z67">
        <f t="shared" si="44"/>
        <v>1654.6118163333333</v>
      </c>
      <c r="AA67">
        <f t="shared" si="45"/>
        <v>60.650247909552355</v>
      </c>
      <c r="AB67">
        <f t="shared" si="15"/>
        <v>9.9648622162786292E-6</v>
      </c>
      <c r="AC67">
        <f t="shared" si="16"/>
        <v>6.3775118184183227E-4</v>
      </c>
      <c r="AD67">
        <f t="shared" si="17"/>
        <v>7</v>
      </c>
      <c r="AE67" s="13">
        <v>7.5</v>
      </c>
      <c r="AF67">
        <f t="shared" si="18"/>
        <v>8</v>
      </c>
      <c r="AG67" s="17">
        <v>67.900000000000006</v>
      </c>
      <c r="AH67" s="17">
        <v>66.400000000000006</v>
      </c>
      <c r="AI67" s="17">
        <v>65.099999999999994</v>
      </c>
      <c r="AJ67" s="17">
        <v>63.6</v>
      </c>
      <c r="AK67" s="17">
        <v>64.599999999999994</v>
      </c>
      <c r="AL67">
        <f t="shared" si="19"/>
        <v>60.648830125264766</v>
      </c>
      <c r="AM67">
        <f t="shared" si="20"/>
        <v>60.650247909552363</v>
      </c>
      <c r="AN67">
        <f t="shared" si="21"/>
        <v>60.650247909552363</v>
      </c>
      <c r="AO67">
        <f t="shared" si="22"/>
        <v>60.648830125264766</v>
      </c>
      <c r="AP67">
        <f t="shared" si="23"/>
        <v>60.637490236791507</v>
      </c>
      <c r="AQ67">
        <f t="shared" si="24"/>
        <v>-7.2511698747352398</v>
      </c>
      <c r="AR67">
        <f t="shared" si="25"/>
        <v>-5.7497520904476431</v>
      </c>
      <c r="AS67">
        <f t="shared" si="26"/>
        <v>-4.4497520904476318</v>
      </c>
      <c r="AT67">
        <f t="shared" si="27"/>
        <v>-2.9511698747352355</v>
      </c>
      <c r="AU67">
        <f t="shared" si="28"/>
        <v>-3.9625097632084874</v>
      </c>
      <c r="AV67">
        <f t="shared" si="29"/>
        <v>7.2511698747352398</v>
      </c>
      <c r="AW67">
        <f t="shared" si="30"/>
        <v>5.7497520904476431</v>
      </c>
      <c r="AX67">
        <f t="shared" si="31"/>
        <v>4.4497520904476318</v>
      </c>
      <c r="AY67">
        <f t="shared" si="32"/>
        <v>2.9511698747352355</v>
      </c>
      <c r="AZ67">
        <f t="shared" si="33"/>
        <v>3.9625097632084874</v>
      </c>
      <c r="BA67">
        <f t="shared" si="34"/>
        <v>4.8728707387148473</v>
      </c>
      <c r="BD67">
        <v>0.55566000000000004</v>
      </c>
      <c r="BE67">
        <v>0.74651999999999996</v>
      </c>
      <c r="BF67">
        <v>1.0390999999999999</v>
      </c>
      <c r="BG67">
        <v>0.44389000000000001</v>
      </c>
      <c r="BI67">
        <v>57.39</v>
      </c>
      <c r="BJ67">
        <v>50.94</v>
      </c>
      <c r="BK67">
        <v>39.200000000000003</v>
      </c>
      <c r="BL67">
        <v>59.78</v>
      </c>
      <c r="BM67">
        <v>10502.05176</v>
      </c>
      <c r="BN67">
        <v>28218.300780000001</v>
      </c>
      <c r="BO67">
        <v>26185.255860000001</v>
      </c>
      <c r="BP67">
        <v>30761.753909999999</v>
      </c>
    </row>
    <row r="68" spans="1:68">
      <c r="A68">
        <v>494</v>
      </c>
      <c r="B68" t="s">
        <v>124</v>
      </c>
      <c r="C68" t="s">
        <v>124</v>
      </c>
      <c r="D68">
        <v>1216</v>
      </c>
      <c r="E68">
        <v>1142</v>
      </c>
      <c r="F68">
        <v>3</v>
      </c>
      <c r="G68">
        <v>0.73907999999999996</v>
      </c>
      <c r="H68">
        <v>65</v>
      </c>
      <c r="I68">
        <v>2100</v>
      </c>
      <c r="J68">
        <f t="shared" si="7"/>
        <v>4.1836864539729977</v>
      </c>
      <c r="K68">
        <v>1.28</v>
      </c>
      <c r="L68" s="4">
        <v>0.85899999999999999</v>
      </c>
      <c r="M68">
        <f t="shared" si="50"/>
        <v>2100</v>
      </c>
      <c r="N68">
        <f t="shared" si="51"/>
        <v>65</v>
      </c>
      <c r="O68">
        <v>45</v>
      </c>
      <c r="P68">
        <f t="shared" si="10"/>
        <v>46.666666666666664</v>
      </c>
      <c r="Q68">
        <f t="shared" si="11"/>
        <v>4.1836864539729977</v>
      </c>
      <c r="R68">
        <v>3</v>
      </c>
      <c r="S68" s="17">
        <v>4819.1123049999997</v>
      </c>
      <c r="T68" s="18">
        <f t="shared" si="12"/>
        <v>1606.3707683333332</v>
      </c>
      <c r="U68">
        <f t="shared" ref="U68:U69" si="52">T68/M68</f>
        <v>0.76493846111111108</v>
      </c>
      <c r="V68" s="18">
        <v>-1</v>
      </c>
      <c r="W68" s="18">
        <v>-1</v>
      </c>
      <c r="X68" s="20">
        <f t="shared" si="42"/>
        <v>1</v>
      </c>
      <c r="Y68">
        <f t="shared" si="43"/>
        <v>62.15112268868733</v>
      </c>
      <c r="Z68">
        <f t="shared" si="44"/>
        <v>1606.3707683333332</v>
      </c>
      <c r="AA68">
        <f t="shared" si="45"/>
        <v>62.655871355267806</v>
      </c>
      <c r="AB68">
        <f t="shared" si="15"/>
        <v>9.9355618989277457E-6</v>
      </c>
      <c r="AC68">
        <f t="shared" si="16"/>
        <v>6.3587596153137573E-4</v>
      </c>
      <c r="AD68">
        <f t="shared" si="17"/>
        <v>7</v>
      </c>
      <c r="AE68" s="13">
        <v>7.5</v>
      </c>
      <c r="AF68">
        <f t="shared" si="18"/>
        <v>8</v>
      </c>
      <c r="AG68" s="17">
        <v>69.3</v>
      </c>
      <c r="AH68" s="17">
        <v>67.900000000000006</v>
      </c>
      <c r="AI68" s="17">
        <v>66.599999999999994</v>
      </c>
      <c r="AJ68" s="17">
        <v>65.8</v>
      </c>
      <c r="AK68" s="17">
        <v>66</v>
      </c>
      <c r="AL68">
        <f t="shared" si="19"/>
        <v>62.654317396855923</v>
      </c>
      <c r="AM68">
        <f t="shared" si="20"/>
        <v>62.655871355267813</v>
      </c>
      <c r="AN68">
        <f t="shared" si="21"/>
        <v>62.655871355267813</v>
      </c>
      <c r="AO68">
        <f t="shared" si="22"/>
        <v>62.654317396855923</v>
      </c>
      <c r="AP68">
        <f t="shared" si="23"/>
        <v>62.641888503924193</v>
      </c>
      <c r="AQ68">
        <f t="shared" si="24"/>
        <v>-6.6456826031440741</v>
      </c>
      <c r="AR68">
        <f t="shared" si="25"/>
        <v>-5.2441286447321929</v>
      </c>
      <c r="AS68">
        <f t="shared" si="26"/>
        <v>-3.9441286447321815</v>
      </c>
      <c r="AT68">
        <f t="shared" si="27"/>
        <v>-3.1456826031440741</v>
      </c>
      <c r="AU68">
        <f t="shared" si="28"/>
        <v>-3.3581114960758072</v>
      </c>
      <c r="AV68">
        <f t="shared" si="29"/>
        <v>6.6456826031440741</v>
      </c>
      <c r="AW68">
        <f t="shared" si="30"/>
        <v>5.2441286447321929</v>
      </c>
      <c r="AX68">
        <f t="shared" si="31"/>
        <v>3.9441286447321815</v>
      </c>
      <c r="AY68">
        <f t="shared" si="32"/>
        <v>3.1456826031440741</v>
      </c>
      <c r="AZ68">
        <f t="shared" si="33"/>
        <v>3.3581114960758072</v>
      </c>
      <c r="BA68">
        <f t="shared" si="34"/>
        <v>4.4675467983656656</v>
      </c>
      <c r="BD68">
        <v>0.37020999999999998</v>
      </c>
      <c r="BE68">
        <v>0.55871999999999999</v>
      </c>
      <c r="BF68">
        <v>0.87687999999999999</v>
      </c>
      <c r="BG68">
        <v>0.26701999999999998</v>
      </c>
      <c r="BI68">
        <v>64.17</v>
      </c>
      <c r="BJ68">
        <v>61.8</v>
      </c>
      <c r="BK68">
        <v>53.67</v>
      </c>
      <c r="BL68">
        <v>64.73</v>
      </c>
      <c r="BM68">
        <v>6996.9018599999999</v>
      </c>
      <c r="BN68">
        <v>21119.75</v>
      </c>
      <c r="BO68">
        <v>22097.369139999999</v>
      </c>
      <c r="BP68">
        <v>18504.164059999999</v>
      </c>
    </row>
    <row r="69" spans="1:68">
      <c r="A69">
        <v>515</v>
      </c>
      <c r="B69" t="s">
        <v>125</v>
      </c>
      <c r="C69" t="s">
        <v>125</v>
      </c>
      <c r="D69">
        <v>1227</v>
      </c>
      <c r="E69">
        <v>1195</v>
      </c>
      <c r="F69">
        <v>3</v>
      </c>
      <c r="G69">
        <v>0.64632999999999996</v>
      </c>
      <c r="H69">
        <v>65</v>
      </c>
      <c r="I69">
        <v>2100</v>
      </c>
      <c r="J69">
        <f t="shared" ref="J69" si="53">Q69</f>
        <v>4.1836864539729977</v>
      </c>
      <c r="K69">
        <v>1.28</v>
      </c>
      <c r="L69" s="4">
        <v>0.85899999999999999</v>
      </c>
      <c r="M69">
        <f t="shared" ref="M69" si="54">I69</f>
        <v>2100</v>
      </c>
      <c r="N69">
        <f t="shared" ref="N69" si="55">H69</f>
        <v>65</v>
      </c>
      <c r="O69">
        <v>45</v>
      </c>
      <c r="P69">
        <f t="shared" ref="P69" si="56">I69/O69</f>
        <v>46.666666666666664</v>
      </c>
      <c r="Q69">
        <f t="shared" ref="Q69" si="57">2*LN(2)/LN(N69/P69)</f>
        <v>4.1836864539729977</v>
      </c>
      <c r="R69">
        <v>3</v>
      </c>
      <c r="S69" s="17">
        <v>5176.8999020000001</v>
      </c>
      <c r="T69" s="18">
        <f t="shared" ref="T69" si="58">S69/R69</f>
        <v>1725.6333006666666</v>
      </c>
      <c r="U69">
        <f t="shared" si="52"/>
        <v>0.82173014317460313</v>
      </c>
      <c r="V69" s="18">
        <v>-1</v>
      </c>
      <c r="W69" s="18">
        <v>-1</v>
      </c>
      <c r="X69" s="20">
        <f t="shared" si="42"/>
        <v>1</v>
      </c>
      <c r="Y69">
        <f t="shared" si="43"/>
        <v>60.95486920880569</v>
      </c>
      <c r="Z69">
        <f t="shared" si="44"/>
        <v>1725.6333006666666</v>
      </c>
      <c r="AA69">
        <f t="shared" si="45"/>
        <v>57.911352899588138</v>
      </c>
      <c r="AB69">
        <f t="shared" ref="AB69" si="59">1/(AA69*Z69)</f>
        <v>1.000662848575308E-5</v>
      </c>
      <c r="AC69">
        <f>AB69*4/(X69/2)^4</f>
        <v>6.4042422308819712E-4</v>
      </c>
      <c r="AD69">
        <f t="shared" ref="AD69" si="60">AE69-X69/2</f>
        <v>7</v>
      </c>
      <c r="AE69" s="13">
        <v>7.5</v>
      </c>
      <c r="AF69">
        <f t="shared" ref="AF69" si="61">AE69+X69/2</f>
        <v>8</v>
      </c>
      <c r="AG69" s="17">
        <v>67</v>
      </c>
      <c r="AH69" s="17">
        <v>65.7</v>
      </c>
      <c r="AI69" s="17">
        <v>64.3</v>
      </c>
      <c r="AJ69" s="17">
        <v>63.6</v>
      </c>
      <c r="AK69" s="17">
        <v>64.3</v>
      </c>
      <c r="AL69">
        <f t="shared" ref="AL69" si="62">1/((AC69*($AL$3-AD69)^2*($AL$3-AF69)^2/(4*Z69))+(1/AA69))</f>
        <v>57.910108278013603</v>
      </c>
      <c r="AM69">
        <f t="shared" ref="AM69" si="63">1/((AC69*($AM$3-AD69)^2*($AM$3-AF69)^2/(4*Z69))+(1/AA69))</f>
        <v>57.911352899588145</v>
      </c>
      <c r="AN69">
        <f t="shared" ref="AN69" si="64">1/((AC69*($AN$3-AD69)^2*($AN$3-AF69)^2/(4*Z69))+(1/AA69))</f>
        <v>57.911352899588145</v>
      </c>
      <c r="AO69">
        <f t="shared" ref="AO69" si="65">1/((AC69*($AO$3-AD69)^2*($AO$3-AF69)^2/(4*Z69))+(1/AA69))</f>
        <v>57.910108278013603</v>
      </c>
      <c r="AP69">
        <f t="shared" ref="AP69" si="66">1/((AC69*($AP$3-AD69)^2*($AP$3-AF69)^2/(4*Z69))+(1/AA69))</f>
        <v>57.900153231029222</v>
      </c>
      <c r="AQ69">
        <f t="shared" ref="AQ69" si="67">AL69-AG69</f>
        <v>-9.0898917219863975</v>
      </c>
      <c r="AR69">
        <f t="shared" ref="AR69" si="68">AM69-AH69</f>
        <v>-7.7886471004118576</v>
      </c>
      <c r="AS69">
        <f t="shared" ref="AS69" si="69">AN69-AI69</f>
        <v>-6.3886471004118519</v>
      </c>
      <c r="AT69">
        <f t="shared" ref="AT69" si="70">AO69-AJ69</f>
        <v>-5.6898917219863989</v>
      </c>
      <c r="AU69">
        <f t="shared" ref="AU69" si="71">AP69-AK69</f>
        <v>-6.3998467689707752</v>
      </c>
      <c r="AV69">
        <f t="shared" ref="AV69:AX69" si="72">ABS(AQ69)</f>
        <v>9.0898917219863975</v>
      </c>
      <c r="AW69">
        <f t="shared" si="72"/>
        <v>7.7886471004118576</v>
      </c>
      <c r="AX69">
        <f t="shared" si="72"/>
        <v>6.3886471004118519</v>
      </c>
      <c r="AY69">
        <f t="shared" ref="AY69" si="73">ABS(AT69)</f>
        <v>5.6898917219863989</v>
      </c>
      <c r="AZ69">
        <f t="shared" ref="AZ69" si="74">ABS(AU69)</f>
        <v>6.3998467689707752</v>
      </c>
      <c r="BA69">
        <f t="shared" ref="BA69" si="75">AVERAGE(AV69:AZ69)</f>
        <v>7.0713848827534562</v>
      </c>
      <c r="BD69">
        <v>0.53259999999999996</v>
      </c>
      <c r="BE69">
        <v>0.75078</v>
      </c>
      <c r="BF69">
        <v>0.99804000000000004</v>
      </c>
      <c r="BG69">
        <v>0.4042</v>
      </c>
      <c r="BI69">
        <v>62.25</v>
      </c>
      <c r="BJ69">
        <v>57.34</v>
      </c>
      <c r="BK69">
        <v>50.06</v>
      </c>
      <c r="BL69">
        <v>63.9</v>
      </c>
      <c r="BM69">
        <v>10066.045899999999</v>
      </c>
      <c r="BN69">
        <v>28379.59375</v>
      </c>
      <c r="BO69">
        <v>25150.58008</v>
      </c>
      <c r="BP69">
        <v>28011.126950000002</v>
      </c>
    </row>
  </sheetData>
  <mergeCells count="2">
    <mergeCell ref="A3:E3"/>
    <mergeCell ref="AG3:AK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Step1.1_FD&amp;QVDF</vt:lpstr>
      <vt:lpstr>Step1.2_QVDF</vt:lpstr>
      <vt:lpstr>Step2_Time dependent speed</vt:lpstr>
      <vt:lpstr>Step3_Link level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Xuesong Zhou</dc:creator>
  <cp:lastModifiedBy>xue song zhou</cp:lastModifiedBy>
  <cp:lastPrinted>2021-11-26T19:25:24Z</cp:lastPrinted>
  <dcterms:created xsi:type="dcterms:W3CDTF">2021-09-07T22:25:31Z</dcterms:created>
  <dcterms:modified xsi:type="dcterms:W3CDTF">2022-06-30T22:10:45Z</dcterms:modified>
</cp:coreProperties>
</file>