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18016\Documents\GitHub\DLSim\release\"/>
    </mc:Choice>
  </mc:AlternateContent>
  <xr:revisionPtr revIDLastSave="0" documentId="8_{53481F94-B24C-45F0-9A89-B4B377AF347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4" i="1" l="1"/>
  <c r="Y84" i="1"/>
  <c r="X84" i="1"/>
  <c r="W84" i="1"/>
  <c r="Z83" i="1"/>
  <c r="Y83" i="1"/>
  <c r="X83" i="1"/>
  <c r="W83" i="1"/>
  <c r="Z82" i="1"/>
  <c r="Y82" i="1"/>
  <c r="X82" i="1"/>
  <c r="W82" i="1"/>
  <c r="Z81" i="1"/>
  <c r="Y81" i="1"/>
  <c r="X81" i="1"/>
  <c r="W81" i="1"/>
  <c r="Z80" i="1"/>
  <c r="Y80" i="1"/>
  <c r="X80" i="1"/>
  <c r="W80" i="1"/>
  <c r="Z79" i="1"/>
  <c r="Y79" i="1"/>
  <c r="X79" i="1"/>
  <c r="W79" i="1"/>
  <c r="Z78" i="1"/>
  <c r="Y78" i="1"/>
  <c r="X78" i="1"/>
  <c r="W78" i="1"/>
  <c r="Z77" i="1"/>
  <c r="Y77" i="1"/>
  <c r="X77" i="1"/>
  <c r="W77" i="1"/>
  <c r="Z76" i="1"/>
  <c r="Y76" i="1"/>
  <c r="X76" i="1"/>
  <c r="W76" i="1"/>
  <c r="Z75" i="1"/>
  <c r="Y75" i="1"/>
  <c r="X75" i="1"/>
  <c r="W75" i="1"/>
  <c r="Z74" i="1"/>
  <c r="Y74" i="1"/>
  <c r="Y9" i="1" s="1"/>
  <c r="X74" i="1"/>
  <c r="W74" i="1"/>
  <c r="Z73" i="1"/>
  <c r="Z9" i="1" s="1"/>
  <c r="Y73" i="1"/>
  <c r="X73" i="1"/>
  <c r="W73" i="1"/>
  <c r="W9" i="1" s="1"/>
  <c r="Y49" i="1"/>
  <c r="X49" i="1"/>
  <c r="W49" i="1"/>
  <c r="N49" i="1"/>
  <c r="Y48" i="1"/>
  <c r="X48" i="1"/>
  <c r="W48" i="1"/>
  <c r="O48" i="1" s="1"/>
  <c r="S48" i="1" s="1"/>
  <c r="U48" i="1"/>
  <c r="N48" i="1"/>
  <c r="Y47" i="1"/>
  <c r="X47" i="1"/>
  <c r="W47" i="1"/>
  <c r="U47" i="1"/>
  <c r="N47" i="1"/>
  <c r="Y46" i="1"/>
  <c r="X46" i="1"/>
  <c r="W46" i="1"/>
  <c r="U46" i="1"/>
  <c r="N46" i="1"/>
  <c r="Y45" i="1"/>
  <c r="X45" i="1"/>
  <c r="W45" i="1"/>
  <c r="N45" i="1"/>
  <c r="J45" i="1"/>
  <c r="Z44" i="1"/>
  <c r="O44" i="1" s="1"/>
  <c r="Y44" i="1"/>
  <c r="X44" i="1"/>
  <c r="W44" i="1"/>
  <c r="P44" i="1"/>
  <c r="N44" i="1"/>
  <c r="J44" i="1"/>
  <c r="Z43" i="1"/>
  <c r="Y43" i="1"/>
  <c r="X43" i="1"/>
  <c r="W43" i="1"/>
  <c r="O43" i="1" s="1"/>
  <c r="S43" i="1" s="1"/>
  <c r="U43" i="1"/>
  <c r="N43" i="1"/>
  <c r="Z42" i="1"/>
  <c r="Y42" i="1"/>
  <c r="X42" i="1"/>
  <c r="W42" i="1"/>
  <c r="O42" i="1" s="1"/>
  <c r="S42" i="1" s="1"/>
  <c r="U42" i="1"/>
  <c r="N42" i="1"/>
  <c r="Z41" i="1"/>
  <c r="Y41" i="1"/>
  <c r="X41" i="1"/>
  <c r="W41" i="1"/>
  <c r="O41" i="1" s="1"/>
  <c r="N41" i="1"/>
  <c r="S41" i="1" s="1"/>
  <c r="J41" i="1"/>
  <c r="Z40" i="1"/>
  <c r="Y40" i="1"/>
  <c r="X40" i="1"/>
  <c r="W40" i="1"/>
  <c r="O40" i="1" s="1"/>
  <c r="N40" i="1"/>
  <c r="P40" i="1" s="1"/>
  <c r="J40" i="1"/>
  <c r="Z39" i="1"/>
  <c r="Y39" i="1"/>
  <c r="X39" i="1"/>
  <c r="W39" i="1"/>
  <c r="O39" i="1" s="1"/>
  <c r="U39" i="1"/>
  <c r="N39" i="1"/>
  <c r="S39" i="1" s="1"/>
  <c r="Z38" i="1"/>
  <c r="Y38" i="1"/>
  <c r="X38" i="1"/>
  <c r="W38" i="1"/>
  <c r="O38" i="1" s="1"/>
  <c r="U38" i="1"/>
  <c r="N38" i="1"/>
  <c r="X9" i="1"/>
  <c r="Z7" i="1"/>
  <c r="Z48" i="1" s="1"/>
  <c r="T1" i="1"/>
  <c r="Z68" i="1" l="1"/>
  <c r="W68" i="1"/>
  <c r="T22" i="1"/>
  <c r="Y68" i="1"/>
  <c r="X68" i="1"/>
  <c r="Q40" i="1"/>
  <c r="R40" i="1" s="1"/>
  <c r="T40" i="1"/>
  <c r="U40" i="1" s="1"/>
  <c r="S40" i="1"/>
  <c r="Z59" i="1"/>
  <c r="Y59" i="1"/>
  <c r="X59" i="1"/>
  <c r="W59" i="1"/>
  <c r="Q29" i="1"/>
  <c r="O47" i="1"/>
  <c r="S47" i="1" s="1"/>
  <c r="Z63" i="1"/>
  <c r="Y63" i="1"/>
  <c r="U29" i="1"/>
  <c r="X63" i="1"/>
  <c r="W63" i="1"/>
  <c r="Z61" i="1"/>
  <c r="Y61" i="1"/>
  <c r="X61" i="1"/>
  <c r="W61" i="1"/>
  <c r="T30" i="1"/>
  <c r="T41" i="1"/>
  <c r="U41" i="1" s="1"/>
  <c r="Q41" i="1"/>
  <c r="S38" i="1"/>
  <c r="O49" i="1"/>
  <c r="S49" i="1" s="1"/>
  <c r="Z62" i="1"/>
  <c r="W62" i="1"/>
  <c r="Y62" i="1"/>
  <c r="U23" i="1"/>
  <c r="X62" i="1"/>
  <c r="T44" i="1"/>
  <c r="U44" i="1" s="1"/>
  <c r="Q44" i="1"/>
  <c r="R44" i="1" s="1"/>
  <c r="S44" i="1"/>
  <c r="O46" i="1"/>
  <c r="S46" i="1" s="1"/>
  <c r="P41" i="1"/>
  <c r="P45" i="1"/>
  <c r="Z49" i="1"/>
  <c r="Z45" i="1"/>
  <c r="O45" i="1" s="1"/>
  <c r="S45" i="1" s="1"/>
  <c r="Z46" i="1"/>
  <c r="Z47" i="1"/>
  <c r="Z65" i="1" l="1"/>
  <c r="Y65" i="1"/>
  <c r="X65" i="1"/>
  <c r="W65" i="1"/>
  <c r="S24" i="1"/>
  <c r="Z67" i="1"/>
  <c r="Y67" i="1"/>
  <c r="X67" i="1"/>
  <c r="W67" i="1"/>
  <c r="S32" i="1"/>
  <c r="S28" i="1"/>
  <c r="Z64" i="1"/>
  <c r="W64" i="1"/>
  <c r="Y64" i="1"/>
  <c r="X64" i="1"/>
  <c r="Z58" i="1"/>
  <c r="Q23" i="1"/>
  <c r="W58" i="1"/>
  <c r="Y58" i="1"/>
  <c r="X58" i="1"/>
  <c r="Q45" i="1"/>
  <c r="R45" i="1" s="1"/>
  <c r="O52" i="1" s="1"/>
  <c r="T45" i="1"/>
  <c r="U45" i="1" s="1"/>
  <c r="R41" i="1"/>
  <c r="P52" i="1" s="1"/>
  <c r="Z69" i="1"/>
  <c r="Y69" i="1"/>
  <c r="X69" i="1"/>
  <c r="W69" i="1"/>
  <c r="T32" i="1"/>
  <c r="S20" i="1"/>
  <c r="Z66" i="1"/>
  <c r="W66" i="1"/>
  <c r="Y66" i="1"/>
  <c r="X66" i="1"/>
  <c r="Z60" i="1"/>
  <c r="W60" i="1"/>
  <c r="Y60" i="1"/>
  <c r="X60" i="1"/>
  <c r="T20" i="1"/>
  <c r="X8" i="1" l="1"/>
  <c r="X10" i="1" s="1"/>
  <c r="X11" i="1" s="1"/>
  <c r="Y8" i="1"/>
  <c r="Y10" i="1" s="1"/>
  <c r="Y11" i="1" s="1"/>
  <c r="W8" i="1"/>
  <c r="W10" i="1" s="1"/>
  <c r="W11" i="1" s="1"/>
  <c r="P53" i="1"/>
  <c r="Z8" i="1"/>
  <c r="Z10" i="1" s="1"/>
  <c r="Z11" i="1" s="1"/>
  <c r="W12" i="1" l="1"/>
  <c r="Z13" i="1" s="1"/>
  <c r="Z14" i="1" s="1"/>
  <c r="Y13" i="1"/>
  <c r="Y14" i="1" s="1"/>
  <c r="X13" i="1"/>
  <c r="X14" i="1" s="1"/>
  <c r="W13" i="1" l="1"/>
  <c r="W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3" authorId="0" shapeId="0" xr:uid="{00000000-0006-0000-0000-000001000000}">
      <text>
        <r>
          <rPr>
            <sz val="9"/>
            <rFont val="SimSun"/>
          </rPr>
          <t xml:space="preserve">
1. OD demand</t>
        </r>
      </text>
    </comment>
    <comment ref="W5" authorId="0" shapeId="0" xr:uid="{00000000-0006-0000-0000-000002000000}">
      <text>
        <r>
          <rPr>
            <b/>
            <sz val="9"/>
            <rFont val="Calibri"/>
            <family val="2"/>
            <scheme val="minor"/>
          </rPr>
          <t xml:space="preserve">2. There are 4 paths from Node 1 to Node 2. </t>
        </r>
      </text>
    </comment>
    <comment ref="Y7" authorId="0" shapeId="0" xr:uid="{00000000-0006-0000-0000-000003000000}">
      <text>
        <r>
          <rPr>
            <b/>
            <sz val="9"/>
            <rFont val="Calibri"/>
            <family val="2"/>
            <scheme val="minor"/>
          </rPr>
          <t>3. flow on path 4 = demand - flow on paths 1, 2
and 3
Flow on paths 1, 2 ,3 will be used as "variables" to be changed.
Path 4's flow will be updated automatically.</t>
        </r>
      </text>
    </comment>
    <comment ref="L8" authorId="0" shapeId="0" xr:uid="{00000000-0006-0000-0000-000004000000}">
      <text>
        <r>
          <rPr>
            <b/>
            <sz val="8"/>
            <rFont val="Calibri"/>
            <family val="2"/>
            <scheme val="minor"/>
          </rPr>
          <t>12: total system-wide travel time = sum of gaps on different OD pairs</t>
        </r>
        <r>
          <rPr>
            <sz val="8"/>
            <rFont val="Calibri"/>
            <family val="2"/>
            <scheme val="minor"/>
          </rPr>
          <t xml:space="preserve">
To minimize GAP function
total GAP is close to 0--&gt; UE (User Equilibrium)
This is a difficult nonlinear program in its own right.</t>
        </r>
      </text>
    </comment>
    <comment ref="W8" authorId="0" shapeId="0" xr:uid="{00000000-0006-0000-0000-000005000000}">
      <text>
        <r>
          <rPr>
            <b/>
            <sz val="9"/>
            <rFont val="Calibri"/>
            <family val="2"/>
            <scheme val="minor"/>
          </rPr>
          <t xml:space="preserve">4. path travel time = sum of link travel time over all links on the path, path fare
</t>
        </r>
      </text>
    </comment>
    <comment ref="B10" authorId="0" shapeId="0" xr:uid="{00000000-0006-0000-0000-000006000000}">
      <text>
        <r>
          <rPr>
            <b/>
            <sz val="8"/>
            <rFont val="Tahoma"/>
            <family val="2"/>
          </rPr>
          <t xml:space="preserve">References: 
</t>
        </r>
        <r>
          <rPr>
            <sz val="8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W17" authorId="0" shapeId="0" xr:uid="{00000000-0006-0000-0000-000007000000}">
      <text>
        <r>
          <rPr>
            <b/>
            <sz val="9"/>
            <rFont val="Calibri"/>
            <family val="2"/>
            <scheme val="minor"/>
          </rPr>
          <t xml:space="preserve">5. the first path of OD 1-&gt;2 passes through links, 1, 301, 302-&gt;402
</t>
        </r>
      </text>
    </comment>
    <comment ref="C38" authorId="0" shapeId="0" xr:uid="{00000000-0006-0000-0000-000008000000}">
      <text>
        <r>
          <rPr>
            <b/>
            <sz val="8"/>
            <rFont val="Tahoma"/>
            <family val="2"/>
          </rPr>
          <t>We use beta= 1 to use a linear travel time function (so that the gap function can be converged to 0).</t>
        </r>
      </text>
    </comment>
    <comment ref="W38" authorId="0" shapeId="0" xr:uid="{00000000-0006-0000-0000-000009000000}">
      <text>
        <r>
          <rPr>
            <b/>
            <sz val="9"/>
            <rFont val="Calibri"/>
            <family val="2"/>
            <scheme val="minor"/>
          </rPr>
          <t xml:space="preserve">8. link flow on the first path = path flow * path-to-link incidence coefficient
</t>
        </r>
      </text>
    </comment>
    <comment ref="O39" authorId="0" shapeId="0" xr:uid="{00000000-0006-0000-0000-00000A000000}">
      <text>
        <r>
          <rPr>
            <b/>
            <sz val="8"/>
            <rFont val="Tahoma"/>
            <family val="2"/>
          </rPr>
          <t>9. total link flow = sum of path flow passing through this link over all paths</t>
        </r>
      </text>
    </comment>
    <comment ref="S39" authorId="0" shapeId="0" xr:uid="{00000000-0006-0000-0000-00000B000000}">
      <text>
        <r>
          <rPr>
            <b/>
            <sz val="8"/>
            <rFont val="Tahoma"/>
            <family val="2"/>
          </rPr>
          <t>10: link travel time = BRP function (volume/capacity)
link cost = link travel time + toll/VOT</t>
        </r>
        <r>
          <rPr>
            <sz val="8"/>
            <rFont val="Tahoma"/>
            <family val="2"/>
          </rPr>
          <t xml:space="preserve">
</t>
        </r>
      </text>
    </comment>
    <comment ref="W59" authorId="0" shapeId="0" xr:uid="{00000000-0006-0000-0000-00000C000000}">
      <text>
        <r>
          <rPr>
            <b/>
            <sz val="8"/>
            <rFont val="Tahoma"/>
            <family val="2"/>
          </rPr>
          <t>11A. link travel time on this path = corresponding link travel time *0_1_indicator.
Indicator = 1, if path passes through this link, =0, otherwise</t>
        </r>
      </text>
    </comment>
    <comment ref="W74" authorId="0" shapeId="0" xr:uid="{00000000-0006-0000-0000-00000D000000}">
      <text>
        <r>
          <rPr>
            <b/>
            <sz val="8"/>
            <rFont val="Tahoma"/>
            <family val="2"/>
          </rPr>
          <t>11B
. fare on this path = corresponding link fare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<sst xmlns="http://schemas.openxmlformats.org/spreadsheetml/2006/main" count="134" uniqueCount="108">
  <si>
    <t>Volume/Capacity: VOC</t>
  </si>
  <si>
    <t>LOS (Level of Service)</t>
  </si>
  <si>
    <t>Utility Travel time = VOT per min</t>
  </si>
  <si>
    <t>Network Loading Factor</t>
  </si>
  <si>
    <t>A</t>
  </si>
  <si>
    <t>Utility Cost</t>
  </si>
  <si>
    <t>OD</t>
  </si>
  <si>
    <t>1-&gt;2</t>
  </si>
  <si>
    <t>B</t>
  </si>
  <si>
    <t>Demand</t>
  </si>
  <si>
    <t>C</t>
  </si>
  <si>
    <t>D</t>
  </si>
  <si>
    <t>Path</t>
  </si>
  <si>
    <t>E</t>
  </si>
  <si>
    <t>flow as variable</t>
  </si>
  <si>
    <t>F</t>
  </si>
  <si>
    <t>path travel_time</t>
  </si>
  <si>
    <t>Path fare</t>
  </si>
  <si>
    <t>Traffic Assignment Model Formulation:</t>
  </si>
  <si>
    <t>Path utility</t>
  </si>
  <si>
    <t>exp(utility)</t>
  </si>
  <si>
    <t>total exp(utility)</t>
  </si>
  <si>
    <t>Path probablity</t>
  </si>
  <si>
    <t>Derived flow</t>
  </si>
  <si>
    <t>name</t>
  </si>
  <si>
    <t>node_id</t>
  </si>
  <si>
    <t>Path 1</t>
  </si>
  <si>
    <t>Path 2</t>
  </si>
  <si>
    <t>Path 3</t>
  </si>
  <si>
    <t>Path 4</t>
  </si>
  <si>
    <t>Chicago downtown</t>
  </si>
  <si>
    <t>from_node_id</t>
  </si>
  <si>
    <t>to_node_id</t>
  </si>
  <si>
    <t>link-path-incidence matrix</t>
  </si>
  <si>
    <t>ORD check-in</t>
  </si>
  <si>
    <t>MDW check-in</t>
  </si>
  <si>
    <t>IAD exit</t>
  </si>
  <si>
    <t>DCA exit</t>
  </si>
  <si>
    <t>D.C. downtown</t>
  </si>
  <si>
    <t>ORD departure</t>
  </si>
  <si>
    <t>MDW departure</t>
  </si>
  <si>
    <t>IAD arrival</t>
  </si>
  <si>
    <t>DCA arrival</t>
  </si>
  <si>
    <t>Per flight cost per hour</t>
  </si>
  <si>
    <t>VOT: $/hr</t>
  </si>
  <si>
    <t>road_link_id</t>
  </si>
  <si>
    <t>BPR_alpha</t>
  </si>
  <si>
    <t>BPR_beta</t>
  </si>
  <si>
    <t>length_in_mile</t>
  </si>
  <si>
    <t>Name</t>
  </si>
  <si>
    <t>facility_type</t>
  </si>
  <si>
    <t>frequency</t>
  </si>
  <si>
    <t>seats_per_flight</t>
  </si>
  <si>
    <t>speed_in_mph</t>
  </si>
  <si>
    <t>pax_capacity_per_day</t>
  </si>
  <si>
    <t>fare_in_$</t>
  </si>
  <si>
    <t>FFTT_min</t>
  </si>
  <si>
    <t>total_flow</t>
  </si>
  <si>
    <t>OCost</t>
  </si>
  <si>
    <t>Revenue</t>
  </si>
  <si>
    <t>Profit</t>
  </si>
  <si>
    <t>link_travel_time</t>
  </si>
  <si>
    <t>VOC Ratio = volume / link capacity</t>
  </si>
  <si>
    <t>LOS</t>
  </si>
  <si>
    <t>path_to_link flow</t>
  </si>
  <si>
    <t>ORD access</t>
  </si>
  <si>
    <t>road</t>
  </si>
  <si>
    <t>MDW access</t>
  </si>
  <si>
    <t>ORD-IAD</t>
  </si>
  <si>
    <t>air route</t>
  </si>
  <si>
    <t>MDW-DCA</t>
  </si>
  <si>
    <t>IAD egress</t>
  </si>
  <si>
    <t>DCA egress</t>
  </si>
  <si>
    <t>MDW-IAD</t>
  </si>
  <si>
    <t>ORD-DCA</t>
  </si>
  <si>
    <t>departure</t>
  </si>
  <si>
    <t>arrival</t>
  </si>
  <si>
    <t>Party A</t>
  </si>
  <si>
    <t>Party B</t>
  </si>
  <si>
    <t>link travel time</t>
  </si>
  <si>
    <t>link fare</t>
  </si>
  <si>
    <t>data elements</t>
  </si>
  <si>
    <t>attribute</t>
  </si>
  <si>
    <t>notes</t>
  </si>
  <si>
    <t>coefficient of BPR function</t>
  </si>
  <si>
    <t>length of the link</t>
  </si>
  <si>
    <t>name of the link</t>
  </si>
  <si>
    <t>type of the link</t>
  </si>
  <si>
    <t>number of flights per day</t>
  </si>
  <si>
    <t>seat_per_flight</t>
  </si>
  <si>
    <t>available seats per flight</t>
  </si>
  <si>
    <t>average speed on the link</t>
  </si>
  <si>
    <t>flight fare per passenger</t>
  </si>
  <si>
    <t>free flow travel time in minute</t>
  </si>
  <si>
    <t>Utility Travel time</t>
  </si>
  <si>
    <t>coefficient of travel time in utility function</t>
  </si>
  <si>
    <t>coefficient of cost in utility function</t>
  </si>
  <si>
    <t>link_path_incidence matrix</t>
  </si>
  <si>
    <t>matrix to indicate links on a path</t>
  </si>
  <si>
    <t>given travel demand</t>
  </si>
  <si>
    <t>step</t>
  </si>
  <si>
    <t>procedure</t>
  </si>
  <si>
    <t>build the network with nodes and links</t>
  </si>
  <si>
    <t>provide the link-path incidence matrix of each OD pair</t>
  </si>
  <si>
    <t>initialize flow volume on each path</t>
  </si>
  <si>
    <t>calculate travel time, fare, and utility of each path</t>
  </si>
  <si>
    <t>obtain path probability with utility function</t>
  </si>
  <si>
    <t>recalculate flow volume on each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</si>
</sst>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00000"/>
    <numFmt numFmtId="167" formatCode="0.000000000000E+00"/>
    <numFmt numFmtId="168" formatCode="0.0000000%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SimSun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8402966399123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Font="1" applyFill="1" applyAlignment="1"/>
    <xf numFmtId="0" fontId="2" fillId="0" borderId="0" xfId="0" applyFont="1"/>
    <xf numFmtId="0" fontId="0" fillId="0" borderId="0" xfId="0" applyFill="1"/>
    <xf numFmtId="0" fontId="3" fillId="2" borderId="1" xfId="0" applyFont="1" applyFill="1" applyBorder="1"/>
    <xf numFmtId="0" fontId="3" fillId="2" borderId="0" xfId="0" applyFont="1" applyFill="1"/>
    <xf numFmtId="0" fontId="3" fillId="0" borderId="0" xfId="0" applyFont="1"/>
    <xf numFmtId="0" fontId="0" fillId="0" borderId="0" xfId="0" applyFill="1" applyAlignment="1">
      <alignment vertical="center"/>
    </xf>
    <xf numFmtId="0" fontId="0" fillId="3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0" fillId="4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3" fillId="4" borderId="12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2" fillId="4" borderId="14" xfId="0" applyFont="1" applyFill="1" applyBorder="1"/>
    <xf numFmtId="0" fontId="3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0" fillId="0" borderId="17" xfId="0" applyBorder="1"/>
    <xf numFmtId="0" fontId="2" fillId="4" borderId="18" xfId="0" applyFont="1" applyFill="1" applyBorder="1"/>
    <xf numFmtId="0" fontId="0" fillId="4" borderId="19" xfId="0" applyFill="1" applyBorder="1"/>
    <xf numFmtId="0" fontId="0" fillId="0" borderId="20" xfId="0" applyBorder="1"/>
    <xf numFmtId="0" fontId="0" fillId="0" borderId="21" xfId="0" applyBorder="1"/>
    <xf numFmtId="0" fontId="0" fillId="0" borderId="0" xfId="0" applyFont="1"/>
    <xf numFmtId="0" fontId="0" fillId="5" borderId="0" xfId="0" applyFill="1"/>
    <xf numFmtId="164" fontId="0" fillId="0" borderId="0" xfId="0" applyNumberFormat="1" applyFill="1"/>
    <xf numFmtId="164" fontId="0" fillId="2" borderId="0" xfId="0" applyNumberFormat="1" applyFill="1"/>
    <xf numFmtId="164" fontId="2" fillId="2" borderId="0" xfId="0" applyNumberFormat="1" applyFont="1" applyFill="1"/>
    <xf numFmtId="0" fontId="0" fillId="0" borderId="22" xfId="0" applyBorder="1"/>
    <xf numFmtId="0" fontId="0" fillId="3" borderId="22" xfId="0" applyFill="1" applyBorder="1"/>
    <xf numFmtId="0" fontId="0" fillId="0" borderId="23" xfId="0" applyBorder="1"/>
    <xf numFmtId="0" fontId="3" fillId="3" borderId="0" xfId="0" applyFont="1" applyFill="1" applyBorder="1"/>
    <xf numFmtId="0" fontId="0" fillId="0" borderId="0" xfId="0" applyBorder="1"/>
    <xf numFmtId="0" fontId="0" fillId="0" borderId="24" xfId="0" applyBorder="1"/>
    <xf numFmtId="0" fontId="0" fillId="6" borderId="22" xfId="0" applyFill="1" applyBorder="1"/>
    <xf numFmtId="0" fontId="0" fillId="0" borderId="25" xfId="0" applyBorder="1"/>
    <xf numFmtId="0" fontId="0" fillId="0" borderId="7" xfId="0" applyFill="1" applyBorder="1"/>
    <xf numFmtId="0" fontId="0" fillId="0" borderId="12" xfId="0" applyBorder="1"/>
    <xf numFmtId="0" fontId="0" fillId="0" borderId="26" xfId="0" applyBorder="1"/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1" fontId="2" fillId="0" borderId="0" xfId="0" applyNumberFormat="1" applyFont="1"/>
    <xf numFmtId="164" fontId="0" fillId="0" borderId="0" xfId="0" applyNumberFormat="1" applyAlignment="1">
      <alignment horizontal="center"/>
    </xf>
    <xf numFmtId="0" fontId="2" fillId="0" borderId="23" xfId="0" applyFont="1" applyBorder="1"/>
    <xf numFmtId="0" fontId="2" fillId="0" borderId="0" xfId="0" applyFont="1" applyBorder="1"/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27" xfId="0" applyBorder="1"/>
    <xf numFmtId="0" fontId="0" fillId="0" borderId="7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/>
    <xf numFmtId="43" fontId="0" fillId="0" borderId="0" xfId="1" applyFont="1" applyFill="1" applyAlignment="1"/>
    <xf numFmtId="43" fontId="2" fillId="0" borderId="0" xfId="1" applyFont="1" applyFill="1" applyAlignment="1"/>
    <xf numFmtId="2" fontId="2" fillId="0" borderId="0" xfId="0" applyNumberFormat="1" applyFont="1" applyFill="1"/>
    <xf numFmtId="0" fontId="6" fillId="4" borderId="0" xfId="0" applyFont="1" applyFill="1" applyBorder="1"/>
    <xf numFmtId="0" fontId="0" fillId="0" borderId="10" xfId="0" applyBorder="1"/>
    <xf numFmtId="0" fontId="0" fillId="7" borderId="28" xfId="0" applyFont="1" applyFill="1" applyBorder="1"/>
    <xf numFmtId="165" fontId="6" fillId="4" borderId="0" xfId="0" applyNumberFormat="1" applyFont="1" applyFill="1" applyBorder="1"/>
    <xf numFmtId="0" fontId="0" fillId="0" borderId="29" xfId="0" applyBorder="1"/>
    <xf numFmtId="0" fontId="2" fillId="0" borderId="29" xfId="0" applyFont="1" applyBorder="1"/>
    <xf numFmtId="0" fontId="0" fillId="0" borderId="28" xfId="0" applyBorder="1"/>
    <xf numFmtId="0" fontId="1" fillId="0" borderId="0" xfId="0" applyFont="1" applyFill="1" applyAlignment="1">
      <alignment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165" fontId="5" fillId="4" borderId="15" xfId="0" applyNumberFormat="1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</xdr:colOff>
      <xdr:row>11</xdr:row>
      <xdr:rowOff>9525</xdr:rowOff>
    </xdr:from>
    <xdr:to>
      <xdr:col>5</xdr:col>
      <xdr:colOff>78782</xdr:colOff>
      <xdr:row>33</xdr:row>
      <xdr:rowOff>104775</xdr:rowOff>
    </xdr:to>
    <xdr:pic>
      <xdr:nvPicPr>
        <xdr:cNvPr id="2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65480" y="2348865"/>
          <a:ext cx="3558540" cy="411861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27</xdr:col>
      <xdr:colOff>323849</xdr:colOff>
      <xdr:row>22</xdr:row>
      <xdr:rowOff>47625</xdr:rowOff>
    </xdr:from>
    <xdr:to>
      <xdr:col>29</xdr:col>
      <xdr:colOff>295274</xdr:colOff>
      <xdr:row>26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78275" y="4398645"/>
          <a:ext cx="120586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27</xdr:col>
      <xdr:colOff>504825</xdr:colOff>
      <xdr:row>26</xdr:row>
      <xdr:rowOff>152400</xdr:rowOff>
    </xdr:from>
    <xdr:to>
      <xdr:col>28</xdr:col>
      <xdr:colOff>595313</xdr:colOff>
      <xdr:row>36</xdr:row>
      <xdr:rowOff>114304</xdr:rowOff>
    </xdr:to>
    <xdr:sp macro="" textlink="">
      <xdr:nvSpPr>
        <xdr:cNvPr id="4" name="Bent-Up Arrow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 flipH="1">
          <a:off x="29018230" y="5775960"/>
          <a:ext cx="1790700" cy="70802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449001</xdr:colOff>
      <xdr:row>49</xdr:row>
      <xdr:rowOff>145420</xdr:rowOff>
    </xdr:from>
    <xdr:to>
      <xdr:col>25</xdr:col>
      <xdr:colOff>1210981</xdr:colOff>
      <xdr:row>51</xdr:row>
      <xdr:rowOff>50170</xdr:rowOff>
    </xdr:to>
    <xdr:sp macro="" textlink="">
      <xdr:nvSpPr>
        <xdr:cNvPr id="5" name="Left Arrow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501225" y="9434195"/>
          <a:ext cx="5836920" cy="27051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43180</xdr:colOff>
      <xdr:row>42</xdr:row>
      <xdr:rowOff>123825</xdr:rowOff>
    </xdr:from>
    <xdr:to>
      <xdr:col>21</xdr:col>
      <xdr:colOff>504191</xdr:colOff>
      <xdr:row>47</xdr:row>
      <xdr:rowOff>43902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540980" y="8132445"/>
          <a:ext cx="201549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18</xdr:col>
      <xdr:colOff>1595601</xdr:colOff>
      <xdr:row>48</xdr:row>
      <xdr:rowOff>87588</xdr:rowOff>
    </xdr:from>
    <xdr:to>
      <xdr:col>19</xdr:col>
      <xdr:colOff>941551</xdr:colOff>
      <xdr:row>62</xdr:row>
      <xdr:rowOff>109486</xdr:rowOff>
    </xdr:to>
    <xdr:sp macro="" textlink="">
      <xdr:nvSpPr>
        <xdr:cNvPr id="7" name="Bent-Up Arrow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7498060" y="10013315"/>
          <a:ext cx="258191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3941</xdr:colOff>
      <xdr:row>49</xdr:row>
      <xdr:rowOff>109484</xdr:rowOff>
    </xdr:from>
    <xdr:to>
      <xdr:col>18</xdr:col>
      <xdr:colOff>1470792</xdr:colOff>
      <xdr:row>53</xdr:row>
      <xdr:rowOff>166634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6767810" y="9398000"/>
          <a:ext cx="1466850" cy="7886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26</xdr:col>
      <xdr:colOff>571500</xdr:colOff>
      <xdr:row>52</xdr:row>
      <xdr:rowOff>85725</xdr:rowOff>
    </xdr:from>
    <xdr:to>
      <xdr:col>27</xdr:col>
      <xdr:colOff>295275</xdr:colOff>
      <xdr:row>61</xdr:row>
      <xdr:rowOff>123825</xdr:rowOff>
    </xdr:to>
    <xdr:sp macro="" textlink="">
      <xdr:nvSpPr>
        <xdr:cNvPr id="9" name="Up Arrow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9009340" y="9923145"/>
          <a:ext cx="340995" cy="168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361950</xdr:colOff>
      <xdr:row>55</xdr:row>
      <xdr:rowOff>152400</xdr:rowOff>
    </xdr:from>
    <xdr:to>
      <xdr:col>30</xdr:col>
      <xdr:colOff>1</xdr:colOff>
      <xdr:row>59</xdr:row>
      <xdr:rowOff>19051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9417010" y="10538460"/>
          <a:ext cx="1489710" cy="5981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xdr:twoCellAnchor editAs="oneCell">
    <xdr:from>
      <xdr:col>1</xdr:col>
      <xdr:colOff>647700</xdr:colOff>
      <xdr:row>51</xdr:row>
      <xdr:rowOff>45720</xdr:rowOff>
    </xdr:from>
    <xdr:to>
      <xdr:col>4</xdr:col>
      <xdr:colOff>601980</xdr:colOff>
      <xdr:row>55</xdr:row>
      <xdr:rowOff>15240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139137</xdr:colOff>
      <xdr:row>19</xdr:row>
      <xdr:rowOff>122623</xdr:rowOff>
    </xdr:from>
    <xdr:to>
      <xdr:col>17</xdr:col>
      <xdr:colOff>476594</xdr:colOff>
      <xdr:row>21</xdr:row>
      <xdr:rowOff>92218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6285845" y="3924935"/>
          <a:ext cx="33718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301</a:t>
          </a:r>
        </a:p>
      </xdr:txBody>
    </xdr:sp>
    <xdr:clientData/>
  </xdr:twoCellAnchor>
  <xdr:twoCellAnchor>
    <xdr:from>
      <xdr:col>18</xdr:col>
      <xdr:colOff>309805</xdr:colOff>
      <xdr:row>19</xdr:row>
      <xdr:rowOff>122622</xdr:rowOff>
    </xdr:from>
    <xdr:to>
      <xdr:col>18</xdr:col>
      <xdr:colOff>647262</xdr:colOff>
      <xdr:row>21</xdr:row>
      <xdr:rowOff>92217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7073245" y="3924935"/>
          <a:ext cx="337820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302</a:t>
          </a:r>
        </a:p>
      </xdr:txBody>
    </xdr:sp>
    <xdr:clientData/>
  </xdr:twoCellAnchor>
  <xdr:twoCellAnchor>
    <xdr:from>
      <xdr:col>17</xdr:col>
      <xdr:colOff>139137</xdr:colOff>
      <xdr:row>29</xdr:row>
      <xdr:rowOff>53873</xdr:rowOff>
    </xdr:from>
    <xdr:to>
      <xdr:col>17</xdr:col>
      <xdr:colOff>476594</xdr:colOff>
      <xdr:row>31</xdr:row>
      <xdr:rowOff>23468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6285845" y="5684520"/>
          <a:ext cx="33718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501</a:t>
          </a:r>
        </a:p>
      </xdr:txBody>
    </xdr:sp>
    <xdr:clientData/>
  </xdr:twoCellAnchor>
  <xdr:twoCellAnchor>
    <xdr:from>
      <xdr:col>18</xdr:col>
      <xdr:colOff>309805</xdr:colOff>
      <xdr:row>29</xdr:row>
      <xdr:rowOff>53872</xdr:rowOff>
    </xdr:from>
    <xdr:to>
      <xdr:col>18</xdr:col>
      <xdr:colOff>647262</xdr:colOff>
      <xdr:row>31</xdr:row>
      <xdr:rowOff>23467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7073245" y="5684520"/>
          <a:ext cx="337820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502</a:t>
          </a:r>
        </a:p>
      </xdr:txBody>
    </xdr:sp>
    <xdr:clientData/>
  </xdr:twoCellAnchor>
  <xdr:twoCellAnchor>
    <xdr:from>
      <xdr:col>19</xdr:col>
      <xdr:colOff>1426524</xdr:colOff>
      <xdr:row>19</xdr:row>
      <xdr:rowOff>122622</xdr:rowOff>
    </xdr:from>
    <xdr:to>
      <xdr:col>19</xdr:col>
      <xdr:colOff>1763981</xdr:colOff>
      <xdr:row>21</xdr:row>
      <xdr:rowOff>92217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744690" y="3924935"/>
          <a:ext cx="33718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402</a:t>
          </a:r>
        </a:p>
      </xdr:txBody>
    </xdr:sp>
    <xdr:clientData/>
  </xdr:twoCellAnchor>
  <xdr:twoCellAnchor>
    <xdr:from>
      <xdr:col>20</xdr:col>
      <xdr:colOff>31873</xdr:colOff>
      <xdr:row>19</xdr:row>
      <xdr:rowOff>122621</xdr:rowOff>
    </xdr:from>
    <xdr:to>
      <xdr:col>20</xdr:col>
      <xdr:colOff>366856</xdr:colOff>
      <xdr:row>21</xdr:row>
      <xdr:rowOff>92216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0529550" y="3924935"/>
          <a:ext cx="33464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401</a:t>
          </a:r>
        </a:p>
      </xdr:txBody>
    </xdr:sp>
    <xdr:clientData/>
  </xdr:twoCellAnchor>
  <xdr:twoCellAnchor>
    <xdr:from>
      <xdr:col>19</xdr:col>
      <xdr:colOff>1417572</xdr:colOff>
      <xdr:row>29</xdr:row>
      <xdr:rowOff>53872</xdr:rowOff>
    </xdr:from>
    <xdr:to>
      <xdr:col>19</xdr:col>
      <xdr:colOff>1755029</xdr:colOff>
      <xdr:row>31</xdr:row>
      <xdr:rowOff>23467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735800" y="5684520"/>
          <a:ext cx="33718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602</a:t>
          </a:r>
        </a:p>
      </xdr:txBody>
    </xdr:sp>
    <xdr:clientData/>
  </xdr:twoCellAnchor>
  <xdr:twoCellAnchor>
    <xdr:from>
      <xdr:col>20</xdr:col>
      <xdr:colOff>22921</xdr:colOff>
      <xdr:row>29</xdr:row>
      <xdr:rowOff>53871</xdr:rowOff>
    </xdr:from>
    <xdr:to>
      <xdr:col>20</xdr:col>
      <xdr:colOff>357904</xdr:colOff>
      <xdr:row>31</xdr:row>
      <xdr:rowOff>23466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0520660" y="5684520"/>
          <a:ext cx="33464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601</a:t>
          </a:r>
        </a:p>
      </xdr:txBody>
    </xdr:sp>
    <xdr:clientData/>
  </xdr:twoCellAnchor>
  <xdr:twoCellAnchor>
    <xdr:from>
      <xdr:col>15</xdr:col>
      <xdr:colOff>429172</xdr:colOff>
      <xdr:row>24</xdr:row>
      <xdr:rowOff>123898</xdr:rowOff>
    </xdr:from>
    <xdr:to>
      <xdr:col>16</xdr:col>
      <xdr:colOff>153525</xdr:colOff>
      <xdr:row>26</xdr:row>
      <xdr:rowOff>93493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5074265" y="4840605"/>
          <a:ext cx="608330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20</xdr:col>
      <xdr:colOff>805230</xdr:colOff>
      <xdr:row>24</xdr:row>
      <xdr:rowOff>123898</xdr:rowOff>
    </xdr:from>
    <xdr:to>
      <xdr:col>20</xdr:col>
      <xdr:colOff>1142687</xdr:colOff>
      <xdr:row>26</xdr:row>
      <xdr:rowOff>93493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1302980" y="4840605"/>
          <a:ext cx="337185" cy="33528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16</xdr:col>
      <xdr:colOff>104106</xdr:colOff>
      <xdr:row>20</xdr:row>
      <xdr:rowOff>107421</xdr:rowOff>
    </xdr:from>
    <xdr:to>
      <xdr:col>17</xdr:col>
      <xdr:colOff>139137</xdr:colOff>
      <xdr:row>24</xdr:row>
      <xdr:rowOff>173317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1" idx="7"/>
          <a:endCxn id="13" idx="2"/>
        </xdr:cNvCxnSpPr>
      </xdr:nvCxnSpPr>
      <xdr:spPr>
        <a:xfrm flipV="1">
          <a:off x="15633065" y="4092575"/>
          <a:ext cx="652780" cy="7969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104106</xdr:colOff>
      <xdr:row>26</xdr:row>
      <xdr:rowOff>44074</xdr:rowOff>
    </xdr:from>
    <xdr:to>
      <xdr:col>17</xdr:col>
      <xdr:colOff>139137</xdr:colOff>
      <xdr:row>30</xdr:row>
      <xdr:rowOff>38671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21" idx="5"/>
          <a:endCxn id="15" idx="2"/>
        </xdr:cNvCxnSpPr>
      </xdr:nvCxnSpPr>
      <xdr:spPr>
        <a:xfrm>
          <a:off x="15633065" y="5126355"/>
          <a:ext cx="652780" cy="7258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476594</xdr:colOff>
      <xdr:row>20</xdr:row>
      <xdr:rowOff>107420</xdr:rowOff>
    </xdr:from>
    <xdr:to>
      <xdr:col>18</xdr:col>
      <xdr:colOff>309805</xdr:colOff>
      <xdr:row>20</xdr:row>
      <xdr:rowOff>107421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3" idx="6"/>
          <a:endCxn id="14" idx="2"/>
        </xdr:cNvCxnSpPr>
      </xdr:nvCxnSpPr>
      <xdr:spPr>
        <a:xfrm flipV="1">
          <a:off x="16623030" y="4092575"/>
          <a:ext cx="45021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476594</xdr:colOff>
      <xdr:row>30</xdr:row>
      <xdr:rowOff>38670</xdr:rowOff>
    </xdr:from>
    <xdr:to>
      <xdr:col>18</xdr:col>
      <xdr:colOff>309805</xdr:colOff>
      <xdr:row>30</xdr:row>
      <xdr:rowOff>38671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5" idx="6"/>
          <a:endCxn id="16" idx="2"/>
        </xdr:cNvCxnSpPr>
      </xdr:nvCxnSpPr>
      <xdr:spPr>
        <a:xfrm flipV="1">
          <a:off x="16623030" y="5852160"/>
          <a:ext cx="45021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647262</xdr:colOff>
      <xdr:row>20</xdr:row>
      <xdr:rowOff>107420</xdr:rowOff>
    </xdr:from>
    <xdr:to>
      <xdr:col>19</xdr:col>
      <xdr:colOff>1426524</xdr:colOff>
      <xdr:row>20</xdr:row>
      <xdr:rowOff>107420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14" idx="6"/>
          <a:endCxn id="17" idx="2"/>
        </xdr:cNvCxnSpPr>
      </xdr:nvCxnSpPr>
      <xdr:spPr>
        <a:xfrm>
          <a:off x="17411065" y="4092575"/>
          <a:ext cx="23336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647262</xdr:colOff>
      <xdr:row>30</xdr:row>
      <xdr:rowOff>38669</xdr:rowOff>
    </xdr:from>
    <xdr:to>
      <xdr:col>19</xdr:col>
      <xdr:colOff>1417572</xdr:colOff>
      <xdr:row>30</xdr:row>
      <xdr:rowOff>38669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16" idx="6"/>
          <a:endCxn id="19" idx="2"/>
        </xdr:cNvCxnSpPr>
      </xdr:nvCxnSpPr>
      <xdr:spPr>
        <a:xfrm>
          <a:off x="17411065" y="5852160"/>
          <a:ext cx="232473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1763981</xdr:colOff>
      <xdr:row>20</xdr:row>
      <xdr:rowOff>107419</xdr:rowOff>
    </xdr:from>
    <xdr:to>
      <xdr:col>20</xdr:col>
      <xdr:colOff>31873</xdr:colOff>
      <xdr:row>20</xdr:row>
      <xdr:rowOff>107420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17" idx="6"/>
          <a:endCxn id="18" idx="2"/>
        </xdr:cNvCxnSpPr>
      </xdr:nvCxnSpPr>
      <xdr:spPr>
        <a:xfrm flipV="1">
          <a:off x="20081875" y="4092575"/>
          <a:ext cx="447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1755029</xdr:colOff>
      <xdr:row>30</xdr:row>
      <xdr:rowOff>38668</xdr:rowOff>
    </xdr:from>
    <xdr:to>
      <xdr:col>20</xdr:col>
      <xdr:colOff>22921</xdr:colOff>
      <xdr:row>30</xdr:row>
      <xdr:rowOff>38669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>
          <a:stCxn id="19" idx="6"/>
          <a:endCxn id="20" idx="2"/>
        </xdr:cNvCxnSpPr>
      </xdr:nvCxnSpPr>
      <xdr:spPr>
        <a:xfrm flipV="1">
          <a:off x="20072985" y="5852160"/>
          <a:ext cx="447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366856</xdr:colOff>
      <xdr:row>20</xdr:row>
      <xdr:rowOff>107419</xdr:rowOff>
    </xdr:from>
    <xdr:to>
      <xdr:col>20</xdr:col>
      <xdr:colOff>854649</xdr:colOff>
      <xdr:row>24</xdr:row>
      <xdr:rowOff>171959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18" idx="6"/>
          <a:endCxn id="22" idx="1"/>
        </xdr:cNvCxnSpPr>
      </xdr:nvCxnSpPr>
      <xdr:spPr>
        <a:xfrm>
          <a:off x="20864195" y="4092575"/>
          <a:ext cx="487680" cy="79565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357904</xdr:colOff>
      <xdr:row>26</xdr:row>
      <xdr:rowOff>45432</xdr:rowOff>
    </xdr:from>
    <xdr:to>
      <xdr:col>20</xdr:col>
      <xdr:colOff>854649</xdr:colOff>
      <xdr:row>30</xdr:row>
      <xdr:rowOff>38668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20" idx="6"/>
          <a:endCxn id="22" idx="3"/>
        </xdr:cNvCxnSpPr>
      </xdr:nvCxnSpPr>
      <xdr:spPr>
        <a:xfrm flipV="1">
          <a:off x="20855305" y="5127625"/>
          <a:ext cx="496570" cy="72453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597843</xdr:colOff>
      <xdr:row>21</xdr:row>
      <xdr:rowOff>44156</xdr:rowOff>
    </xdr:from>
    <xdr:to>
      <xdr:col>19</xdr:col>
      <xdr:colOff>1475943</xdr:colOff>
      <xdr:row>29</xdr:row>
      <xdr:rowOff>101933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16" idx="7"/>
          <a:endCxn id="17" idx="3"/>
        </xdr:cNvCxnSpPr>
      </xdr:nvCxnSpPr>
      <xdr:spPr>
        <a:xfrm flipV="1">
          <a:off x="17361535" y="4211955"/>
          <a:ext cx="2432685" cy="1520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597843</xdr:colOff>
      <xdr:row>21</xdr:row>
      <xdr:rowOff>44156</xdr:rowOff>
    </xdr:from>
    <xdr:to>
      <xdr:col>19</xdr:col>
      <xdr:colOff>1466991</xdr:colOff>
      <xdr:row>29</xdr:row>
      <xdr:rowOff>101933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14" idx="5"/>
          <a:endCxn id="19" idx="1"/>
        </xdr:cNvCxnSpPr>
      </xdr:nvCxnSpPr>
      <xdr:spPr>
        <a:xfrm>
          <a:off x="17361535" y="4211955"/>
          <a:ext cx="2423795" cy="15208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647700</xdr:colOff>
      <xdr:row>51</xdr:row>
      <xdr:rowOff>45720</xdr:rowOff>
    </xdr:from>
    <xdr:to>
      <xdr:col>4</xdr:col>
      <xdr:colOff>601980</xdr:colOff>
      <xdr:row>55</xdr:row>
      <xdr:rowOff>15240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0DE19B3A-7CFF-43FB-9BA6-5E2DD294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" y="9624060"/>
          <a:ext cx="2499360" cy="701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1</xdr:row>
      <xdr:rowOff>22860</xdr:rowOff>
    </xdr:from>
    <xdr:to>
      <xdr:col>7</xdr:col>
      <xdr:colOff>571500</xdr:colOff>
      <xdr:row>4</xdr:row>
      <xdr:rowOff>137160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15240</xdr:colOff>
      <xdr:row>1</xdr:row>
      <xdr:rowOff>22860</xdr:rowOff>
    </xdr:from>
    <xdr:to>
      <xdr:col>7</xdr:col>
      <xdr:colOff>571500</xdr:colOff>
      <xdr:row>4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DEFF7-62E3-42FC-901A-63A9A92CD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05740"/>
          <a:ext cx="2385060" cy="662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4"/>
  <sheetViews>
    <sheetView zoomScale="70" zoomScaleNormal="70" workbookViewId="0">
      <selection activeCell="R40" sqref="R40:R41"/>
    </sheetView>
  </sheetViews>
  <sheetFormatPr defaultColWidth="9" defaultRowHeight="14.4"/>
  <cols>
    <col min="2" max="2" width="10.33203125" customWidth="1"/>
    <col min="3" max="3" width="12.44140625" customWidth="1"/>
    <col min="4" max="6" width="14.33203125" customWidth="1"/>
    <col min="7" max="8" width="16.77734375" customWidth="1"/>
    <col min="9" max="9" width="11.109375" customWidth="1"/>
    <col min="10" max="10" width="29.109375" customWidth="1"/>
    <col min="11" max="11" width="18.21875" customWidth="1"/>
    <col min="12" max="12" width="10.6640625" customWidth="1"/>
    <col min="13" max="13" width="13.77734375" customWidth="1"/>
    <col min="14" max="14" width="11.6640625" customWidth="1"/>
    <col min="15" max="15" width="10.6640625" customWidth="1"/>
    <col min="16" max="16" width="12.88671875"/>
    <col min="19" max="19" width="22.6640625" customWidth="1"/>
    <col min="20" max="20" width="31.77734375" customWidth="1"/>
    <col min="21" max="21" width="22.6640625" customWidth="1"/>
    <col min="22" max="22" width="16.6640625" customWidth="1"/>
    <col min="23" max="26" width="19.109375" customWidth="1"/>
    <col min="31" max="31" width="24.21875" customWidth="1"/>
    <col min="32" max="32" width="9" style="3"/>
  </cols>
  <sheetData>
    <row r="1" spans="2:32" ht="21" customHeight="1">
      <c r="C1" s="4"/>
      <c r="D1" s="4"/>
      <c r="E1" s="5"/>
      <c r="F1" s="5"/>
      <c r="K1" s="11"/>
      <c r="L1" s="12"/>
      <c r="M1" s="12"/>
      <c r="O1" s="13" t="s">
        <v>0</v>
      </c>
      <c r="P1" s="14" t="s">
        <v>1</v>
      </c>
      <c r="S1" t="s">
        <v>2</v>
      </c>
      <c r="T1">
        <f>-20*0.01</f>
        <v>-0.2</v>
      </c>
      <c r="X1" t="s">
        <v>3</v>
      </c>
      <c r="AA1" s="39"/>
      <c r="AB1" s="39"/>
      <c r="AC1" s="39"/>
      <c r="AD1" s="39"/>
      <c r="AE1" s="39"/>
      <c r="AF1"/>
    </row>
    <row r="2" spans="2:32" ht="21">
      <c r="C2" s="4"/>
      <c r="D2" s="4"/>
      <c r="E2" s="5"/>
      <c r="F2" s="5"/>
      <c r="K2" s="72"/>
      <c r="L2" s="73"/>
      <c r="M2" s="74"/>
      <c r="O2" s="13">
        <v>0</v>
      </c>
      <c r="P2" s="14" t="s">
        <v>4</v>
      </c>
      <c r="S2" t="s">
        <v>5</v>
      </c>
      <c r="T2">
        <v>-0.01</v>
      </c>
      <c r="V2" s="28" t="s">
        <v>6</v>
      </c>
      <c r="W2" s="35" t="s">
        <v>7</v>
      </c>
      <c r="X2" s="36">
        <v>0</v>
      </c>
      <c r="Y2" s="35"/>
      <c r="Z2" s="35"/>
      <c r="AA2" s="39"/>
      <c r="AB2" s="39"/>
      <c r="AC2" s="39"/>
      <c r="AD2" s="39"/>
      <c r="AE2" s="39"/>
      <c r="AF2"/>
    </row>
    <row r="3" spans="2:32" ht="21">
      <c r="C3" s="4"/>
      <c r="D3" s="4"/>
      <c r="E3" s="5"/>
      <c r="F3" s="5"/>
      <c r="K3" s="15"/>
      <c r="L3" s="16"/>
      <c r="M3" s="17"/>
      <c r="O3" s="13">
        <v>0.65</v>
      </c>
      <c r="P3" s="14" t="s">
        <v>8</v>
      </c>
      <c r="V3" s="37" t="s">
        <v>9</v>
      </c>
      <c r="W3" s="38">
        <v>5000</v>
      </c>
      <c r="X3" s="39"/>
      <c r="Y3" s="39"/>
      <c r="Z3" s="39"/>
      <c r="AA3" s="39"/>
      <c r="AB3" s="39"/>
      <c r="AC3" s="39"/>
      <c r="AD3" s="39"/>
      <c r="AE3" s="39"/>
      <c r="AF3"/>
    </row>
    <row r="4" spans="2:32">
      <c r="K4" s="18"/>
      <c r="L4" s="75"/>
      <c r="M4" s="76"/>
      <c r="O4" s="13">
        <v>0.75</v>
      </c>
      <c r="P4" s="14" t="s">
        <v>10</v>
      </c>
      <c r="V4" s="37"/>
      <c r="W4" s="39"/>
      <c r="X4" s="39"/>
      <c r="Y4" s="39"/>
      <c r="Z4" s="39"/>
      <c r="AA4" s="64"/>
      <c r="AB4" s="64"/>
      <c r="AC4" s="64"/>
      <c r="AD4" s="64"/>
      <c r="AE4" s="64"/>
      <c r="AF4"/>
    </row>
    <row r="5" spans="2:32">
      <c r="K5" s="19"/>
      <c r="L5" s="20"/>
      <c r="M5" s="21"/>
      <c r="O5" s="13">
        <v>0.85</v>
      </c>
      <c r="P5" s="14" t="s">
        <v>11</v>
      </c>
      <c r="V5" s="40" t="s">
        <v>12</v>
      </c>
      <c r="W5" s="35">
        <v>1</v>
      </c>
      <c r="X5" s="35">
        <v>2</v>
      </c>
      <c r="Y5" s="29">
        <v>3</v>
      </c>
      <c r="Z5" s="65">
        <v>4</v>
      </c>
      <c r="AA5" s="64"/>
      <c r="AB5" s="64"/>
      <c r="AC5" s="64"/>
      <c r="AD5" s="64"/>
      <c r="AE5" s="64"/>
      <c r="AF5"/>
    </row>
    <row r="6" spans="2:32">
      <c r="K6" s="22"/>
      <c r="L6" s="77"/>
      <c r="M6" s="78"/>
      <c r="O6" s="13">
        <v>0.95</v>
      </c>
      <c r="P6" s="14" t="s">
        <v>13</v>
      </c>
      <c r="V6" s="40" t="s">
        <v>14</v>
      </c>
      <c r="W6" s="41">
        <v>1000</v>
      </c>
      <c r="X6" s="41">
        <v>1000</v>
      </c>
      <c r="Y6" s="41">
        <v>1000</v>
      </c>
      <c r="AA6" s="64"/>
      <c r="AB6" s="79"/>
      <c r="AC6" s="79"/>
      <c r="AD6" s="79"/>
      <c r="AE6" s="64"/>
      <c r="AF6"/>
    </row>
    <row r="7" spans="2:32">
      <c r="J7" s="25"/>
      <c r="K7" s="26"/>
      <c r="L7" s="23"/>
      <c r="M7" s="24"/>
      <c r="O7" s="13">
        <v>1</v>
      </c>
      <c r="P7" s="14" t="s">
        <v>15</v>
      </c>
      <c r="V7" s="42"/>
      <c r="W7" s="43"/>
      <c r="X7" s="43"/>
      <c r="Y7" s="66"/>
      <c r="Z7" s="41">
        <f>W3-SUM(W6:Y6)</f>
        <v>2000</v>
      </c>
      <c r="AA7" s="64"/>
      <c r="AB7" s="64"/>
      <c r="AC7" s="64"/>
      <c r="AD7" s="64"/>
      <c r="AE7" s="64"/>
      <c r="AF7"/>
    </row>
    <row r="8" spans="2:32">
      <c r="J8" s="25"/>
      <c r="K8" s="27"/>
      <c r="L8" s="80"/>
      <c r="M8" s="81"/>
      <c r="V8" s="44" t="s">
        <v>16</v>
      </c>
      <c r="W8" s="45">
        <f>SUM(W58:W69)</f>
        <v>201.80226540726943</v>
      </c>
      <c r="X8" s="45">
        <f t="shared" ref="X8:Z8" si="0">SUM(X58:X69)</f>
        <v>174.84622157668463</v>
      </c>
      <c r="Y8" s="45">
        <f t="shared" si="0"/>
        <v>177.03021435342555</v>
      </c>
      <c r="Z8" s="45">
        <f t="shared" si="0"/>
        <v>200.05160596386182</v>
      </c>
      <c r="AA8" s="64"/>
      <c r="AB8" s="64"/>
      <c r="AC8" s="64"/>
      <c r="AD8" s="64"/>
      <c r="AE8" s="67"/>
      <c r="AF8"/>
    </row>
    <row r="9" spans="2:32">
      <c r="V9" t="s">
        <v>17</v>
      </c>
      <c r="W9" s="45">
        <f>SUM(W73:W84)</f>
        <v>100</v>
      </c>
      <c r="X9" s="45">
        <f>SUM(X73:X84)</f>
        <v>100</v>
      </c>
      <c r="Y9" s="45">
        <f>SUM(Y73:Y84)</f>
        <v>100</v>
      </c>
      <c r="Z9" s="45">
        <f>SUM(Z73:Z84)</f>
        <v>100</v>
      </c>
      <c r="AA9" s="64"/>
      <c r="AB9" s="64"/>
      <c r="AC9" s="64"/>
      <c r="AD9" s="64"/>
      <c r="AE9" s="64"/>
    </row>
    <row r="10" spans="2:32">
      <c r="B10" s="6" t="s">
        <v>18</v>
      </c>
      <c r="V10" s="30" t="s">
        <v>19</v>
      </c>
      <c r="W10">
        <f>W9*$T$2+W8/60*$T$1</f>
        <v>-1.6726742180242313</v>
      </c>
      <c r="X10">
        <f t="shared" ref="X10:Z10" si="1">X9*$T$2+X8/60*$T$1</f>
        <v>-1.5828207385889488</v>
      </c>
      <c r="Y10">
        <f t="shared" si="1"/>
        <v>-1.5901007145114185</v>
      </c>
      <c r="Z10">
        <f t="shared" si="1"/>
        <v>-1.6668386865462059</v>
      </c>
      <c r="AA10" s="39"/>
      <c r="AB10" s="39"/>
      <c r="AC10" s="39"/>
      <c r="AD10" s="39"/>
      <c r="AE10" s="39"/>
      <c r="AF10"/>
    </row>
    <row r="11" spans="2:32">
      <c r="V11" t="s">
        <v>20</v>
      </c>
      <c r="W11" s="46">
        <f>EXP(W10)</f>
        <v>0.18774432446217526</v>
      </c>
      <c r="X11" s="46">
        <f t="shared" ref="X11:Z11" si="2">EXP(X10)</f>
        <v>0.20539491495434498</v>
      </c>
      <c r="Y11" s="46">
        <f t="shared" si="2"/>
        <v>0.203905074500078</v>
      </c>
      <c r="Z11" s="46">
        <f t="shared" si="2"/>
        <v>0.18884311527344735</v>
      </c>
      <c r="AA11" s="39"/>
      <c r="AB11" s="39"/>
      <c r="AC11" s="39"/>
      <c r="AD11" s="39"/>
      <c r="AE11" s="39"/>
    </row>
    <row r="12" spans="2:32">
      <c r="V12" t="s">
        <v>21</v>
      </c>
      <c r="W12" s="47">
        <f>SUM(W11:Z11)</f>
        <v>0.78588742919004551</v>
      </c>
    </row>
    <row r="13" spans="2:32">
      <c r="V13" t="s">
        <v>22</v>
      </c>
      <c r="W13" s="48">
        <f t="shared" ref="W13:Z13" si="3">W11/$W$12</f>
        <v>0.23889467815469331</v>
      </c>
      <c r="X13" s="48">
        <f t="shared" si="3"/>
        <v>0.26135411679256648</v>
      </c>
      <c r="Y13" s="48">
        <f t="shared" si="3"/>
        <v>0.25945837396868338</v>
      </c>
      <c r="Z13" s="48">
        <f t="shared" si="3"/>
        <v>0.24029283108405694</v>
      </c>
    </row>
    <row r="14" spans="2:32">
      <c r="V14" s="30" t="s">
        <v>23</v>
      </c>
      <c r="W14" s="49">
        <f>$W$3*W13</f>
        <v>1194.4733907734665</v>
      </c>
      <c r="X14" s="49">
        <f>$W$3*X13</f>
        <v>1306.7705839628325</v>
      </c>
      <c r="Y14" s="49">
        <f>$W$3*Y13</f>
        <v>1297.2918698434169</v>
      </c>
      <c r="Z14" s="49">
        <f>$W$3*Z13</f>
        <v>1201.4641554202847</v>
      </c>
    </row>
    <row r="15" spans="2:32">
      <c r="J15" s="7" t="s">
        <v>24</v>
      </c>
      <c r="K15" s="7" t="s">
        <v>25</v>
      </c>
      <c r="W15" t="s">
        <v>26</v>
      </c>
      <c r="X15" t="s">
        <v>27</v>
      </c>
      <c r="Y15" t="s">
        <v>28</v>
      </c>
      <c r="Z15" t="s">
        <v>29</v>
      </c>
      <c r="AF15"/>
    </row>
    <row r="16" spans="2:32">
      <c r="J16" s="71" t="s">
        <v>30</v>
      </c>
      <c r="K16" s="7">
        <v>1</v>
      </c>
      <c r="M16" s="28" t="s">
        <v>31</v>
      </c>
      <c r="N16" s="29" t="s">
        <v>32</v>
      </c>
      <c r="W16" s="6" t="s">
        <v>33</v>
      </c>
      <c r="AF16"/>
    </row>
    <row r="17" spans="10:32">
      <c r="J17" s="7" t="s">
        <v>34</v>
      </c>
      <c r="K17" s="7">
        <v>301</v>
      </c>
      <c r="M17" s="7">
        <v>1</v>
      </c>
      <c r="N17" s="7">
        <v>301</v>
      </c>
      <c r="V17" s="7">
        <v>1</v>
      </c>
      <c r="W17" s="28">
        <v>1</v>
      </c>
      <c r="X17" s="35"/>
      <c r="Y17" s="35">
        <v>1</v>
      </c>
      <c r="Z17" s="29"/>
      <c r="AF17"/>
    </row>
    <row r="18" spans="10:32">
      <c r="J18" s="7" t="s">
        <v>35</v>
      </c>
      <c r="K18" s="7">
        <v>501</v>
      </c>
      <c r="M18" s="7">
        <v>1</v>
      </c>
      <c r="N18" s="7">
        <v>501</v>
      </c>
      <c r="V18" s="7">
        <v>2</v>
      </c>
      <c r="W18" s="37"/>
      <c r="X18" s="39">
        <v>1</v>
      </c>
      <c r="Y18" s="39"/>
      <c r="Z18" s="68">
        <v>1</v>
      </c>
      <c r="AF18"/>
    </row>
    <row r="19" spans="10:32">
      <c r="J19" s="7" t="s">
        <v>36</v>
      </c>
      <c r="K19" s="7">
        <v>401</v>
      </c>
      <c r="M19" s="7">
        <v>302</v>
      </c>
      <c r="N19" s="7">
        <v>402</v>
      </c>
      <c r="S19" s="50"/>
      <c r="T19" s="50"/>
      <c r="V19" s="9">
        <v>3</v>
      </c>
      <c r="W19" s="51">
        <v>1</v>
      </c>
      <c r="X19" s="52"/>
      <c r="Y19" s="52"/>
      <c r="Z19" s="69"/>
      <c r="AF19"/>
    </row>
    <row r="20" spans="10:32">
      <c r="J20" s="7" t="s">
        <v>37</v>
      </c>
      <c r="K20" s="7">
        <v>601</v>
      </c>
      <c r="M20" s="7">
        <v>502</v>
      </c>
      <c r="N20" s="7">
        <v>602</v>
      </c>
      <c r="S20" s="53">
        <f>S46</f>
        <v>46.163077015385525</v>
      </c>
      <c r="T20" s="53">
        <f>S40</f>
        <v>78.433333333333337</v>
      </c>
      <c r="V20" s="9">
        <v>4</v>
      </c>
      <c r="W20" s="51"/>
      <c r="X20" s="52">
        <v>1</v>
      </c>
      <c r="Y20" s="52"/>
      <c r="Z20" s="69"/>
      <c r="AF20"/>
    </row>
    <row r="21" spans="10:32">
      <c r="J21" s="7" t="s">
        <v>38</v>
      </c>
      <c r="K21" s="7">
        <v>2</v>
      </c>
      <c r="M21" s="7">
        <v>401</v>
      </c>
      <c r="N21" s="7">
        <v>2</v>
      </c>
      <c r="V21" s="7">
        <v>5</v>
      </c>
      <c r="W21" s="37">
        <v>1</v>
      </c>
      <c r="X21" s="39"/>
      <c r="Y21" s="39"/>
      <c r="Z21" s="68">
        <v>1</v>
      </c>
      <c r="AF21"/>
    </row>
    <row r="22" spans="10:32">
      <c r="J22" s="7" t="s">
        <v>39</v>
      </c>
      <c r="K22" s="7">
        <v>302</v>
      </c>
      <c r="M22" s="7">
        <v>601</v>
      </c>
      <c r="N22" s="7">
        <v>2</v>
      </c>
      <c r="T22" s="54">
        <f>S48</f>
        <v>15.00450004500045</v>
      </c>
      <c r="V22" s="7">
        <v>6</v>
      </c>
      <c r="W22" s="37"/>
      <c r="X22" s="39">
        <v>1</v>
      </c>
      <c r="Y22" s="39">
        <v>1</v>
      </c>
      <c r="Z22" s="68"/>
    </row>
    <row r="23" spans="10:32">
      <c r="J23" s="7" t="s">
        <v>40</v>
      </c>
      <c r="K23" s="7">
        <v>502</v>
      </c>
      <c r="M23" s="7">
        <v>502</v>
      </c>
      <c r="N23" s="7">
        <v>402</v>
      </c>
      <c r="Q23" s="53">
        <f>S38</f>
        <v>24.382655826558267</v>
      </c>
      <c r="U23" s="55">
        <f>S42</f>
        <v>37.818699186991871</v>
      </c>
      <c r="V23" s="9">
        <v>7</v>
      </c>
      <c r="W23" s="51"/>
      <c r="X23" s="52"/>
      <c r="Y23" s="52"/>
      <c r="Z23" s="69">
        <v>1</v>
      </c>
    </row>
    <row r="24" spans="10:32">
      <c r="J24" s="7" t="s">
        <v>41</v>
      </c>
      <c r="K24" s="7">
        <v>402</v>
      </c>
      <c r="M24" s="7">
        <v>302</v>
      </c>
      <c r="N24" s="7">
        <v>602</v>
      </c>
      <c r="S24" s="55">
        <f>S45</f>
        <v>78.433333333333337</v>
      </c>
      <c r="T24" s="56"/>
      <c r="V24" s="9">
        <v>8</v>
      </c>
      <c r="W24" s="51"/>
      <c r="X24" s="52"/>
      <c r="Y24" s="52">
        <v>1</v>
      </c>
      <c r="Z24" s="69"/>
      <c r="AF24"/>
    </row>
    <row r="25" spans="10:32">
      <c r="J25" s="7" t="s">
        <v>42</v>
      </c>
      <c r="K25" s="7">
        <v>602</v>
      </c>
      <c r="M25" s="7">
        <v>301</v>
      </c>
      <c r="N25" s="7">
        <v>302</v>
      </c>
      <c r="V25" s="7">
        <v>9</v>
      </c>
      <c r="W25" s="37">
        <v>1</v>
      </c>
      <c r="X25" s="39"/>
      <c r="Y25" s="39">
        <v>1</v>
      </c>
      <c r="Z25" s="68"/>
    </row>
    <row r="26" spans="10:32">
      <c r="M26" s="7">
        <v>501</v>
      </c>
      <c r="N26" s="7">
        <v>502</v>
      </c>
      <c r="U26" s="39"/>
      <c r="V26" s="7">
        <v>10</v>
      </c>
      <c r="W26" s="37"/>
      <c r="X26" s="39">
        <v>1</v>
      </c>
      <c r="Y26" s="39"/>
      <c r="Z26" s="68">
        <v>1</v>
      </c>
      <c r="AF26"/>
    </row>
    <row r="27" spans="10:32">
      <c r="M27" s="7">
        <v>402</v>
      </c>
      <c r="N27" s="7">
        <v>401</v>
      </c>
      <c r="V27" s="7">
        <v>11</v>
      </c>
      <c r="W27" s="37">
        <v>1</v>
      </c>
      <c r="X27" s="39"/>
      <c r="Y27" s="39"/>
      <c r="Z27" s="68">
        <v>1</v>
      </c>
    </row>
    <row r="28" spans="10:32">
      <c r="M28" s="7">
        <v>602</v>
      </c>
      <c r="N28" s="7">
        <v>601</v>
      </c>
      <c r="S28" s="55">
        <f>S44</f>
        <v>78.86666666666666</v>
      </c>
      <c r="V28" s="7">
        <v>12</v>
      </c>
      <c r="W28" s="57"/>
      <c r="X28" s="58">
        <v>1</v>
      </c>
      <c r="Y28" s="58">
        <v>1</v>
      </c>
      <c r="Z28" s="70"/>
    </row>
    <row r="29" spans="10:32">
      <c r="Q29" s="53">
        <f>S39</f>
        <v>22.19404761904762</v>
      </c>
      <c r="T29" s="50"/>
      <c r="U29" s="59">
        <f>S43</f>
        <v>13.048148148148149</v>
      </c>
      <c r="AF29"/>
    </row>
    <row r="30" spans="10:32">
      <c r="S30" s="50"/>
      <c r="T30" s="56">
        <f>S41</f>
        <v>78.433333333333337</v>
      </c>
      <c r="AF30"/>
    </row>
    <row r="32" spans="10:32">
      <c r="K32" s="30" t="s">
        <v>43</v>
      </c>
      <c r="S32" s="53">
        <f>S47</f>
        <v>46.167692446155222</v>
      </c>
      <c r="T32" s="54">
        <f>S49</f>
        <v>15.003000030000299</v>
      </c>
    </row>
    <row r="33" spans="1:32">
      <c r="K33">
        <v>10000</v>
      </c>
    </row>
    <row r="34" spans="1:32">
      <c r="P34" s="8" t="s">
        <v>44</v>
      </c>
      <c r="Q34" s="8"/>
      <c r="R34" s="8"/>
      <c r="S34" s="8">
        <v>10</v>
      </c>
      <c r="AF34"/>
    </row>
    <row r="37" spans="1:32">
      <c r="A37" s="7" t="s">
        <v>45</v>
      </c>
      <c r="B37" s="8" t="s">
        <v>46</v>
      </c>
      <c r="C37" s="8" t="s">
        <v>47</v>
      </c>
      <c r="D37" s="8" t="s">
        <v>48</v>
      </c>
      <c r="E37" s="8" t="s">
        <v>49</v>
      </c>
      <c r="F37" s="7" t="s">
        <v>50</v>
      </c>
      <c r="G37" s="8" t="s">
        <v>51</v>
      </c>
      <c r="H37" s="8" t="s">
        <v>52</v>
      </c>
      <c r="I37" s="8" t="s">
        <v>53</v>
      </c>
      <c r="J37" s="8" t="s">
        <v>54</v>
      </c>
      <c r="K37" t="s">
        <v>55</v>
      </c>
      <c r="L37" t="s">
        <v>31</v>
      </c>
      <c r="M37" t="s">
        <v>32</v>
      </c>
      <c r="N37" s="31" t="s">
        <v>56</v>
      </c>
      <c r="O37" t="s">
        <v>57</v>
      </c>
      <c r="P37" t="s">
        <v>58</v>
      </c>
      <c r="Q37" t="s">
        <v>59</v>
      </c>
      <c r="R37" t="s">
        <v>60</v>
      </c>
      <c r="S37" t="s">
        <v>61</v>
      </c>
      <c r="T37" t="s">
        <v>62</v>
      </c>
      <c r="U37" t="s">
        <v>63</v>
      </c>
      <c r="W37" t="s">
        <v>64</v>
      </c>
      <c r="AF37"/>
    </row>
    <row r="38" spans="1:32">
      <c r="A38" s="7">
        <v>1</v>
      </c>
      <c r="B38" s="3">
        <v>0.01</v>
      </c>
      <c r="C38" s="3">
        <v>1</v>
      </c>
      <c r="D38" s="7">
        <v>16.600000000000001</v>
      </c>
      <c r="E38" s="7" t="s">
        <v>65</v>
      </c>
      <c r="F38" s="7" t="s">
        <v>66</v>
      </c>
      <c r="G38" s="3">
        <v>1</v>
      </c>
      <c r="H38" s="3"/>
      <c r="I38" s="7">
        <v>41</v>
      </c>
      <c r="J38" s="7">
        <v>5400</v>
      </c>
      <c r="K38" s="3">
        <v>0</v>
      </c>
      <c r="L38" s="7">
        <v>1</v>
      </c>
      <c r="M38" s="7">
        <v>301</v>
      </c>
      <c r="N38" s="32">
        <f>D38/I38*60</f>
        <v>24.292682926829269</v>
      </c>
      <c r="O38" s="33">
        <f>SUM(W38:Z38)</f>
        <v>2000</v>
      </c>
      <c r="S38" s="60">
        <f>N38*(1+B38*POWER(O38/(J38),C38))</f>
        <v>24.382655826558267</v>
      </c>
      <c r="T38" s="61"/>
      <c r="U38" s="60" t="str">
        <f>VLOOKUP(T38,$O$2:$P$7,2,TRUE)</f>
        <v>A</v>
      </c>
      <c r="V38" s="7">
        <v>1</v>
      </c>
      <c r="W38" s="28">
        <f>W$6*W17</f>
        <v>1000</v>
      </c>
      <c r="X38" s="35">
        <f>X$6*X17</f>
        <v>0</v>
      </c>
      <c r="Y38" s="35">
        <f>Y$6*Y17</f>
        <v>1000</v>
      </c>
      <c r="Z38" s="29">
        <f>Z$7*Z17</f>
        <v>0</v>
      </c>
      <c r="AF38"/>
    </row>
    <row r="39" spans="1:32">
      <c r="A39" s="7">
        <v>2</v>
      </c>
      <c r="B39" s="3">
        <v>0.01</v>
      </c>
      <c r="C39" s="3">
        <v>1</v>
      </c>
      <c r="D39" s="7">
        <v>10.3</v>
      </c>
      <c r="E39" s="7" t="s">
        <v>67</v>
      </c>
      <c r="F39" s="7" t="s">
        <v>66</v>
      </c>
      <c r="G39" s="3">
        <v>1</v>
      </c>
      <c r="H39" s="3"/>
      <c r="I39" s="7">
        <v>28</v>
      </c>
      <c r="J39" s="7">
        <v>5400</v>
      </c>
      <c r="K39" s="3">
        <v>0</v>
      </c>
      <c r="L39" s="7">
        <v>1</v>
      </c>
      <c r="M39" s="7">
        <v>501</v>
      </c>
      <c r="N39" s="32">
        <f>D39/I39*60</f>
        <v>22.071428571428573</v>
      </c>
      <c r="O39" s="33">
        <f t="shared" ref="O39:O49" si="4">SUM(W39:Z39)</f>
        <v>3000</v>
      </c>
      <c r="S39" s="60">
        <f t="shared" ref="S39:S49" si="5">N39*(1+B39*POWER(O39/(J39),C39))</f>
        <v>22.19404761904762</v>
      </c>
      <c r="T39" s="61"/>
      <c r="U39" s="60" t="str">
        <f t="shared" ref="U39:U42" si="6">VLOOKUP(T39,$O$2:$P$7,2,TRUE)</f>
        <v>A</v>
      </c>
      <c r="V39" s="7">
        <v>2</v>
      </c>
      <c r="W39" s="37">
        <f>W$6*W18</f>
        <v>0</v>
      </c>
      <c r="X39" s="39">
        <f t="shared" ref="X39:Y42" si="7">X$6*X18</f>
        <v>1000</v>
      </c>
      <c r="Y39" s="39">
        <f t="shared" ref="Y39" si="8">Y$6*Y18</f>
        <v>0</v>
      </c>
      <c r="Z39" s="68">
        <f t="shared" ref="Z39:Z49" si="9">Z$7*Z18</f>
        <v>2000</v>
      </c>
      <c r="AF39"/>
    </row>
    <row r="40" spans="1:32" s="2" customFormat="1">
      <c r="A40" s="9">
        <v>3</v>
      </c>
      <c r="B40" s="3">
        <v>0.01</v>
      </c>
      <c r="C40" s="3">
        <v>1</v>
      </c>
      <c r="D40" s="9">
        <v>650</v>
      </c>
      <c r="E40" s="9" t="s">
        <v>68</v>
      </c>
      <c r="F40" s="9" t="s">
        <v>69</v>
      </c>
      <c r="G40" s="10">
        <v>10</v>
      </c>
      <c r="H40" s="10">
        <v>180</v>
      </c>
      <c r="I40" s="9">
        <v>500</v>
      </c>
      <c r="J40" s="9">
        <f t="shared" ref="J40:J45" si="10">G40*H40</f>
        <v>1800</v>
      </c>
      <c r="K40" s="10">
        <v>100</v>
      </c>
      <c r="L40" s="7">
        <v>302</v>
      </c>
      <c r="M40" s="7">
        <v>402</v>
      </c>
      <c r="N40" s="32">
        <f>D40/I40*60</f>
        <v>78</v>
      </c>
      <c r="O40" s="33">
        <f t="shared" si="4"/>
        <v>1000</v>
      </c>
      <c r="P40" s="2">
        <f>N40/60*$K$33*G40</f>
        <v>130000</v>
      </c>
      <c r="Q40" s="2">
        <f>K40*O40</f>
        <v>100000</v>
      </c>
      <c r="R40" s="2">
        <f>Q40-P40</f>
        <v>-30000</v>
      </c>
      <c r="S40" s="60">
        <f t="shared" si="5"/>
        <v>78.433333333333337</v>
      </c>
      <c r="T40" s="62">
        <f>O40/(J40)</f>
        <v>0.55555555555555558</v>
      </c>
      <c r="U40" s="63" t="str">
        <f t="shared" si="6"/>
        <v>A</v>
      </c>
      <c r="V40" s="9">
        <v>3</v>
      </c>
      <c r="W40" s="51">
        <f t="shared" ref="W40" si="11">W$6*W19</f>
        <v>1000</v>
      </c>
      <c r="X40" s="52">
        <f t="shared" si="7"/>
        <v>0</v>
      </c>
      <c r="Y40" s="52">
        <f t="shared" si="7"/>
        <v>0</v>
      </c>
      <c r="Z40" s="69">
        <f t="shared" si="9"/>
        <v>0</v>
      </c>
      <c r="AF40" s="10"/>
    </row>
    <row r="41" spans="1:32" s="2" customFormat="1">
      <c r="A41" s="9">
        <v>4</v>
      </c>
      <c r="B41" s="3">
        <v>0.01</v>
      </c>
      <c r="C41" s="3">
        <v>1</v>
      </c>
      <c r="D41" s="9">
        <v>650</v>
      </c>
      <c r="E41" s="9" t="s">
        <v>70</v>
      </c>
      <c r="F41" s="9" t="s">
        <v>69</v>
      </c>
      <c r="G41" s="10">
        <v>10</v>
      </c>
      <c r="H41" s="10">
        <v>180</v>
      </c>
      <c r="I41" s="9">
        <v>500</v>
      </c>
      <c r="J41" s="9">
        <f t="shared" si="10"/>
        <v>1800</v>
      </c>
      <c r="K41" s="10">
        <v>100</v>
      </c>
      <c r="L41" s="7">
        <v>502</v>
      </c>
      <c r="M41" s="7">
        <v>602</v>
      </c>
      <c r="N41" s="32">
        <f>D41/I41*60</f>
        <v>78</v>
      </c>
      <c r="O41" s="34">
        <f t="shared" si="4"/>
        <v>1000</v>
      </c>
      <c r="P41" s="2">
        <f>N41/60*$K$33*G41</f>
        <v>130000</v>
      </c>
      <c r="Q41" s="2">
        <f>K41*O41</f>
        <v>100000</v>
      </c>
      <c r="R41" s="2">
        <f>Q41-P41</f>
        <v>-30000</v>
      </c>
      <c r="S41" s="60">
        <f t="shared" si="5"/>
        <v>78.433333333333337</v>
      </c>
      <c r="T41" s="62">
        <f>O41/(J41)</f>
        <v>0.55555555555555558</v>
      </c>
      <c r="U41" s="63" t="str">
        <f t="shared" si="6"/>
        <v>A</v>
      </c>
      <c r="V41" s="9">
        <v>4</v>
      </c>
      <c r="W41" s="51">
        <f t="shared" ref="W41" si="12">W$6*W20</f>
        <v>0</v>
      </c>
      <c r="X41" s="52">
        <f t="shared" si="7"/>
        <v>1000</v>
      </c>
      <c r="Y41" s="52">
        <f t="shared" si="7"/>
        <v>0</v>
      </c>
      <c r="Z41" s="69">
        <f t="shared" si="9"/>
        <v>0</v>
      </c>
      <c r="AF41" s="10"/>
    </row>
    <row r="42" spans="1:32">
      <c r="A42" s="7">
        <v>5</v>
      </c>
      <c r="B42" s="3">
        <v>0.01</v>
      </c>
      <c r="C42" s="3">
        <v>1</v>
      </c>
      <c r="D42" s="7">
        <v>25.7</v>
      </c>
      <c r="E42" s="7" t="s">
        <v>71</v>
      </c>
      <c r="F42" s="7" t="s">
        <v>66</v>
      </c>
      <c r="G42" s="3">
        <v>1</v>
      </c>
      <c r="H42" s="3"/>
      <c r="I42" s="7">
        <v>41</v>
      </c>
      <c r="J42" s="7">
        <v>5400</v>
      </c>
      <c r="K42" s="3">
        <v>0</v>
      </c>
      <c r="L42" s="7">
        <v>401</v>
      </c>
      <c r="M42" s="7">
        <v>2</v>
      </c>
      <c r="N42" s="32">
        <f>D42/I42*60</f>
        <v>37.609756097560975</v>
      </c>
      <c r="O42" s="33">
        <f t="shared" si="4"/>
        <v>3000</v>
      </c>
      <c r="S42" s="60">
        <f t="shared" si="5"/>
        <v>37.818699186991871</v>
      </c>
      <c r="T42" s="61"/>
      <c r="U42" s="60" t="str">
        <f t="shared" si="6"/>
        <v>A</v>
      </c>
      <c r="V42" s="7">
        <v>5</v>
      </c>
      <c r="W42" s="37">
        <f t="shared" ref="W42" si="13">W$6*W21</f>
        <v>1000</v>
      </c>
      <c r="X42" s="39">
        <f t="shared" si="7"/>
        <v>0</v>
      </c>
      <c r="Y42" s="39">
        <f t="shared" si="7"/>
        <v>0</v>
      </c>
      <c r="Z42" s="68">
        <f t="shared" si="9"/>
        <v>2000</v>
      </c>
      <c r="AF42"/>
    </row>
    <row r="43" spans="1:32">
      <c r="A43" s="7">
        <v>6</v>
      </c>
      <c r="B43" s="3">
        <v>0.01</v>
      </c>
      <c r="C43" s="3">
        <v>1</v>
      </c>
      <c r="D43" s="7">
        <v>5.2</v>
      </c>
      <c r="E43" s="7" t="s">
        <v>72</v>
      </c>
      <c r="F43" s="7" t="s">
        <v>66</v>
      </c>
      <c r="G43" s="3">
        <v>1</v>
      </c>
      <c r="H43" s="3"/>
      <c r="I43" s="7">
        <v>24</v>
      </c>
      <c r="J43" s="7">
        <v>5400</v>
      </c>
      <c r="K43" s="3">
        <v>0</v>
      </c>
      <c r="L43" s="7">
        <v>601</v>
      </c>
      <c r="M43" s="7">
        <v>2</v>
      </c>
      <c r="N43" s="32">
        <f t="shared" ref="N43:N49" si="14">D43/I43*60</f>
        <v>13</v>
      </c>
      <c r="O43" s="33">
        <f t="shared" si="4"/>
        <v>2000</v>
      </c>
      <c r="P43" s="3"/>
      <c r="Q43" s="3"/>
      <c r="R43" s="3"/>
      <c r="S43" s="60">
        <f t="shared" si="5"/>
        <v>13.048148148148149</v>
      </c>
      <c r="T43" s="61"/>
      <c r="U43" s="60" t="str">
        <f t="shared" ref="U43:U48" si="15">VLOOKUP(T43,$O$2:$P$7,2,TRUE)</f>
        <v>A</v>
      </c>
      <c r="V43" s="7">
        <v>6</v>
      </c>
      <c r="W43" s="37">
        <f t="shared" ref="W43" si="16">W$6*W22</f>
        <v>0</v>
      </c>
      <c r="X43" s="39">
        <f t="shared" ref="W43:X49" si="17">X$6*X22</f>
        <v>1000</v>
      </c>
      <c r="Y43" s="39">
        <f t="shared" ref="Y43:Y49" si="18">Y$6*Y22</f>
        <v>1000</v>
      </c>
      <c r="Z43" s="68">
        <f t="shared" si="9"/>
        <v>0</v>
      </c>
      <c r="AF43"/>
    </row>
    <row r="44" spans="1:32" s="2" customFormat="1">
      <c r="A44" s="9">
        <v>7</v>
      </c>
      <c r="B44" s="3">
        <v>0.01</v>
      </c>
      <c r="C44" s="3">
        <v>1</v>
      </c>
      <c r="D44" s="9">
        <v>650</v>
      </c>
      <c r="E44" s="9" t="s">
        <v>73</v>
      </c>
      <c r="F44" s="9" t="s">
        <v>69</v>
      </c>
      <c r="G44" s="10">
        <v>10</v>
      </c>
      <c r="H44" s="10">
        <v>180</v>
      </c>
      <c r="I44" s="9">
        <v>500</v>
      </c>
      <c r="J44" s="9">
        <f t="shared" si="10"/>
        <v>1800</v>
      </c>
      <c r="K44" s="10">
        <v>100</v>
      </c>
      <c r="L44" s="7">
        <v>502</v>
      </c>
      <c r="M44" s="7">
        <v>402</v>
      </c>
      <c r="N44" s="32">
        <f t="shared" si="14"/>
        <v>78</v>
      </c>
      <c r="O44" s="34">
        <f t="shared" si="4"/>
        <v>2000</v>
      </c>
      <c r="P44" s="2">
        <f>N44/60*$K$33*G44</f>
        <v>130000</v>
      </c>
      <c r="Q44" s="2">
        <f>K44*O44</f>
        <v>200000</v>
      </c>
      <c r="R44" s="2">
        <f>Q44-P44</f>
        <v>70000</v>
      </c>
      <c r="S44" s="60">
        <f t="shared" si="5"/>
        <v>78.86666666666666</v>
      </c>
      <c r="T44" s="61">
        <f t="shared" ref="T44" si="19">O44/(J44*G44)</f>
        <v>0.1111111111111111</v>
      </c>
      <c r="U44" s="60" t="str">
        <f t="shared" si="15"/>
        <v>A</v>
      </c>
      <c r="V44" s="9">
        <v>7</v>
      </c>
      <c r="W44" s="51">
        <f t="shared" ref="W44" si="20">W$6*W23</f>
        <v>0</v>
      </c>
      <c r="X44" s="52">
        <f t="shared" si="17"/>
        <v>0</v>
      </c>
      <c r="Y44" s="52">
        <f t="shared" si="18"/>
        <v>0</v>
      </c>
      <c r="Z44" s="69">
        <f t="shared" si="9"/>
        <v>2000</v>
      </c>
      <c r="AF44" s="10"/>
    </row>
    <row r="45" spans="1:32" s="2" customFormat="1">
      <c r="A45" s="9">
        <v>8</v>
      </c>
      <c r="B45" s="3">
        <v>0.01</v>
      </c>
      <c r="C45" s="3">
        <v>1</v>
      </c>
      <c r="D45" s="9">
        <v>650</v>
      </c>
      <c r="E45" s="9" t="s">
        <v>74</v>
      </c>
      <c r="F45" s="9" t="s">
        <v>69</v>
      </c>
      <c r="G45" s="10">
        <v>10</v>
      </c>
      <c r="H45" s="10">
        <v>180</v>
      </c>
      <c r="I45" s="9">
        <v>500</v>
      </c>
      <c r="J45" s="9">
        <f t="shared" si="10"/>
        <v>1800</v>
      </c>
      <c r="K45" s="10">
        <v>100</v>
      </c>
      <c r="L45" s="7">
        <v>302</v>
      </c>
      <c r="M45" s="7">
        <v>602</v>
      </c>
      <c r="N45" s="32">
        <f t="shared" si="14"/>
        <v>78</v>
      </c>
      <c r="O45" s="33">
        <f t="shared" si="4"/>
        <v>1000</v>
      </c>
      <c r="P45" s="2">
        <f>N45/60*$K$33*G45</f>
        <v>130000</v>
      </c>
      <c r="Q45" s="2">
        <f>K45*O45</f>
        <v>100000</v>
      </c>
      <c r="R45" s="2">
        <f>Q45-P45</f>
        <v>-30000</v>
      </c>
      <c r="S45" s="60">
        <f t="shared" si="5"/>
        <v>78.433333333333337</v>
      </c>
      <c r="T45" s="62">
        <f>O45/(J45)</f>
        <v>0.55555555555555558</v>
      </c>
      <c r="U45" s="63" t="str">
        <f t="shared" si="15"/>
        <v>A</v>
      </c>
      <c r="V45" s="9">
        <v>8</v>
      </c>
      <c r="W45" s="51">
        <f t="shared" ref="W45" si="21">W$6*W24</f>
        <v>0</v>
      </c>
      <c r="X45" s="52">
        <f t="shared" si="17"/>
        <v>0</v>
      </c>
      <c r="Y45" s="52">
        <f t="shared" si="18"/>
        <v>1000</v>
      </c>
      <c r="Z45" s="69">
        <f t="shared" si="9"/>
        <v>0</v>
      </c>
      <c r="AF45" s="10"/>
    </row>
    <row r="46" spans="1:32">
      <c r="A46" s="7">
        <v>9</v>
      </c>
      <c r="B46" s="3">
        <v>0.01</v>
      </c>
      <c r="C46" s="3">
        <v>1</v>
      </c>
      <c r="D46" s="7">
        <v>1</v>
      </c>
      <c r="E46" s="7" t="s">
        <v>39</v>
      </c>
      <c r="F46" s="7" t="s">
        <v>75</v>
      </c>
      <c r="G46" s="3">
        <v>1</v>
      </c>
      <c r="H46" s="3"/>
      <c r="I46" s="7">
        <v>1.3</v>
      </c>
      <c r="J46" s="7">
        <v>99999</v>
      </c>
      <c r="K46" s="3">
        <v>0</v>
      </c>
      <c r="L46" s="7">
        <v>301</v>
      </c>
      <c r="M46" s="7">
        <v>302</v>
      </c>
      <c r="N46" s="32">
        <f t="shared" si="14"/>
        <v>46.153846153846146</v>
      </c>
      <c r="O46" s="33">
        <f t="shared" si="4"/>
        <v>2000</v>
      </c>
      <c r="S46" s="60">
        <f t="shared" si="5"/>
        <v>46.163077015385525</v>
      </c>
      <c r="T46" s="62"/>
      <c r="U46" s="63" t="str">
        <f t="shared" si="15"/>
        <v>A</v>
      </c>
      <c r="V46" s="7">
        <v>9</v>
      </c>
      <c r="W46" s="37">
        <f t="shared" ref="W46" si="22">W$6*W25</f>
        <v>1000</v>
      </c>
      <c r="X46" s="39">
        <f t="shared" si="17"/>
        <v>0</v>
      </c>
      <c r="Y46" s="39">
        <f t="shared" si="18"/>
        <v>1000</v>
      </c>
      <c r="Z46" s="68">
        <f t="shared" si="9"/>
        <v>0</v>
      </c>
    </row>
    <row r="47" spans="1:32">
      <c r="A47" s="7">
        <v>10</v>
      </c>
      <c r="B47" s="3">
        <v>0.01</v>
      </c>
      <c r="C47" s="3">
        <v>1</v>
      </c>
      <c r="D47" s="7">
        <v>1</v>
      </c>
      <c r="E47" s="7" t="s">
        <v>40</v>
      </c>
      <c r="F47" s="7" t="s">
        <v>75</v>
      </c>
      <c r="G47" s="3">
        <v>1</v>
      </c>
      <c r="H47" s="3"/>
      <c r="I47" s="7">
        <v>1.3</v>
      </c>
      <c r="J47" s="7">
        <v>99999</v>
      </c>
      <c r="K47" s="3">
        <v>0</v>
      </c>
      <c r="L47" s="7">
        <v>501</v>
      </c>
      <c r="M47" s="7">
        <v>502</v>
      </c>
      <c r="N47" s="32">
        <f t="shared" si="14"/>
        <v>46.153846153846146</v>
      </c>
      <c r="O47" s="33">
        <f t="shared" si="4"/>
        <v>3000</v>
      </c>
      <c r="S47" s="60">
        <f t="shared" si="5"/>
        <v>46.167692446155222</v>
      </c>
      <c r="T47" s="61"/>
      <c r="U47" s="60" t="str">
        <f t="shared" si="15"/>
        <v>A</v>
      </c>
      <c r="V47" s="7">
        <v>10</v>
      </c>
      <c r="W47" s="37">
        <f t="shared" ref="W47" si="23">W$6*W26</f>
        <v>0</v>
      </c>
      <c r="X47" s="39">
        <f t="shared" si="17"/>
        <v>1000</v>
      </c>
      <c r="Y47" s="39">
        <f t="shared" si="18"/>
        <v>0</v>
      </c>
      <c r="Z47" s="68">
        <f t="shared" si="9"/>
        <v>2000</v>
      </c>
      <c r="AF47"/>
    </row>
    <row r="48" spans="1:32">
      <c r="A48" s="7">
        <v>11</v>
      </c>
      <c r="B48" s="3">
        <v>0.01</v>
      </c>
      <c r="C48" s="3">
        <v>1</v>
      </c>
      <c r="D48" s="7">
        <v>1</v>
      </c>
      <c r="E48" s="7" t="s">
        <v>41</v>
      </c>
      <c r="F48" s="7" t="s">
        <v>76</v>
      </c>
      <c r="G48" s="3">
        <v>1</v>
      </c>
      <c r="H48" s="3"/>
      <c r="I48" s="7">
        <v>4</v>
      </c>
      <c r="J48" s="7">
        <v>99999</v>
      </c>
      <c r="K48" s="3">
        <v>0</v>
      </c>
      <c r="L48" s="7">
        <v>402</v>
      </c>
      <c r="M48" s="7">
        <v>401</v>
      </c>
      <c r="N48" s="32">
        <f t="shared" si="14"/>
        <v>15</v>
      </c>
      <c r="O48" s="33">
        <f t="shared" si="4"/>
        <v>3000</v>
      </c>
      <c r="S48" s="60">
        <f t="shared" si="5"/>
        <v>15.00450004500045</v>
      </c>
      <c r="T48" s="61"/>
      <c r="U48" s="60" t="str">
        <f t="shared" si="15"/>
        <v>A</v>
      </c>
      <c r="V48" s="7">
        <v>11</v>
      </c>
      <c r="W48" s="37">
        <f t="shared" ref="W48" si="24">W$6*W27</f>
        <v>1000</v>
      </c>
      <c r="X48" s="39">
        <f t="shared" si="17"/>
        <v>0</v>
      </c>
      <c r="Y48" s="39">
        <f t="shared" si="18"/>
        <v>0</v>
      </c>
      <c r="Z48" s="68">
        <f t="shared" si="9"/>
        <v>2000</v>
      </c>
    </row>
    <row r="49" spans="1:32">
      <c r="A49" s="7">
        <v>12</v>
      </c>
      <c r="B49" s="3">
        <v>0.01</v>
      </c>
      <c r="C49" s="3">
        <v>1</v>
      </c>
      <c r="D49" s="7">
        <v>1</v>
      </c>
      <c r="E49" s="7" t="s">
        <v>42</v>
      </c>
      <c r="F49" s="7" t="s">
        <v>76</v>
      </c>
      <c r="G49" s="3">
        <v>1</v>
      </c>
      <c r="H49" s="3"/>
      <c r="I49" s="7">
        <v>4</v>
      </c>
      <c r="J49" s="7">
        <v>99999</v>
      </c>
      <c r="K49" s="3">
        <v>0</v>
      </c>
      <c r="L49" s="7">
        <v>602</v>
      </c>
      <c r="M49" s="7">
        <v>601</v>
      </c>
      <c r="N49" s="32">
        <f t="shared" si="14"/>
        <v>15</v>
      </c>
      <c r="O49" s="33">
        <f t="shared" si="4"/>
        <v>2000</v>
      </c>
      <c r="S49" s="60">
        <f t="shared" si="5"/>
        <v>15.003000030000299</v>
      </c>
      <c r="V49" s="7">
        <v>12</v>
      </c>
      <c r="W49" s="57">
        <f t="shared" si="17"/>
        <v>0</v>
      </c>
      <c r="X49" s="58">
        <f t="shared" si="17"/>
        <v>1000</v>
      </c>
      <c r="Y49" s="58">
        <f t="shared" si="18"/>
        <v>1000</v>
      </c>
      <c r="Z49" s="70">
        <f t="shared" si="9"/>
        <v>0</v>
      </c>
    </row>
    <row r="51" spans="1:32">
      <c r="O51" t="s">
        <v>77</v>
      </c>
      <c r="P51" t="s">
        <v>78</v>
      </c>
    </row>
    <row r="52" spans="1:32">
      <c r="O52">
        <f>R40+R45</f>
        <v>-60000</v>
      </c>
      <c r="P52">
        <f>R41+R44</f>
        <v>40000</v>
      </c>
    </row>
    <row r="53" spans="1:32">
      <c r="P53">
        <f>P52/O52</f>
        <v>-0.66666666666666663</v>
      </c>
    </row>
    <row r="57" spans="1:32">
      <c r="W57" t="s">
        <v>79</v>
      </c>
      <c r="AF57"/>
    </row>
    <row r="58" spans="1:32">
      <c r="W58" s="28">
        <f>$S38*W17</f>
        <v>24.382655826558267</v>
      </c>
      <c r="X58" s="35">
        <f>$S38*X17</f>
        <v>0</v>
      </c>
      <c r="Y58" s="35">
        <f>$S38*Y17</f>
        <v>24.382655826558267</v>
      </c>
      <c r="Z58" s="29">
        <f>$S38*Z17</f>
        <v>0</v>
      </c>
      <c r="AF58"/>
    </row>
    <row r="59" spans="1:32">
      <c r="W59" s="37">
        <f t="shared" ref="W59:Z59" si="25">$S39*W18</f>
        <v>0</v>
      </c>
      <c r="X59" s="39">
        <f t="shared" si="25"/>
        <v>22.19404761904762</v>
      </c>
      <c r="Y59" s="39">
        <f t="shared" si="25"/>
        <v>0</v>
      </c>
      <c r="Z59" s="68">
        <f t="shared" si="25"/>
        <v>22.19404761904762</v>
      </c>
      <c r="AF59"/>
    </row>
    <row r="60" spans="1:32">
      <c r="W60" s="37">
        <f t="shared" ref="W60:Z60" si="26">$S40*W19</f>
        <v>78.433333333333337</v>
      </c>
      <c r="X60" s="39">
        <f t="shared" si="26"/>
        <v>0</v>
      </c>
      <c r="Y60" s="39">
        <f t="shared" si="26"/>
        <v>0</v>
      </c>
      <c r="Z60" s="68">
        <f t="shared" si="26"/>
        <v>0</v>
      </c>
      <c r="AF60"/>
    </row>
    <row r="61" spans="1:32">
      <c r="W61" s="37">
        <f t="shared" ref="W61:Z61" si="27">$S41*W20</f>
        <v>0</v>
      </c>
      <c r="X61" s="39">
        <f t="shared" si="27"/>
        <v>78.433333333333337</v>
      </c>
      <c r="Y61" s="39">
        <f t="shared" si="27"/>
        <v>0</v>
      </c>
      <c r="Z61" s="68">
        <f t="shared" si="27"/>
        <v>0</v>
      </c>
      <c r="AF61"/>
    </row>
    <row r="62" spans="1:32">
      <c r="W62" s="37">
        <f t="shared" ref="W62:Z62" si="28">$S42*W21</f>
        <v>37.818699186991871</v>
      </c>
      <c r="X62" s="39">
        <f t="shared" si="28"/>
        <v>0</v>
      </c>
      <c r="Y62" s="39">
        <f t="shared" si="28"/>
        <v>0</v>
      </c>
      <c r="Z62" s="68">
        <f t="shared" si="28"/>
        <v>37.818699186991871</v>
      </c>
      <c r="AF62"/>
    </row>
    <row r="63" spans="1:32">
      <c r="W63" s="37">
        <f t="shared" ref="W63:Z63" si="29">$S43*W22</f>
        <v>0</v>
      </c>
      <c r="X63" s="39">
        <f t="shared" si="29"/>
        <v>13.048148148148149</v>
      </c>
      <c r="Y63" s="39">
        <f t="shared" si="29"/>
        <v>13.048148148148149</v>
      </c>
      <c r="Z63" s="68">
        <f t="shared" si="29"/>
        <v>0</v>
      </c>
    </row>
    <row r="64" spans="1:32">
      <c r="W64" s="37">
        <f t="shared" ref="W64:Z64" si="30">$S44*W23</f>
        <v>0</v>
      </c>
      <c r="X64" s="39">
        <f t="shared" si="30"/>
        <v>0</v>
      </c>
      <c r="Y64" s="39">
        <f t="shared" si="30"/>
        <v>0</v>
      </c>
      <c r="Z64" s="68">
        <f t="shared" si="30"/>
        <v>78.86666666666666</v>
      </c>
    </row>
    <row r="65" spans="23:26">
      <c r="W65" s="37">
        <f t="shared" ref="W65:Z65" si="31">$S45*W24</f>
        <v>0</v>
      </c>
      <c r="X65" s="39">
        <f t="shared" si="31"/>
        <v>0</v>
      </c>
      <c r="Y65" s="39">
        <f t="shared" si="31"/>
        <v>78.433333333333337</v>
      </c>
      <c r="Z65" s="68">
        <f t="shared" si="31"/>
        <v>0</v>
      </c>
    </row>
    <row r="66" spans="23:26">
      <c r="W66" s="37">
        <f t="shared" ref="W66:Z66" si="32">$S46*W25</f>
        <v>46.163077015385525</v>
      </c>
      <c r="X66" s="39">
        <f t="shared" si="32"/>
        <v>0</v>
      </c>
      <c r="Y66" s="39">
        <f t="shared" si="32"/>
        <v>46.163077015385525</v>
      </c>
      <c r="Z66" s="68">
        <f t="shared" si="32"/>
        <v>0</v>
      </c>
    </row>
    <row r="67" spans="23:26">
      <c r="W67" s="37">
        <f t="shared" ref="W67:Z67" si="33">$S47*W26</f>
        <v>0</v>
      </c>
      <c r="X67" s="39">
        <f t="shared" si="33"/>
        <v>46.167692446155222</v>
      </c>
      <c r="Y67" s="39">
        <f t="shared" si="33"/>
        <v>0</v>
      </c>
      <c r="Z67" s="68">
        <f t="shared" si="33"/>
        <v>46.167692446155222</v>
      </c>
    </row>
    <row r="68" spans="23:26">
      <c r="W68" s="37">
        <f t="shared" ref="W68:Z68" si="34">$S48*W27</f>
        <v>15.00450004500045</v>
      </c>
      <c r="X68" s="39">
        <f t="shared" si="34"/>
        <v>0</v>
      </c>
      <c r="Y68" s="39">
        <f t="shared" si="34"/>
        <v>0</v>
      </c>
      <c r="Z68" s="68">
        <f t="shared" si="34"/>
        <v>15.00450004500045</v>
      </c>
    </row>
    <row r="69" spans="23:26">
      <c r="W69" s="57">
        <f t="shared" ref="W69:Z69" si="35">$S49*W28</f>
        <v>0</v>
      </c>
      <c r="X69" s="58">
        <f t="shared" si="35"/>
        <v>15.003000030000299</v>
      </c>
      <c r="Y69" s="58">
        <f t="shared" si="35"/>
        <v>15.003000030000299</v>
      </c>
      <c r="Z69" s="70">
        <f t="shared" si="35"/>
        <v>0</v>
      </c>
    </row>
    <row r="72" spans="23:26">
      <c r="W72" t="s">
        <v>80</v>
      </c>
    </row>
    <row r="73" spans="23:26">
      <c r="W73" s="28">
        <f t="shared" ref="W73:Z73" si="36">$K38*W17</f>
        <v>0</v>
      </c>
      <c r="X73" s="28">
        <f t="shared" si="36"/>
        <v>0</v>
      </c>
      <c r="Y73" s="28">
        <f t="shared" si="36"/>
        <v>0</v>
      </c>
      <c r="Z73" s="28">
        <f t="shared" si="36"/>
        <v>0</v>
      </c>
    </row>
    <row r="74" spans="23:26">
      <c r="W74" s="28">
        <f t="shared" ref="W74:W84" si="37">$K39*W18</f>
        <v>0</v>
      </c>
      <c r="X74" s="28">
        <f t="shared" ref="X74:X84" si="38">$K39*X18</f>
        <v>0</v>
      </c>
      <c r="Y74" s="28">
        <f t="shared" ref="Y74:Y84" si="39">$K39*Y18</f>
        <v>0</v>
      </c>
      <c r="Z74" s="28">
        <f t="shared" ref="Z74:Z84" si="40">$K39*Z18</f>
        <v>0</v>
      </c>
    </row>
    <row r="75" spans="23:26">
      <c r="W75" s="28">
        <f t="shared" si="37"/>
        <v>100</v>
      </c>
      <c r="X75" s="28">
        <f t="shared" si="38"/>
        <v>0</v>
      </c>
      <c r="Y75" s="28">
        <f t="shared" si="39"/>
        <v>0</v>
      </c>
      <c r="Z75" s="28">
        <f t="shared" si="40"/>
        <v>0</v>
      </c>
    </row>
    <row r="76" spans="23:26">
      <c r="W76" s="28">
        <f t="shared" si="37"/>
        <v>0</v>
      </c>
      <c r="X76" s="28">
        <f t="shared" si="38"/>
        <v>100</v>
      </c>
      <c r="Y76" s="28">
        <f t="shared" si="39"/>
        <v>0</v>
      </c>
      <c r="Z76" s="28">
        <f t="shared" si="40"/>
        <v>0</v>
      </c>
    </row>
    <row r="77" spans="23:26">
      <c r="W77" s="28">
        <f t="shared" si="37"/>
        <v>0</v>
      </c>
      <c r="X77" s="28">
        <f t="shared" si="38"/>
        <v>0</v>
      </c>
      <c r="Y77" s="28">
        <f t="shared" si="39"/>
        <v>0</v>
      </c>
      <c r="Z77" s="28">
        <f t="shared" si="40"/>
        <v>0</v>
      </c>
    </row>
    <row r="78" spans="23:26">
      <c r="W78" s="28">
        <f t="shared" si="37"/>
        <v>0</v>
      </c>
      <c r="X78" s="28">
        <f t="shared" si="38"/>
        <v>0</v>
      </c>
      <c r="Y78" s="28">
        <f t="shared" si="39"/>
        <v>0</v>
      </c>
      <c r="Z78" s="28">
        <f t="shared" si="40"/>
        <v>0</v>
      </c>
    </row>
    <row r="79" spans="23:26">
      <c r="W79" s="28">
        <f t="shared" si="37"/>
        <v>0</v>
      </c>
      <c r="X79" s="28">
        <f t="shared" si="38"/>
        <v>0</v>
      </c>
      <c r="Y79" s="28">
        <f t="shared" si="39"/>
        <v>0</v>
      </c>
      <c r="Z79" s="28">
        <f t="shared" si="40"/>
        <v>100</v>
      </c>
    </row>
    <row r="80" spans="23:26">
      <c r="W80" s="28">
        <f t="shared" si="37"/>
        <v>0</v>
      </c>
      <c r="X80" s="28">
        <f t="shared" si="38"/>
        <v>0</v>
      </c>
      <c r="Y80" s="28">
        <f t="shared" si="39"/>
        <v>100</v>
      </c>
      <c r="Z80" s="28">
        <f t="shared" si="40"/>
        <v>0</v>
      </c>
    </row>
    <row r="81" spans="23:26">
      <c r="W81" s="28">
        <f t="shared" si="37"/>
        <v>0</v>
      </c>
      <c r="X81" s="28">
        <f t="shared" si="38"/>
        <v>0</v>
      </c>
      <c r="Y81" s="28">
        <f t="shared" si="39"/>
        <v>0</v>
      </c>
      <c r="Z81" s="28">
        <f t="shared" si="40"/>
        <v>0</v>
      </c>
    </row>
    <row r="82" spans="23:26">
      <c r="W82" s="28">
        <f t="shared" si="37"/>
        <v>0</v>
      </c>
      <c r="X82" s="28">
        <f t="shared" si="38"/>
        <v>0</v>
      </c>
      <c r="Y82" s="28">
        <f t="shared" si="39"/>
        <v>0</v>
      </c>
      <c r="Z82" s="28">
        <f t="shared" si="40"/>
        <v>0</v>
      </c>
    </row>
    <row r="83" spans="23:26">
      <c r="W83" s="28">
        <f t="shared" si="37"/>
        <v>0</v>
      </c>
      <c r="X83" s="28">
        <f t="shared" si="38"/>
        <v>0</v>
      </c>
      <c r="Y83" s="28">
        <f t="shared" si="39"/>
        <v>0</v>
      </c>
      <c r="Z83" s="28">
        <f t="shared" si="40"/>
        <v>0</v>
      </c>
    </row>
    <row r="84" spans="23:26">
      <c r="W84" s="28">
        <f t="shared" si="37"/>
        <v>0</v>
      </c>
      <c r="X84" s="28">
        <f t="shared" si="38"/>
        <v>0</v>
      </c>
      <c r="Y84" s="28">
        <f t="shared" si="39"/>
        <v>0</v>
      </c>
      <c r="Z84" s="28">
        <f t="shared" si="40"/>
        <v>0</v>
      </c>
    </row>
  </sheetData>
  <mergeCells count="5">
    <mergeCell ref="K2:M2"/>
    <mergeCell ref="L4:M4"/>
    <mergeCell ref="L6:M6"/>
    <mergeCell ref="AB6:AD6"/>
    <mergeCell ref="L8:M8"/>
  </mergeCells>
  <conditionalFormatting sqref="T38:T48">
    <cfRule type="dataBar" priority="4">
      <dataBar>
        <cfvo type="min"/>
        <cfvo type="max"/>
        <color rgb="FFFF555A"/>
      </dataBar>
    </cfRule>
  </conditionalFormatting>
  <conditionalFormatting sqref="U38:U48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selection activeCell="K8" sqref="K8"/>
    </sheetView>
  </sheetViews>
  <sheetFormatPr defaultColWidth="8.88671875" defaultRowHeight="14.4"/>
  <cols>
    <col min="1" max="1" width="13.6640625" customWidth="1"/>
    <col min="2" max="2" width="45.5546875" bestFit="1" customWidth="1"/>
  </cols>
  <sheetData>
    <row r="1" spans="1:9">
      <c r="A1" s="1" t="s">
        <v>81</v>
      </c>
      <c r="B1" s="1" t="s">
        <v>82</v>
      </c>
      <c r="C1" s="1" t="s">
        <v>83</v>
      </c>
      <c r="D1" s="1"/>
      <c r="E1" s="1"/>
      <c r="F1" s="1"/>
      <c r="G1" s="1"/>
      <c r="H1" s="1"/>
      <c r="I1" s="1"/>
    </row>
    <row r="2" spans="1:9">
      <c r="A2" s="1">
        <v>1</v>
      </c>
      <c r="B2" s="1" t="s">
        <v>46</v>
      </c>
      <c r="C2" s="1" t="s">
        <v>84</v>
      </c>
      <c r="D2" s="1"/>
      <c r="E2" s="1"/>
      <c r="F2" s="1"/>
      <c r="G2" s="1"/>
      <c r="H2" s="1"/>
      <c r="I2" s="1"/>
    </row>
    <row r="3" spans="1:9">
      <c r="A3" s="1">
        <v>2</v>
      </c>
      <c r="B3" s="1" t="s">
        <v>47</v>
      </c>
      <c r="C3" s="1" t="s">
        <v>84</v>
      </c>
      <c r="D3" s="1"/>
      <c r="E3" s="1"/>
      <c r="F3" s="1"/>
      <c r="G3" s="1"/>
      <c r="H3" s="1"/>
      <c r="I3" s="1"/>
    </row>
    <row r="4" spans="1:9">
      <c r="A4" s="1">
        <v>3</v>
      </c>
      <c r="B4" s="1" t="s">
        <v>48</v>
      </c>
      <c r="C4" s="1" t="s">
        <v>85</v>
      </c>
      <c r="D4" s="1"/>
      <c r="E4" s="1"/>
      <c r="F4" s="1"/>
      <c r="G4" s="1"/>
      <c r="H4" s="1"/>
      <c r="I4" s="1"/>
    </row>
    <row r="5" spans="1:9">
      <c r="A5" s="1">
        <v>4</v>
      </c>
      <c r="B5" s="1" t="s">
        <v>49</v>
      </c>
      <c r="C5" s="1" t="s">
        <v>86</v>
      </c>
      <c r="D5" s="1"/>
      <c r="E5" s="1"/>
      <c r="F5" s="1"/>
      <c r="G5" s="1"/>
      <c r="H5" s="1"/>
      <c r="I5" s="1"/>
    </row>
    <row r="6" spans="1:9">
      <c r="A6" s="1">
        <v>5</v>
      </c>
      <c r="B6" s="1" t="s">
        <v>50</v>
      </c>
      <c r="C6" s="1" t="s">
        <v>87</v>
      </c>
      <c r="D6" s="1"/>
      <c r="E6" s="1"/>
      <c r="F6" s="1"/>
      <c r="G6" s="1"/>
      <c r="H6" s="1"/>
      <c r="I6" s="1"/>
    </row>
    <row r="7" spans="1:9">
      <c r="A7" s="1">
        <v>6</v>
      </c>
      <c r="B7" s="1" t="s">
        <v>51</v>
      </c>
      <c r="C7" s="1" t="s">
        <v>88</v>
      </c>
      <c r="D7" s="1"/>
      <c r="E7" s="1"/>
      <c r="F7" s="1"/>
      <c r="G7" s="1"/>
      <c r="H7" s="1"/>
      <c r="I7" s="1"/>
    </row>
    <row r="8" spans="1:9">
      <c r="A8" s="1">
        <v>7</v>
      </c>
      <c r="B8" s="1" t="s">
        <v>89</v>
      </c>
      <c r="C8" s="1" t="s">
        <v>90</v>
      </c>
      <c r="D8" s="1"/>
      <c r="E8" s="1"/>
      <c r="F8" s="1"/>
      <c r="G8" s="1"/>
      <c r="H8" s="1"/>
      <c r="I8" s="1"/>
    </row>
    <row r="9" spans="1:9">
      <c r="A9" s="1">
        <v>8</v>
      </c>
      <c r="B9" s="1" t="s">
        <v>53</v>
      </c>
      <c r="C9" s="1" t="s">
        <v>91</v>
      </c>
      <c r="D9" s="1"/>
      <c r="E9" s="1"/>
      <c r="F9" s="1"/>
      <c r="G9" s="1"/>
      <c r="H9" s="1"/>
      <c r="I9" s="1"/>
    </row>
    <row r="10" spans="1:9">
      <c r="A10" s="1">
        <v>9</v>
      </c>
      <c r="B10" s="1" t="s">
        <v>55</v>
      </c>
      <c r="C10" s="1" t="s">
        <v>92</v>
      </c>
      <c r="D10" s="1"/>
      <c r="E10" s="1"/>
      <c r="F10" s="1"/>
      <c r="G10" s="1"/>
      <c r="H10" s="1"/>
      <c r="I10" s="1"/>
    </row>
    <row r="11" spans="1:9">
      <c r="A11" s="1">
        <v>10</v>
      </c>
      <c r="B11" s="1" t="s">
        <v>56</v>
      </c>
      <c r="C11" s="1" t="s">
        <v>93</v>
      </c>
      <c r="D11" s="1"/>
      <c r="E11" s="1"/>
      <c r="F11" s="1"/>
      <c r="G11" s="1"/>
      <c r="H11" s="1"/>
      <c r="I11" s="1"/>
    </row>
    <row r="12" spans="1:9">
      <c r="A12" s="1">
        <v>11</v>
      </c>
      <c r="B12" s="1" t="s">
        <v>94</v>
      </c>
      <c r="C12" s="1" t="s">
        <v>95</v>
      </c>
      <c r="D12" s="1"/>
      <c r="E12" s="1"/>
      <c r="F12" s="1"/>
      <c r="G12" s="1"/>
      <c r="H12" s="1"/>
      <c r="I12" s="1"/>
    </row>
    <row r="13" spans="1:9">
      <c r="A13" s="1">
        <v>12</v>
      </c>
      <c r="B13" s="1" t="s">
        <v>5</v>
      </c>
      <c r="C13" s="1" t="s">
        <v>96</v>
      </c>
      <c r="D13" s="1"/>
      <c r="E13" s="1"/>
      <c r="F13" s="1"/>
      <c r="G13" s="1"/>
      <c r="H13" s="1"/>
      <c r="I13" s="1"/>
    </row>
    <row r="14" spans="1:9">
      <c r="A14" s="1">
        <v>13</v>
      </c>
      <c r="B14" s="1" t="s">
        <v>97</v>
      </c>
      <c r="C14" s="1" t="s">
        <v>98</v>
      </c>
      <c r="D14" s="1"/>
      <c r="E14" s="1"/>
      <c r="F14" s="1"/>
      <c r="G14" s="1"/>
      <c r="H14" s="1"/>
      <c r="I14" s="1"/>
    </row>
    <row r="15" spans="1:9">
      <c r="A15" s="1">
        <v>14</v>
      </c>
      <c r="B15" s="1" t="s">
        <v>9</v>
      </c>
      <c r="C15" s="1" t="s">
        <v>99</v>
      </c>
      <c r="D15" s="1"/>
      <c r="E15" s="1"/>
      <c r="F15" s="1"/>
      <c r="G15" s="1"/>
      <c r="H15" s="1"/>
      <c r="I15" s="1"/>
    </row>
    <row r="18" spans="1:2">
      <c r="A18" s="1" t="s">
        <v>100</v>
      </c>
      <c r="B18" s="1" t="s">
        <v>101</v>
      </c>
    </row>
    <row r="19" spans="1:2">
      <c r="A19" s="1">
        <v>1</v>
      </c>
      <c r="B19" s="1" t="s">
        <v>102</v>
      </c>
    </row>
    <row r="20" spans="1:2">
      <c r="A20" s="1">
        <v>2</v>
      </c>
      <c r="B20" s="1" t="s">
        <v>103</v>
      </c>
    </row>
    <row r="21" spans="1:2">
      <c r="A21" s="1">
        <v>3</v>
      </c>
      <c r="B21" s="1" t="s">
        <v>104</v>
      </c>
    </row>
    <row r="22" spans="1:2">
      <c r="A22" s="1">
        <v>4</v>
      </c>
      <c r="B22" s="1" t="s">
        <v>105</v>
      </c>
    </row>
    <row r="23" spans="1:2">
      <c r="A23" s="1">
        <v>5</v>
      </c>
      <c r="B23" s="1" t="s">
        <v>106</v>
      </c>
    </row>
    <row r="24" spans="1:2">
      <c r="A24" s="1">
        <v>6</v>
      </c>
      <c r="B24" s="1" t="s">
        <v>107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27F47BA8-1579-4B33-92C1-4DDA7B14D8E0}">
  <ds:schemaRefs/>
</ds:datastoreItem>
</file>

<file path=customXml/itemProps2.xml><?xml version="1.0" encoding="utf-8"?>
<ds:datastoreItem xmlns:ds="http://schemas.openxmlformats.org/officeDocument/2006/customXml" ds:itemID="{7AAA6226-7848-4015-99DA-41034E1C4F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xue song zhou</cp:lastModifiedBy>
  <dcterms:created xsi:type="dcterms:W3CDTF">2006-09-16T00:00:00Z</dcterms:created>
  <dcterms:modified xsi:type="dcterms:W3CDTF">2021-11-15T16:51:55Z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