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isabelbrunetti/Desktop/THESIS/"/>
    </mc:Choice>
  </mc:AlternateContent>
  <xr:revisionPtr revIDLastSave="0" documentId="8_{A25E9340-F318-4145-9AAC-A206A559FE5D}" xr6:coauthVersionLast="45" xr6:coauthVersionMax="45" xr10:uidLastSave="{00000000-0000-0000-0000-000000000000}"/>
  <bookViews>
    <workbookView xWindow="280" yWindow="1080" windowWidth="22340" windowHeight="13140" activeTab="3" xr2:uid="{00000000-000D-0000-FFFF-FFFF00000000}"/>
  </bookViews>
  <sheets>
    <sheet name="0. Overview" sheetId="10" r:id="rId1"/>
    <sheet name="1. Input Data" sheetId="1" r:id="rId2"/>
    <sheet name="2. Data Interpretation" sheetId="2" r:id="rId3"/>
    <sheet name="3. Output" sheetId="3" r:id="rId4"/>
    <sheet name="4. Analysis" sheetId="11" r:id="rId5"/>
    <sheet name="5. Google S2 Grid (optional)" sheetId="12" r:id="rId6"/>
    <sheet name="__Solver__" sheetId="6" state="hidden" r:id="rId7"/>
    <sheet name="__Solver___conflict1624162438" sheetId="7" state="hidden" r:id="rId8"/>
    <sheet name="__Solver___conflict93389759" sheetId="8" state="hidden" r:id="rId9"/>
    <sheet name="__Solver___conflict975740138" sheetId="9" state="hidden" r:id="rId10"/>
  </sheets>
  <externalReferences>
    <externalReference r:id="rId11"/>
    <externalReference r:id="rId12"/>
  </externalReferences>
  <definedNames>
    <definedName name="solver_eng" localSheetId="2" hidden="1">1</definedName>
    <definedName name="solver_lin" localSheetId="2" hidden="1">2</definedName>
    <definedName name="solver_neg" localSheetId="2" hidden="1">1</definedName>
    <definedName name="solver_num" localSheetId="2" hidden="1">0</definedName>
    <definedName name="solver_opt" localSheetId="2" hidden="1">'2. Data Interpretation'!$C$10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2" l="1"/>
  <c r="O22" i="2" s="1"/>
  <c r="P18" i="2"/>
  <c r="P22" i="2" l="1"/>
  <c r="E41" i="1"/>
  <c r="F41" i="1"/>
  <c r="G41" i="1"/>
  <c r="H41" i="1"/>
  <c r="K41" i="1"/>
  <c r="J41" i="1"/>
  <c r="I41" i="1"/>
  <c r="E42" i="1" l="1"/>
  <c r="B6" i="11" l="1"/>
  <c r="C6" i="11"/>
  <c r="F8" i="6"/>
  <c r="D8" i="6"/>
  <c r="C8" i="6"/>
  <c r="A8" i="6"/>
  <c r="F7" i="6"/>
  <c r="E7" i="6"/>
  <c r="D7" i="6"/>
  <c r="C7" i="6"/>
  <c r="A7" i="6"/>
  <c r="F3" i="6"/>
  <c r="E3" i="6"/>
  <c r="D3" i="6"/>
  <c r="C3" i="6"/>
  <c r="B3" i="6"/>
  <c r="F2" i="6"/>
  <c r="D2" i="6"/>
  <c r="C2" i="6"/>
  <c r="A2" i="6"/>
  <c r="AA39" i="2"/>
  <c r="Z39" i="2"/>
  <c r="Y39" i="2"/>
  <c r="X39" i="2"/>
  <c r="AA38" i="2"/>
  <c r="W18" i="2"/>
  <c r="V18" i="2"/>
  <c r="U18" i="2"/>
  <c r="T18" i="2"/>
  <c r="S18" i="2"/>
  <c r="R18" i="2"/>
  <c r="Q18" i="2"/>
  <c r="W22" i="2"/>
  <c r="O18" i="2"/>
  <c r="AA17" i="2"/>
  <c r="Z17" i="2"/>
  <c r="Y17" i="2"/>
  <c r="X17" i="2"/>
  <c r="N17" i="2"/>
  <c r="M17" i="2"/>
  <c r="L17" i="2"/>
  <c r="C8" i="2"/>
  <c r="L42" i="1"/>
  <c r="K42" i="1"/>
  <c r="J42" i="1"/>
  <c r="I42" i="1"/>
  <c r="H42" i="1"/>
  <c r="G42" i="1"/>
  <c r="F42" i="1"/>
  <c r="D42" i="1"/>
  <c r="P28" i="1"/>
  <c r="P32" i="1" s="1"/>
  <c r="AA16" i="2" s="1"/>
  <c r="O28" i="1"/>
  <c r="O32" i="1" s="1"/>
  <c r="Z16" i="2" s="1"/>
  <c r="Z38" i="2" s="1"/>
  <c r="N28" i="1"/>
  <c r="N32" i="1" s="1"/>
  <c r="Y16" i="2" s="1"/>
  <c r="Y38" i="2" s="1"/>
  <c r="M28" i="1"/>
  <c r="M32" i="1" s="1"/>
  <c r="X16" i="2" s="1"/>
  <c r="X38" i="2" s="1"/>
  <c r="L28" i="1"/>
  <c r="L32" i="1" s="1"/>
  <c r="W16" i="2" s="1"/>
  <c r="K28" i="1"/>
  <c r="K32" i="1" s="1"/>
  <c r="V16" i="2" s="1"/>
  <c r="J28" i="1"/>
  <c r="J32" i="1" s="1"/>
  <c r="U16" i="2" s="1"/>
  <c r="I28" i="1"/>
  <c r="I32" i="1" s="1"/>
  <c r="T16" i="2" s="1"/>
  <c r="H28" i="1"/>
  <c r="H32" i="1" s="1"/>
  <c r="S16" i="2" s="1"/>
  <c r="G28" i="1"/>
  <c r="G32" i="1" s="1"/>
  <c r="R16" i="2" s="1"/>
  <c r="F28" i="1"/>
  <c r="F32" i="1" s="1"/>
  <c r="Q16" i="2" s="1"/>
  <c r="E28" i="1"/>
  <c r="E32" i="1" s="1"/>
  <c r="P16" i="2" s="1"/>
  <c r="D28" i="1"/>
  <c r="D32" i="1" s="1"/>
  <c r="C28" i="1"/>
  <c r="C32" i="1" s="1"/>
  <c r="N16" i="2" s="1"/>
  <c r="N38" i="2" s="1"/>
  <c r="B28" i="1"/>
  <c r="B32" i="1" s="1"/>
  <c r="M16" i="2" s="1"/>
  <c r="M38" i="2" s="1"/>
  <c r="A28" i="1"/>
  <c r="A32" i="1" s="1"/>
  <c r="L16" i="2" s="1"/>
  <c r="L38" i="2" s="1"/>
  <c r="R38" i="2" l="1"/>
  <c r="V38" i="2"/>
  <c r="B35" i="1"/>
  <c r="C9" i="2" s="1"/>
  <c r="O16" i="2"/>
  <c r="S38" i="2"/>
  <c r="W38" i="2"/>
  <c r="W23" i="2"/>
  <c r="W39" i="2" s="1"/>
  <c r="P38" i="2"/>
  <c r="T38" i="2"/>
  <c r="Q38" i="2"/>
  <c r="U38" i="2"/>
  <c r="P23" i="2"/>
  <c r="P39" i="2" s="1"/>
  <c r="T22" i="2"/>
  <c r="T23" i="2" s="1"/>
  <c r="T39" i="2" s="1"/>
  <c r="Q22" i="2"/>
  <c r="Q23" i="2" s="1"/>
  <c r="Q39" i="2" s="1"/>
  <c r="U22" i="2"/>
  <c r="U23" i="2" s="1"/>
  <c r="U39" i="2" s="1"/>
  <c r="R22" i="2"/>
  <c r="R23" i="2" s="1"/>
  <c r="R39" i="2" s="1"/>
  <c r="V22" i="2"/>
  <c r="V23" i="2" s="1"/>
  <c r="V39" i="2" s="1"/>
  <c r="S22" i="2"/>
  <c r="S23" i="2" s="1"/>
  <c r="S39" i="2" s="1"/>
  <c r="A6" i="11" l="1"/>
  <c r="H43" i="1"/>
  <c r="F43" i="1"/>
  <c r="J43" i="1"/>
  <c r="K43" i="1"/>
  <c r="L43" i="1"/>
  <c r="I43" i="1"/>
  <c r="E43" i="1"/>
  <c r="G43" i="1"/>
  <c r="O38" i="2"/>
  <c r="O23" i="2"/>
  <c r="O39" i="2" s="1"/>
  <c r="O24" i="2" l="1"/>
  <c r="O25" i="2" s="1"/>
  <c r="O40" i="2"/>
  <c r="O41" i="2" s="1"/>
  <c r="P40" i="2" l="1"/>
  <c r="P41" i="2" s="1"/>
  <c r="P24" i="2"/>
  <c r="P25" i="2" s="1"/>
  <c r="Q24" i="2" l="1"/>
  <c r="Q25" i="2" s="1"/>
  <c r="Q40" i="2"/>
  <c r="Q41" i="2" s="1"/>
  <c r="R24" i="2" l="1"/>
  <c r="R25" i="2" s="1"/>
  <c r="R40" i="2"/>
  <c r="R41" i="2" s="1"/>
  <c r="S24" i="2" l="1"/>
  <c r="S25" i="2" s="1"/>
  <c r="S40" i="2"/>
  <c r="T40" i="2" s="1"/>
  <c r="T24" i="2" l="1"/>
  <c r="U24" i="2" s="1"/>
  <c r="S41" i="2"/>
  <c r="T41" i="2"/>
  <c r="U40" i="2"/>
  <c r="T25" i="2" l="1"/>
  <c r="U25" i="2"/>
  <c r="V24" i="2"/>
  <c r="U41" i="2"/>
  <c r="V40" i="2"/>
  <c r="V41" i="2" l="1"/>
  <c r="W40" i="2"/>
  <c r="W41" i="2" s="1"/>
  <c r="V25" i="2"/>
  <c r="W24" i="2"/>
  <c r="W25" i="2" s="1"/>
</calcChain>
</file>

<file path=xl/sharedStrings.xml><?xml version="1.0" encoding="utf-8"?>
<sst xmlns="http://schemas.openxmlformats.org/spreadsheetml/2006/main" count="149" uniqueCount="109">
  <si>
    <t>Instructions:</t>
  </si>
  <si>
    <t>Input raw data on this sheet. Include time and traffic counts. (Adjust according to time analysis period)</t>
  </si>
  <si>
    <t>Data origin:</t>
  </si>
  <si>
    <t>All traffic counts in current spreadsheet provided by ADOT as heat map data taken from the Forest Avenue intersection in Sedona Arizona.</t>
  </si>
  <si>
    <t>Intersection/Roundabout Information:</t>
  </si>
  <si>
    <t xml:space="preserve">Location: </t>
  </si>
  <si>
    <t>SR 89A &amp; 179 in Sedona, AZ</t>
  </si>
  <si>
    <t xml:space="preserve">No. lanes: </t>
  </si>
  <si>
    <t xml:space="preserve">Speed limit: </t>
  </si>
  <si>
    <t>25 mph</t>
  </si>
  <si>
    <t xml:space="preserve">Distance:  </t>
  </si>
  <si>
    <t>Traffic Counts:</t>
  </si>
  <si>
    <t>Winter</t>
  </si>
  <si>
    <t>Spring</t>
  </si>
  <si>
    <t>Summer</t>
  </si>
  <si>
    <t>Average</t>
  </si>
  <si>
    <t>Final Traffic Counts (account for No. lanes):</t>
  </si>
  <si>
    <t>Assume mu:</t>
  </si>
  <si>
    <t>mu</t>
  </si>
  <si>
    <t>Observed Delay (Hand Calculate) (in hours):</t>
  </si>
  <si>
    <t>How to Calculate Observed Delay:</t>
  </si>
  <si>
    <t>Data interpretation using information given in Sheet 1. Adjust according to analysis period.</t>
  </si>
  <si>
    <t>Given:</t>
  </si>
  <si>
    <t>Assume:</t>
  </si>
  <si>
    <t>Queue formation</t>
  </si>
  <si>
    <t>t0</t>
  </si>
  <si>
    <t>(Queue appears)</t>
  </si>
  <si>
    <t>Max Queue length</t>
  </si>
  <si>
    <t>t2</t>
  </si>
  <si>
    <t>(Peak Queue)</t>
  </si>
  <si>
    <t>Queue dissipates</t>
  </si>
  <si>
    <t>t3</t>
  </si>
  <si>
    <t>(Queue dissipates)</t>
  </si>
  <si>
    <t>Eqn 1.1</t>
  </si>
  <si>
    <t>m</t>
  </si>
  <si>
    <t>∈[0.5,0.66,0.72]</t>
  </si>
  <si>
    <t>constant mu</t>
  </si>
  <si>
    <t>Description of Variable</t>
  </si>
  <si>
    <t>Given</t>
  </si>
  <si>
    <t>Historical Traffic Flow</t>
  </si>
  <si>
    <t>lambda(t)</t>
  </si>
  <si>
    <t>Observed Queue (hr)</t>
  </si>
  <si>
    <t>Q_obs(t) as Y</t>
  </si>
  <si>
    <t>Derived</t>
  </si>
  <si>
    <t>estimated X</t>
  </si>
  <si>
    <t>X</t>
  </si>
  <si>
    <t>Gamma to be estimated</t>
  </si>
  <si>
    <t>Step 2: find mu(t)</t>
  </si>
  <si>
    <t>Calculate</t>
  </si>
  <si>
    <t>Netflow(t)=lambda(t)-mu(t)</t>
  </si>
  <si>
    <t>Eqn 2.1</t>
  </si>
  <si>
    <t>mu (t)=lambda(t)-netflow(t)</t>
  </si>
  <si>
    <t>mu(t)</t>
  </si>
  <si>
    <t>Eqn 2.4</t>
  </si>
  <si>
    <t>Simulated Queue Length Q_s(t+1)= Q_s(t)+lambda(t)-Mu(t)</t>
  </si>
  <si>
    <t>Q_S(t)</t>
  </si>
  <si>
    <t>Time-dependent approximated Waiting Time= Queue(t)/mu(t)</t>
  </si>
  <si>
    <t>w(t)</t>
  </si>
  <si>
    <t>Solve 2:</t>
  </si>
  <si>
    <t>Assume</t>
  </si>
  <si>
    <t>mu (t)</t>
  </si>
  <si>
    <t>mu_new(t)</t>
  </si>
  <si>
    <t>Q_simu_new(t)</t>
  </si>
  <si>
    <t>Time-dependent approximated Waiting Time= Queue(t)/avg mu</t>
  </si>
  <si>
    <t>Reference Equations:</t>
  </si>
  <si>
    <t>Eqn 2.2</t>
  </si>
  <si>
    <t>Eqn 2.3</t>
  </si>
  <si>
    <t>Solve 1:</t>
  </si>
  <si>
    <t>2020161581024852634</t>
  </si>
  <si>
    <t>l0Z5m5kmyu9agfC</t>
  </si>
  <si>
    <t>#ERROR!</t>
  </si>
  <si>
    <t>IGA=</t>
  </si>
  <si>
    <t>K2Id</t>
  </si>
  <si>
    <t>XB5qBV0FW1xVRBVRS1dvXB5qBV0GR11VRAlRS1ZvXB5qAlgZWF1VRBVR</t>
  </si>
  <si>
    <t>XwE=</t>
  </si>
  <si>
    <t/>
  </si>
  <si>
    <t>Xw==</t>
  </si>
  <si>
    <t>Overview:</t>
  </si>
  <si>
    <t>Use Google Maps geographic cell information to interprete results of spreadsheet.</t>
  </si>
  <si>
    <t>Website:</t>
  </si>
  <si>
    <t>http://s2.sidewalklabs.com/regioncoverer/</t>
  </si>
  <si>
    <t>(open source project provided by Sidewalk Labs)</t>
  </si>
  <si>
    <t>How to Use:</t>
  </si>
  <si>
    <t>Step 1: </t>
  </si>
  <si>
    <t>Visit website above and pan to location of interest:</t>
  </si>
  <si>
    <t>Step 2: </t>
  </si>
  <si>
    <t>Pin location of interest by clicking this icon:</t>
  </si>
  <si>
    <t>Step 3: </t>
  </si>
  <si>
    <t>Min level must equal max level for cells to be uniform in size.</t>
  </si>
  <si>
    <t>Step 4: </t>
  </si>
  <si>
    <t>Highlight area of travel using either of these icons (rectangular or circular selection):</t>
  </si>
  <si>
    <t>Step 5: </t>
  </si>
  <si>
    <t>Copy cell "codes" that correspond with area of interest.</t>
  </si>
  <si>
    <t>or</t>
  </si>
  <si>
    <t>Step 1: find Gamma</t>
  </si>
  <si>
    <t>Solve 1st:</t>
  </si>
  <si>
    <t>Solve 2nd:</t>
  </si>
  <si>
    <t>Symbol</t>
  </si>
  <si>
    <t>mu difference:</t>
  </si>
  <si>
    <t>Eqn 2.5</t>
  </si>
  <si>
    <t>Results Extracted from Design:</t>
  </si>
  <si>
    <t>Calibration Results</t>
  </si>
  <si>
    <t>Inflow Rate</t>
  </si>
  <si>
    <t>Outflow Rate</t>
  </si>
  <si>
    <t>Oversaturate Factor</t>
  </si>
  <si>
    <t>gamma</t>
  </si>
  <si>
    <t>Queue = w*mu</t>
  </si>
  <si>
    <t>Simulated scenario:</t>
  </si>
  <si>
    <t>0.5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</si>
</sst>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%"/>
    <numFmt numFmtId="165" formatCode="0.000_ "/>
    <numFmt numFmtId="166" formatCode="0.0000"/>
    <numFmt numFmtId="167" formatCode="0.00000"/>
    <numFmt numFmtId="168" formatCode="0.000"/>
  </numFmts>
  <fonts count="37">
    <font>
      <sz val="11"/>
      <color theme="1"/>
      <name val="Arial"/>
      <charset val="134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i/>
      <sz val="14"/>
      <color rgb="FF000000"/>
      <name val="Calibri"/>
      <family val="2"/>
    </font>
    <font>
      <sz val="11"/>
      <color theme="1"/>
      <name val="Microsoft YaHei"/>
      <family val="2"/>
      <charset val="134"/>
    </font>
    <font>
      <b/>
      <i/>
      <sz val="11"/>
      <color rgb="FF666666"/>
      <name val="Calibri"/>
      <family val="2"/>
    </font>
    <font>
      <sz val="12"/>
      <color rgb="FFDB430D"/>
      <name val="Calibri"/>
      <family val="2"/>
    </font>
    <font>
      <sz val="12"/>
      <color theme="1"/>
      <name val="Calibri"/>
      <family val="2"/>
    </font>
    <font>
      <sz val="11"/>
      <color rgb="FF666666"/>
      <name val="Calibri"/>
      <family val="2"/>
    </font>
    <font>
      <i/>
      <sz val="11"/>
      <color theme="5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name val="Calibri"/>
      <family val="2"/>
      <scheme val="major"/>
    </font>
    <font>
      <sz val="11"/>
      <color rgb="FF674EA7"/>
      <name val="Calibri"/>
      <family val="2"/>
      <scheme val="major"/>
    </font>
    <font>
      <i/>
      <sz val="11"/>
      <color rgb="FFED7D31"/>
      <name val="Calibri"/>
      <family val="2"/>
    </font>
    <font>
      <sz val="11"/>
      <color theme="9"/>
      <name val="Calibri"/>
      <family val="2"/>
      <scheme val="major"/>
    </font>
    <font>
      <sz val="11"/>
      <color theme="7"/>
      <name val="Calibri"/>
      <family val="2"/>
      <scheme val="major"/>
    </font>
    <font>
      <sz val="12"/>
      <color theme="5"/>
      <name val="Calibri"/>
      <family val="2"/>
    </font>
    <font>
      <sz val="12"/>
      <color rgb="FFED7D31"/>
      <name val="Calibri"/>
      <family val="2"/>
    </font>
    <font>
      <sz val="12"/>
      <color rgb="FFA64D79"/>
      <name val="Calibri"/>
      <family val="2"/>
    </font>
    <font>
      <b/>
      <i/>
      <sz val="12"/>
      <color theme="1"/>
      <name val="Calibri"/>
      <family val="2"/>
    </font>
    <font>
      <sz val="11"/>
      <color rgb="FF000000"/>
      <name val="Roboto"/>
      <charset val="134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2"/>
      <color theme="4"/>
      <name val="Calibri"/>
      <family val="2"/>
    </font>
    <font>
      <b/>
      <i/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u/>
      <sz val="11"/>
      <color rgb="FF0000FF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</font>
    <font>
      <b/>
      <sz val="11"/>
      <color rgb="FF7030A0"/>
      <name val="Calibri"/>
      <family val="2"/>
      <scheme val="major"/>
    </font>
    <font>
      <sz val="11"/>
      <color rgb="FF7030A0"/>
      <name val="Calibri"/>
      <family val="2"/>
      <scheme val="major"/>
    </font>
    <font>
      <sz val="11"/>
      <color rgb="FFFF0000"/>
      <name val="Calibri"/>
      <family val="2"/>
    </font>
    <font>
      <sz val="11"/>
      <color rgb="FF7030A0"/>
      <name val="Calibri"/>
      <family val="2"/>
    </font>
    <font>
      <b/>
      <i/>
      <sz val="14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7CAAC"/>
        <bgColor rgb="FFF7CAAC"/>
      </patternFill>
    </fill>
    <fill>
      <patternFill patternType="solid">
        <fgColor rgb="FFFF7C8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7C80"/>
        <bgColor rgb="FFD9D2E9"/>
      </patternFill>
    </fill>
    <fill>
      <patternFill patternType="solid">
        <fgColor rgb="FFE1C5F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rgb="FFD9EAD3"/>
      </patternFill>
    </fill>
    <fill>
      <patternFill patternType="solid">
        <fgColor theme="9" tint="0.39997558519241921"/>
        <bgColor rgb="FFD9EAD3"/>
      </patternFill>
    </fill>
    <fill>
      <patternFill patternType="solid">
        <fgColor theme="9" tint="0.59999389629810485"/>
        <bgColor rgb="FFD9EAD3"/>
      </patternFill>
    </fill>
    <fill>
      <patternFill patternType="solid">
        <fgColor theme="7" tint="0.59999389629810485"/>
        <bgColor rgb="FFD9EAD3"/>
      </patternFill>
    </fill>
    <fill>
      <patternFill patternType="solid">
        <fgColor theme="7" tint="0.39997558519241921"/>
        <bgColor rgb="FFD9EAD3"/>
      </patternFill>
    </fill>
    <fill>
      <patternFill patternType="solid">
        <fgColor rgb="FFFFC000"/>
        <bgColor rgb="FFD9EAD3"/>
      </patternFill>
    </fill>
    <fill>
      <patternFill patternType="solid">
        <fgColor rgb="FFF1961F"/>
        <bgColor rgb="FFD9EAD3"/>
      </patternFill>
    </fill>
    <fill>
      <patternFill patternType="solid">
        <fgColor rgb="FFFF6601"/>
        <bgColor rgb="FFD9EAD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9" fillId="0" borderId="0" applyNumberFormat="0" applyFill="0" applyBorder="0" applyAlignment="0" applyProtection="0">
      <alignment vertical="center"/>
    </xf>
  </cellStyleXfs>
  <cellXfs count="13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2" fontId="1" fillId="0" borderId="0" xfId="0" applyNumberFormat="1" applyFont="1" applyFill="1" applyAlignment="1">
      <alignment vertical="center"/>
    </xf>
    <xf numFmtId="2" fontId="2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2" fontId="2" fillId="0" borderId="0" xfId="0" applyNumberFormat="1" applyFont="1" applyFill="1" applyAlignment="1"/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7" fillId="0" borderId="3" xfId="0" applyFont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2" fillId="5" borderId="1" xfId="0" applyFont="1" applyFill="1" applyBorder="1" applyAlignment="1">
      <alignment vertical="center"/>
    </xf>
    <xf numFmtId="0" fontId="12" fillId="5" borderId="2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right" vertical="center"/>
    </xf>
    <xf numFmtId="0" fontId="17" fillId="6" borderId="3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right" vertical="center"/>
    </xf>
    <xf numFmtId="0" fontId="12" fillId="7" borderId="3" xfId="0" applyFont="1" applyFill="1" applyBorder="1" applyAlignment="1">
      <alignment vertical="center"/>
    </xf>
    <xf numFmtId="0" fontId="12" fillId="0" borderId="3" xfId="0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164" fontId="1" fillId="0" borderId="0" xfId="0" applyNumberFormat="1" applyFont="1" applyFill="1" applyAlignment="1">
      <alignment vertical="center"/>
    </xf>
    <xf numFmtId="0" fontId="18" fillId="6" borderId="2" xfId="0" applyFont="1" applyFill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2" fillId="8" borderId="2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49" fontId="19" fillId="0" borderId="0" xfId="0" applyNumberFormat="1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2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2" fillId="7" borderId="3" xfId="0" applyFont="1" applyFill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1" fillId="6" borderId="1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20" fontId="24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vertical="center"/>
    </xf>
    <xf numFmtId="0" fontId="1" fillId="9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7" fillId="0" borderId="0" xfId="0" applyFont="1" applyAlignment="1">
      <alignment horizontal="right" vertical="center"/>
    </xf>
    <xf numFmtId="0" fontId="1" fillId="10" borderId="0" xfId="0" applyFont="1" applyFill="1" applyAlignment="1">
      <alignment vertical="center"/>
    </xf>
    <xf numFmtId="0" fontId="2" fillId="10" borderId="0" xfId="0" applyFont="1" applyFill="1" applyAlignment="1"/>
    <xf numFmtId="165" fontId="2" fillId="10" borderId="0" xfId="0" applyNumberFormat="1" applyFont="1" applyFill="1" applyAlignment="1"/>
    <xf numFmtId="165" fontId="0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" fillId="10" borderId="0" xfId="0" applyFont="1" applyFill="1" applyAlignment="1">
      <alignment vertical="center"/>
    </xf>
    <xf numFmtId="0" fontId="1" fillId="0" borderId="0" xfId="0" quotePrefix="1" applyFont="1" applyAlignment="1">
      <alignment vertical="center"/>
    </xf>
    <xf numFmtId="0" fontId="29" fillId="0" borderId="0" xfId="1" applyAlignment="1">
      <alignment vertical="center"/>
    </xf>
    <xf numFmtId="0" fontId="30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7" fillId="3" borderId="3" xfId="0" applyFont="1" applyFill="1" applyBorder="1" applyAlignment="1">
      <alignment vertical="center"/>
    </xf>
    <xf numFmtId="0" fontId="31" fillId="0" borderId="3" xfId="0" applyFont="1" applyFill="1" applyBorder="1" applyAlignment="1">
      <alignment horizontal="right" vertical="center"/>
    </xf>
    <xf numFmtId="0" fontId="0" fillId="4" borderId="3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10" fillId="0" borderId="8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0" fillId="0" borderId="3" xfId="0" applyFont="1" applyBorder="1" applyAlignment="1">
      <alignment horizontal="right" vertical="center"/>
    </xf>
    <xf numFmtId="0" fontId="14" fillId="6" borderId="3" xfId="0" applyFont="1" applyFill="1" applyBorder="1" applyAlignment="1">
      <alignment horizontal="right" vertical="center"/>
    </xf>
    <xf numFmtId="0" fontId="32" fillId="0" borderId="0" xfId="0" applyFont="1" applyFill="1" applyBorder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2" fillId="5" borderId="3" xfId="0" applyFont="1" applyFill="1" applyBorder="1" applyAlignment="1">
      <alignment vertical="center"/>
    </xf>
    <xf numFmtId="166" fontId="12" fillId="5" borderId="3" xfId="0" applyNumberFormat="1" applyFont="1" applyFill="1" applyBorder="1" applyAlignment="1">
      <alignment vertical="center"/>
    </xf>
    <xf numFmtId="168" fontId="12" fillId="5" borderId="3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3" fillId="0" borderId="12" xfId="0" applyFont="1" applyBorder="1" applyAlignment="1">
      <alignment horizontal="right" vertical="center"/>
    </xf>
    <xf numFmtId="0" fontId="13" fillId="0" borderId="9" xfId="0" applyFont="1" applyBorder="1" applyAlignment="1">
      <alignment horizontal="right" vertical="center"/>
    </xf>
    <xf numFmtId="0" fontId="13" fillId="5" borderId="2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" fillId="11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0" fillId="13" borderId="0" xfId="0" applyFont="1" applyFill="1" applyAlignment="1">
      <alignment vertical="center"/>
    </xf>
    <xf numFmtId="0" fontId="1" fillId="14" borderId="0" xfId="0" applyFont="1" applyFill="1" applyAlignment="1">
      <alignment vertical="center"/>
    </xf>
    <xf numFmtId="0" fontId="1" fillId="15" borderId="0" xfId="0" applyFont="1" applyFill="1" applyAlignment="1">
      <alignment vertical="center"/>
    </xf>
    <xf numFmtId="0" fontId="1" fillId="16" borderId="0" xfId="0" applyFont="1" applyFill="1" applyAlignment="1">
      <alignment vertical="center"/>
    </xf>
    <xf numFmtId="0" fontId="2" fillId="17" borderId="0" xfId="0" applyFont="1" applyFill="1" applyAlignment="1"/>
    <xf numFmtId="166" fontId="2" fillId="19" borderId="0" xfId="0" applyNumberFormat="1" applyFont="1" applyFill="1" applyAlignment="1"/>
    <xf numFmtId="166" fontId="2" fillId="20" borderId="0" xfId="0" applyNumberFormat="1" applyFont="1" applyFill="1" applyAlignment="1"/>
    <xf numFmtId="166" fontId="2" fillId="21" borderId="0" xfId="0" applyNumberFormat="1" applyFont="1" applyFill="1" applyAlignment="1"/>
    <xf numFmtId="167" fontId="2" fillId="19" borderId="0" xfId="0" applyNumberFormat="1" applyFont="1" applyFill="1" applyAlignment="1"/>
    <xf numFmtId="0" fontId="2" fillId="17" borderId="0" xfId="0" applyFont="1" applyFill="1" applyAlignment="1">
      <alignment vertical="center"/>
    </xf>
    <xf numFmtId="166" fontId="2" fillId="18" borderId="0" xfId="0" applyNumberFormat="1" applyFont="1" applyFill="1" applyAlignment="1">
      <alignment vertical="center"/>
    </xf>
    <xf numFmtId="0" fontId="2" fillId="16" borderId="0" xfId="0" applyFont="1" applyFill="1" applyAlignment="1">
      <alignment vertical="center"/>
    </xf>
    <xf numFmtId="0" fontId="30" fillId="4" borderId="6" xfId="0" applyFont="1" applyFill="1" applyBorder="1" applyAlignment="1">
      <alignment horizontal="right" vertical="center"/>
    </xf>
    <xf numFmtId="0" fontId="0" fillId="4" borderId="11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1961F"/>
      <color rgb="FFFF6601"/>
      <color rgb="FFFF7C80"/>
      <color rgb="FFE1C5F1"/>
      <color rgb="FFD3B2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Traffic</a:t>
            </a:r>
            <a:r>
              <a:rPr lang="en-US" altLang="zh-CN" baseline="0"/>
              <a:t> Counts</a:t>
            </a:r>
            <a:endParaRPr lang="zh-CN" altLang="en-US"/>
          </a:p>
        </c:rich>
      </c:tx>
      <c:layout>
        <c:manualLayout>
          <c:xMode val="edge"/>
          <c:yMode val="edge"/>
          <c:x val="0.411601561643234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'[1]1. Input Data'!$D$31:$L$31</c:f>
              <c:numCache>
                <c:formatCode>General</c:formatCode>
                <c:ptCount val="9"/>
                <c:pt idx="0">
                  <c:v>0.41666666666666702</c:v>
                </c:pt>
                <c:pt idx="1">
                  <c:v>0.45833333333333298</c:v>
                </c:pt>
                <c:pt idx="2">
                  <c:v>0.5</c:v>
                </c:pt>
                <c:pt idx="3">
                  <c:v>0.54166666666666696</c:v>
                </c:pt>
                <c:pt idx="4">
                  <c:v>0.58333333333333304</c:v>
                </c:pt>
                <c:pt idx="5">
                  <c:v>0.625</c:v>
                </c:pt>
                <c:pt idx="6">
                  <c:v>0.66666666666666696</c:v>
                </c:pt>
                <c:pt idx="7">
                  <c:v>0.70833333333333304</c:v>
                </c:pt>
                <c:pt idx="8">
                  <c:v>0.75</c:v>
                </c:pt>
              </c:numCache>
            </c:numRef>
          </c:xVal>
          <c:yVal>
            <c:numRef>
              <c:f>'[1]1. Input Data'!$D$32:$L$32</c:f>
              <c:numCache>
                <c:formatCode>General</c:formatCode>
                <c:ptCount val="9"/>
                <c:pt idx="0">
                  <c:v>1366</c:v>
                </c:pt>
                <c:pt idx="1">
                  <c:v>1556</c:v>
                </c:pt>
                <c:pt idx="2">
                  <c:v>1652</c:v>
                </c:pt>
                <c:pt idx="3">
                  <c:v>1700</c:v>
                </c:pt>
                <c:pt idx="4">
                  <c:v>1732</c:v>
                </c:pt>
                <c:pt idx="5">
                  <c:v>1708</c:v>
                </c:pt>
                <c:pt idx="6">
                  <c:v>1646</c:v>
                </c:pt>
                <c:pt idx="7">
                  <c:v>1388</c:v>
                </c:pt>
                <c:pt idx="8">
                  <c:v>1170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9245-AFBF-6C1DAE0CE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13416"/>
        <c:axId val="649512104"/>
      </c:scatterChart>
      <c:valAx>
        <c:axId val="649513416"/>
        <c:scaling>
          <c:orientation val="minMax"/>
          <c:min val="0.3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12104"/>
        <c:crosses val="autoZero"/>
        <c:crossBetween val="midCat"/>
        <c:majorUnit val="0.05"/>
        <c:minorUnit val="0.01"/>
      </c:valAx>
      <c:valAx>
        <c:axId val="6495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1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Observed</a:t>
            </a:r>
            <a:r>
              <a:rPr lang="en-US" altLang="zh-CN" baseline="0"/>
              <a:t> Delay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Input Data'!$D$40:$L$40</c:f>
              <c:numCache>
                <c:formatCode>h:mm</c:formatCode>
                <c:ptCount val="9"/>
                <c:pt idx="0">
                  <c:v>0.41666666666666702</c:v>
                </c:pt>
                <c:pt idx="1">
                  <c:v>0.45833333333333298</c:v>
                </c:pt>
                <c:pt idx="2">
                  <c:v>0.5</c:v>
                </c:pt>
                <c:pt idx="3">
                  <c:v>0.54166666666666696</c:v>
                </c:pt>
                <c:pt idx="4">
                  <c:v>0.58333333333333304</c:v>
                </c:pt>
                <c:pt idx="5">
                  <c:v>0.625</c:v>
                </c:pt>
                <c:pt idx="6">
                  <c:v>0.66666666666666696</c:v>
                </c:pt>
                <c:pt idx="7">
                  <c:v>0.70833333333333304</c:v>
                </c:pt>
                <c:pt idx="8">
                  <c:v>0.75</c:v>
                </c:pt>
              </c:numCache>
            </c:numRef>
          </c:xVal>
          <c:yVal>
            <c:numRef>
              <c:f>'1. Input Data'!$D$41:$L$41</c:f>
              <c:numCache>
                <c:formatCode>0.0000</c:formatCode>
                <c:ptCount val="9"/>
                <c:pt idx="0" formatCode="General">
                  <c:v>0</c:v>
                </c:pt>
                <c:pt idx="1">
                  <c:v>2.5499999999999998</c:v>
                </c:pt>
                <c:pt idx="2">
                  <c:v>8.8000000000000007</c:v>
                </c:pt>
                <c:pt idx="3">
                  <c:v>10.8</c:v>
                </c:pt>
                <c:pt idx="4">
                  <c:v>13.8</c:v>
                </c:pt>
                <c:pt idx="5">
                  <c:v>8.8000000000000007</c:v>
                </c:pt>
                <c:pt idx="6" formatCode="0.00000">
                  <c:v>4.8</c:v>
                </c:pt>
                <c:pt idx="7">
                  <c:v>1.8</c:v>
                </c:pt>
                <c:pt idx="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25-4945-B688-CA932D1E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78016"/>
        <c:axId val="694778672"/>
      </c:scatterChart>
      <c:valAx>
        <c:axId val="694778016"/>
        <c:scaling>
          <c:orientation val="minMax"/>
          <c:min val="0.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78672"/>
        <c:crosses val="autoZero"/>
        <c:crossBetween val="midCat"/>
      </c:valAx>
      <c:valAx>
        <c:axId val="6947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Time-dependent Queue 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'2. Data Interpretation'!$O$15:$V$15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'2. Data Interpretation'!$O$24:$V$24</c:f>
              <c:numCache>
                <c:formatCode>General</c:formatCode>
                <c:ptCount val="8"/>
                <c:pt idx="0">
                  <c:v>0</c:v>
                </c:pt>
                <c:pt idx="1">
                  <c:v>64.050229982164637</c:v>
                </c:pt>
                <c:pt idx="2">
                  <c:v>137.25049281892416</c:v>
                </c:pt>
                <c:pt idx="3">
                  <c:v>183.00065709189892</c:v>
                </c:pt>
                <c:pt idx="4">
                  <c:v>183.00065709189903</c:v>
                </c:pt>
                <c:pt idx="5">
                  <c:v>137.25049281892427</c:v>
                </c:pt>
                <c:pt idx="6">
                  <c:v>64.050229982164751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1-CA48-9B57-58EAFC5B4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75893"/>
        <c:axId val="1798599868"/>
      </c:lineChart>
      <c:catAx>
        <c:axId val="23807589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99868"/>
        <c:crosses val="autoZero"/>
        <c:auto val="1"/>
        <c:lblAlgn val="ctr"/>
        <c:lblOffset val="100"/>
        <c:noMultiLvlLbl val="1"/>
      </c:catAx>
      <c:valAx>
        <c:axId val="179859986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 Q(t)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75893"/>
        <c:crosses val="autoZero"/>
        <c:crossBetween val="between"/>
      </c:valAx>
    </c:plotArea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Time-dependent Delay and Observed Delay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0478232195365"/>
          <c:y val="0.184140381891752"/>
          <c:w val="0.84414774618931099"/>
          <c:h val="0.49818009006962799"/>
        </c:manualLayout>
      </c:layout>
      <c:lineChart>
        <c:grouping val="standard"/>
        <c:varyColors val="1"/>
        <c:ser>
          <c:idx val="0"/>
          <c:order val="0"/>
          <c:tx>
            <c:v>estimated</c:v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'2. Data Interpretation'!$O$15:$W$15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'2. Data Interpretation'!$O$24:$W$24</c:f>
              <c:numCache>
                <c:formatCode>General</c:formatCode>
                <c:ptCount val="9"/>
                <c:pt idx="0">
                  <c:v>0</c:v>
                </c:pt>
                <c:pt idx="1">
                  <c:v>64.050229982164637</c:v>
                </c:pt>
                <c:pt idx="2">
                  <c:v>137.25049281892416</c:v>
                </c:pt>
                <c:pt idx="3">
                  <c:v>183.00065709189892</c:v>
                </c:pt>
                <c:pt idx="4">
                  <c:v>183.00065709189903</c:v>
                </c:pt>
                <c:pt idx="5">
                  <c:v>137.25049281892427</c:v>
                </c:pt>
                <c:pt idx="6">
                  <c:v>64.050229982164751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2-5B4B-BA12-0325FB8428FC}"/>
            </c:ext>
          </c:extLst>
        </c:ser>
        <c:ser>
          <c:idx val="1"/>
          <c:order val="1"/>
          <c:tx>
            <c:v>observed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'2. Data Interpretation'!$O$15:$W$15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'2. Data Interpretation'!$O$17:$W$17</c:f>
              <c:numCache>
                <c:formatCode>0.0000</c:formatCode>
                <c:ptCount val="9"/>
                <c:pt idx="0" formatCode="General">
                  <c:v>0</c:v>
                </c:pt>
                <c:pt idx="1">
                  <c:v>64.4166666666667</c:v>
                </c:pt>
                <c:pt idx="2" formatCode="0.000">
                  <c:v>128.833333333333</c:v>
                </c:pt>
                <c:pt idx="3" formatCode="0.000">
                  <c:v>154.6</c:v>
                </c:pt>
                <c:pt idx="4" formatCode="0.000">
                  <c:v>193.25</c:v>
                </c:pt>
                <c:pt idx="5" formatCode="0.000">
                  <c:v>154.6</c:v>
                </c:pt>
                <c:pt idx="6" formatCode="0.000">
                  <c:v>128.833333333333</c:v>
                </c:pt>
                <c:pt idx="7">
                  <c:v>64.4166666666667</c:v>
                </c:pt>
                <c:pt idx="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2-5B4B-BA12-0325FB84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542301"/>
        <c:axId val="555034087"/>
      </c:lineChart>
      <c:catAx>
        <c:axId val="7825423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</a:t>
                </a:r>
              </a:p>
            </c:rich>
          </c:tx>
          <c:layout>
            <c:manualLayout>
              <c:xMode val="edge"/>
              <c:yMode val="edge"/>
              <c:x val="0.50520013123359597"/>
              <c:y val="0.76868000874890596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34087"/>
        <c:crosses val="autoZero"/>
        <c:auto val="1"/>
        <c:lblAlgn val="ctr"/>
        <c:lblOffset val="100"/>
        <c:noMultiLvlLbl val="1"/>
      </c:catAx>
      <c:valAx>
        <c:axId val="55503408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(hours)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42301"/>
        <c:crosses val="autoZero"/>
        <c:crossBetween val="between"/>
      </c:valAx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Vehicle Inflow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'2. Data Interpretation'!$F$15:$AC$15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Data Interpretation'!$F$16:$AC$16</c:f>
              <c:numCache>
                <c:formatCode>General</c:formatCode>
                <c:ptCount val="24"/>
                <c:pt idx="6">
                  <c:v>162</c:v>
                </c:pt>
                <c:pt idx="7">
                  <c:v>331</c:v>
                </c:pt>
                <c:pt idx="8">
                  <c:v>495</c:v>
                </c:pt>
                <c:pt idx="9">
                  <c:v>683</c:v>
                </c:pt>
                <c:pt idx="10">
                  <c:v>778</c:v>
                </c:pt>
                <c:pt idx="11">
                  <c:v>826</c:v>
                </c:pt>
                <c:pt idx="12">
                  <c:v>850</c:v>
                </c:pt>
                <c:pt idx="13">
                  <c:v>866</c:v>
                </c:pt>
                <c:pt idx="14">
                  <c:v>854</c:v>
                </c:pt>
                <c:pt idx="15">
                  <c:v>823</c:v>
                </c:pt>
                <c:pt idx="16">
                  <c:v>694</c:v>
                </c:pt>
                <c:pt idx="17">
                  <c:v>585</c:v>
                </c:pt>
                <c:pt idx="18">
                  <c:v>510</c:v>
                </c:pt>
                <c:pt idx="19">
                  <c:v>386</c:v>
                </c:pt>
                <c:pt idx="20">
                  <c:v>255</c:v>
                </c:pt>
                <c:pt idx="2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B-C644-83B0-9162E9520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266226"/>
        <c:axId val="633295489"/>
      </c:lineChart>
      <c:catAx>
        <c:axId val="103026622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95489"/>
        <c:crosses val="autoZero"/>
        <c:auto val="1"/>
        <c:lblAlgn val="ctr"/>
        <c:lblOffset val="100"/>
        <c:noMultiLvlLbl val="1"/>
      </c:catAx>
      <c:valAx>
        <c:axId val="63329548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Historical Lambda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66226"/>
        <c:crosses val="autoZero"/>
        <c:crossBetween val="between"/>
      </c:valAx>
    </c:plotArea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Observed, Approximated  and Estimated Delay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55603363931691E-2"/>
          <c:y val="0.12471042271412527"/>
          <c:w val="0.9168379517170967"/>
          <c:h val="0.71264871407683728"/>
        </c:manualLayout>
      </c:layout>
      <c:scatterChart>
        <c:scatterStyle val="smoothMarker"/>
        <c:varyColors val="0"/>
        <c:ser>
          <c:idx val="0"/>
          <c:order val="0"/>
          <c:tx>
            <c:v>Approximated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Data Interpretation'!$O$37:$W$37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'2. Data Interpretation'!$O$25:$W$25</c:f>
              <c:numCache>
                <c:formatCode>General</c:formatCode>
                <c:ptCount val="9"/>
                <c:pt idx="0">
                  <c:v>0</c:v>
                </c:pt>
                <c:pt idx="1">
                  <c:v>4.9651341071445456</c:v>
                </c:pt>
                <c:pt idx="2">
                  <c:v>10.639573086738308</c:v>
                </c:pt>
                <c:pt idx="3">
                  <c:v>14.186097448984412</c:v>
                </c:pt>
                <c:pt idx="4">
                  <c:v>14.186097448984421</c:v>
                </c:pt>
                <c:pt idx="5">
                  <c:v>10.639573086738315</c:v>
                </c:pt>
                <c:pt idx="6">
                  <c:v>4.9651341071445545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5747-ABF0-FD03A7EDD1C4}"/>
            </c:ext>
          </c:extLst>
        </c:ser>
        <c:ser>
          <c:idx val="1"/>
          <c:order val="1"/>
          <c:tx>
            <c:v>Estimated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Data Interpretation'!$O$37:$W$37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'2. Data Interpretation'!$O$41:$W$41</c:f>
              <c:numCache>
                <c:formatCode>General</c:formatCode>
                <c:ptCount val="9"/>
                <c:pt idx="0">
                  <c:v>0</c:v>
                </c:pt>
                <c:pt idx="1">
                  <c:v>2.5410619389675104</c:v>
                </c:pt>
                <c:pt idx="2">
                  <c:v>5.7649621506659816</c:v>
                </c:pt>
                <c:pt idx="3">
                  <c:v>6.9403475441715612</c:v>
                </c:pt>
                <c:pt idx="4">
                  <c:v>4.7015415740223077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57-5747-ABF0-FD03A7EDD1C4}"/>
            </c:ext>
          </c:extLst>
        </c:ser>
        <c:ser>
          <c:idx val="2"/>
          <c:order val="2"/>
          <c:tx>
            <c:v>Observed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Data Interpretation'!$O$15:$W$15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'1. Input Data'!$D$41:$L$41</c:f>
              <c:numCache>
                <c:formatCode>0.0000</c:formatCode>
                <c:ptCount val="9"/>
                <c:pt idx="0" formatCode="General">
                  <c:v>0</c:v>
                </c:pt>
                <c:pt idx="1">
                  <c:v>2.5499999999999998</c:v>
                </c:pt>
                <c:pt idx="2">
                  <c:v>8.8000000000000007</c:v>
                </c:pt>
                <c:pt idx="3">
                  <c:v>10.8</c:v>
                </c:pt>
                <c:pt idx="4">
                  <c:v>13.8</c:v>
                </c:pt>
                <c:pt idx="5">
                  <c:v>8.8000000000000007</c:v>
                </c:pt>
                <c:pt idx="6" formatCode="0.00000">
                  <c:v>4.8</c:v>
                </c:pt>
                <c:pt idx="7">
                  <c:v>1.8</c:v>
                </c:pt>
                <c:pt idx="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9-DC46-99A4-503A486B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54424"/>
        <c:axId val="649955080"/>
      </c:scatterChart>
      <c:valAx>
        <c:axId val="649954424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55080"/>
        <c:crosses val="autoZero"/>
        <c:crossBetween val="midCat"/>
      </c:valAx>
      <c:valAx>
        <c:axId val="64995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5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Variables</a:t>
            </a:r>
            <a:r>
              <a:rPr lang="en-US" baseline="0"/>
              <a:t> as a Function of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Historical Lamda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Data Interpretation'!$O$15:$W$15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'2. Data Interpretation'!$O$16:$W$16</c:f>
              <c:numCache>
                <c:formatCode>General</c:formatCode>
                <c:ptCount val="9"/>
                <c:pt idx="0">
                  <c:v>683</c:v>
                </c:pt>
                <c:pt idx="1">
                  <c:v>778</c:v>
                </c:pt>
                <c:pt idx="2">
                  <c:v>826</c:v>
                </c:pt>
                <c:pt idx="3">
                  <c:v>850</c:v>
                </c:pt>
                <c:pt idx="4">
                  <c:v>866</c:v>
                </c:pt>
                <c:pt idx="5">
                  <c:v>854</c:v>
                </c:pt>
                <c:pt idx="6">
                  <c:v>823</c:v>
                </c:pt>
                <c:pt idx="7">
                  <c:v>694</c:v>
                </c:pt>
                <c:pt idx="8">
                  <c:v>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4-B54E-AB8A-D090F1B73E40}"/>
            </c:ext>
          </c:extLst>
        </c:ser>
        <c:ser>
          <c:idx val="1"/>
          <c:order val="1"/>
          <c:tx>
            <c:v>Observed Queue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Data Interpretation'!$O$15:$W$15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'2. Data Interpretation'!$O$17:$W$17</c:f>
              <c:numCache>
                <c:formatCode>0.0000</c:formatCode>
                <c:ptCount val="9"/>
                <c:pt idx="0" formatCode="General">
                  <c:v>0</c:v>
                </c:pt>
                <c:pt idx="1">
                  <c:v>64.4166666666667</c:v>
                </c:pt>
                <c:pt idx="2" formatCode="0.000">
                  <c:v>128.833333333333</c:v>
                </c:pt>
                <c:pt idx="3" formatCode="0.000">
                  <c:v>154.6</c:v>
                </c:pt>
                <c:pt idx="4" formatCode="0.000">
                  <c:v>193.25</c:v>
                </c:pt>
                <c:pt idx="5" formatCode="0.000">
                  <c:v>154.6</c:v>
                </c:pt>
                <c:pt idx="6" formatCode="0.000">
                  <c:v>128.833333333333</c:v>
                </c:pt>
                <c:pt idx="7">
                  <c:v>64.4166666666667</c:v>
                </c:pt>
                <c:pt idx="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E4-B54E-AB8A-D090F1B73E40}"/>
            </c:ext>
          </c:extLst>
        </c:ser>
        <c:ser>
          <c:idx val="5"/>
          <c:order val="2"/>
          <c:tx>
            <c:v>Netflow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Data Interpretation'!$O$15:$W$15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'2. Data Interpretation'!$O$22:$W$22</c:f>
              <c:numCache>
                <c:formatCode>General</c:formatCode>
                <c:ptCount val="9"/>
                <c:pt idx="0">
                  <c:v>0</c:v>
                </c:pt>
                <c:pt idx="1">
                  <c:v>64.050229982164609</c:v>
                </c:pt>
                <c:pt idx="2">
                  <c:v>73.200262836759549</c:v>
                </c:pt>
                <c:pt idx="3">
                  <c:v>45.750164272974722</c:v>
                </c:pt>
                <c:pt idx="4">
                  <c:v>0</c:v>
                </c:pt>
                <c:pt idx="5">
                  <c:v>-45.750164272974722</c:v>
                </c:pt>
                <c:pt idx="6">
                  <c:v>-73.200262836759549</c:v>
                </c:pt>
                <c:pt idx="7">
                  <c:v>-64.050229982164609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E4-B54E-AB8A-D090F1B73E40}"/>
            </c:ext>
          </c:extLst>
        </c:ser>
        <c:ser>
          <c:idx val="6"/>
          <c:order val="3"/>
          <c:tx>
            <c:v>Capacity (Mu)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'2. Data Interpretation'!$O$15:$W$15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'2. Data Interpretation'!$O$23:$W$23</c:f>
              <c:numCache>
                <c:formatCode>General</c:formatCode>
                <c:ptCount val="9"/>
                <c:pt idx="0">
                  <c:v>683</c:v>
                </c:pt>
                <c:pt idx="1">
                  <c:v>713.94977001783536</c:v>
                </c:pt>
                <c:pt idx="2">
                  <c:v>752.79973716324048</c:v>
                </c:pt>
                <c:pt idx="3">
                  <c:v>804.24983572702524</c:v>
                </c:pt>
                <c:pt idx="4">
                  <c:v>866</c:v>
                </c:pt>
                <c:pt idx="5">
                  <c:v>899.75016427297476</c:v>
                </c:pt>
                <c:pt idx="6">
                  <c:v>896.20026283675952</c:v>
                </c:pt>
                <c:pt idx="7">
                  <c:v>758.05022998216464</c:v>
                </c:pt>
                <c:pt idx="8">
                  <c:v>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E4-B54E-AB8A-D090F1B73E40}"/>
            </c:ext>
          </c:extLst>
        </c:ser>
        <c:ser>
          <c:idx val="7"/>
          <c:order val="4"/>
          <c:tx>
            <c:v>Simulated Queue Length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'2. Data Interpretation'!$O$15:$W$15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'2. Data Interpretation'!$O$24:$W$24</c:f>
              <c:numCache>
                <c:formatCode>General</c:formatCode>
                <c:ptCount val="9"/>
                <c:pt idx="0">
                  <c:v>0</c:v>
                </c:pt>
                <c:pt idx="1">
                  <c:v>64.050229982164637</c:v>
                </c:pt>
                <c:pt idx="2">
                  <c:v>137.25049281892416</c:v>
                </c:pt>
                <c:pt idx="3">
                  <c:v>183.00065709189892</c:v>
                </c:pt>
                <c:pt idx="4">
                  <c:v>183.00065709189903</c:v>
                </c:pt>
                <c:pt idx="5">
                  <c:v>137.25049281892427</c:v>
                </c:pt>
                <c:pt idx="6">
                  <c:v>64.050229982164751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E4-B54E-AB8A-D090F1B7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4805"/>
        <c:axId val="808083401"/>
      </c:scatterChart>
      <c:valAx>
        <c:axId val="889348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83401"/>
        <c:crosses val="autoZero"/>
        <c:crossBetween val="midCat"/>
      </c:valAx>
      <c:valAx>
        <c:axId val="8080834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Vehicles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480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Estimated</a:t>
            </a:r>
            <a:r>
              <a:rPr lang="en-US" sz="1800" baseline="0"/>
              <a:t> Incoming Flow Compared to Capacity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lamda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'2. Data Interpretation'!$O$37:$W$37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'2. Data Interpretation'!$O$38:$W$38</c:f>
              <c:numCache>
                <c:formatCode>General</c:formatCode>
                <c:ptCount val="9"/>
                <c:pt idx="0">
                  <c:v>683</c:v>
                </c:pt>
                <c:pt idx="1">
                  <c:v>778</c:v>
                </c:pt>
                <c:pt idx="2">
                  <c:v>826</c:v>
                </c:pt>
                <c:pt idx="3">
                  <c:v>850</c:v>
                </c:pt>
                <c:pt idx="4">
                  <c:v>866</c:v>
                </c:pt>
                <c:pt idx="5">
                  <c:v>854</c:v>
                </c:pt>
                <c:pt idx="6">
                  <c:v>823</c:v>
                </c:pt>
                <c:pt idx="7">
                  <c:v>694</c:v>
                </c:pt>
                <c:pt idx="8">
                  <c:v>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6-C447-A0CE-2710D2CBD81C}"/>
            </c:ext>
          </c:extLst>
        </c:ser>
        <c:ser>
          <c:idx val="2"/>
          <c:order val="1"/>
          <c:tx>
            <c:v>mu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'2. Data Interpretation'!$O$37:$W$37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'2. Data Interpretation'!$O$39:$W$39</c:f>
              <c:numCache>
                <c:formatCode>General</c:formatCode>
                <c:ptCount val="9"/>
                <c:pt idx="0">
                  <c:v>713</c:v>
                </c:pt>
                <c:pt idx="1">
                  <c:v>743.94977001783536</c:v>
                </c:pt>
                <c:pt idx="2">
                  <c:v>782.79973716324048</c:v>
                </c:pt>
                <c:pt idx="3">
                  <c:v>834.24983572702524</c:v>
                </c:pt>
                <c:pt idx="4">
                  <c:v>896</c:v>
                </c:pt>
                <c:pt idx="5">
                  <c:v>929.75016427297476</c:v>
                </c:pt>
                <c:pt idx="6">
                  <c:v>926.20026283675952</c:v>
                </c:pt>
                <c:pt idx="7">
                  <c:v>788.05022998216464</c:v>
                </c:pt>
                <c:pt idx="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6-C447-A0CE-2710D2CB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41903"/>
        <c:axId val="137254847"/>
      </c:lineChart>
      <c:catAx>
        <c:axId val="13734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4847"/>
        <c:crosses val="autoZero"/>
        <c:auto val="1"/>
        <c:lblAlgn val="ctr"/>
        <c:lblOffset val="100"/>
        <c:noMultiLvlLbl val="0"/>
      </c:catAx>
      <c:valAx>
        <c:axId val="1372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Vehicles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Incoming</a:t>
            </a:r>
            <a:r>
              <a:rPr lang="en-US" sz="1800" baseline="0"/>
              <a:t> Flow Compared to Capacity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Lamda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'2. Data Interpretation'!$O$15:$W$15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'2. Data Interpretation'!$O$16:$W$16</c:f>
              <c:numCache>
                <c:formatCode>General</c:formatCode>
                <c:ptCount val="9"/>
                <c:pt idx="0">
                  <c:v>683</c:v>
                </c:pt>
                <c:pt idx="1">
                  <c:v>778</c:v>
                </c:pt>
                <c:pt idx="2">
                  <c:v>826</c:v>
                </c:pt>
                <c:pt idx="3">
                  <c:v>850</c:v>
                </c:pt>
                <c:pt idx="4">
                  <c:v>866</c:v>
                </c:pt>
                <c:pt idx="5">
                  <c:v>854</c:v>
                </c:pt>
                <c:pt idx="6">
                  <c:v>823</c:v>
                </c:pt>
                <c:pt idx="7">
                  <c:v>694</c:v>
                </c:pt>
                <c:pt idx="8">
                  <c:v>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6-5D4E-933C-BA68464F0F85}"/>
            </c:ext>
          </c:extLst>
        </c:ser>
        <c:ser>
          <c:idx val="2"/>
          <c:order val="1"/>
          <c:tx>
            <c:v>Mu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'2. Data Interpretation'!$O$15:$W$15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'2. Data Interpretation'!$O$23:$W$23</c:f>
              <c:numCache>
                <c:formatCode>General</c:formatCode>
                <c:ptCount val="9"/>
                <c:pt idx="0">
                  <c:v>683</c:v>
                </c:pt>
                <c:pt idx="1">
                  <c:v>713.94977001783536</c:v>
                </c:pt>
                <c:pt idx="2">
                  <c:v>752.79973716324048</c:v>
                </c:pt>
                <c:pt idx="3">
                  <c:v>804.24983572702524</c:v>
                </c:pt>
                <c:pt idx="4">
                  <c:v>866</c:v>
                </c:pt>
                <c:pt idx="5">
                  <c:v>899.75016427297476</c:v>
                </c:pt>
                <c:pt idx="6">
                  <c:v>896.20026283675952</c:v>
                </c:pt>
                <c:pt idx="7">
                  <c:v>758.05022998216464</c:v>
                </c:pt>
                <c:pt idx="8">
                  <c:v>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6-5D4E-933C-BA68464F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27151"/>
        <c:axId val="81303647"/>
      </c:lineChart>
      <c:catAx>
        <c:axId val="8142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3647"/>
        <c:crosses val="autoZero"/>
        <c:auto val="1"/>
        <c:lblAlgn val="ctr"/>
        <c:lblOffset val="100"/>
        <c:noMultiLvlLbl val="0"/>
      </c:catAx>
      <c:valAx>
        <c:axId val="813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Vehicles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1</xdr:row>
      <xdr:rowOff>127000</xdr:rowOff>
    </xdr:from>
    <xdr:to>
      <xdr:col>8</xdr:col>
      <xdr:colOff>348241</xdr:colOff>
      <xdr:row>26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7BF3B-2901-9042-BFA1-C9A36A81E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368300"/>
          <a:ext cx="5504441" cy="433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254000</xdr:colOff>
      <xdr:row>14</xdr:row>
      <xdr:rowOff>107950</xdr:rowOff>
    </xdr:from>
    <xdr:to>
      <xdr:col>23</xdr:col>
      <xdr:colOff>304800</xdr:colOff>
      <xdr:row>29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217488</xdr:colOff>
      <xdr:row>33</xdr:row>
      <xdr:rowOff>201613</xdr:rowOff>
    </xdr:from>
    <xdr:to>
      <xdr:col>23</xdr:col>
      <xdr:colOff>431800</xdr:colOff>
      <xdr:row>50</xdr:row>
      <xdr:rowOff>4763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76200</xdr:colOff>
      <xdr:row>45</xdr:row>
      <xdr:rowOff>114300</xdr:rowOff>
    </xdr:from>
    <xdr:ext cx="3162300" cy="365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B47910-B788-B54B-BBD8-2059B9524584}"/>
                </a:ext>
              </a:extLst>
            </xdr:cNvPr>
            <xdr:cNvSpPr txBox="1"/>
          </xdr:nvSpPr>
          <xdr:spPr>
            <a:xfrm>
              <a:off x="76200" y="8864600"/>
              <a:ext cx="3162300" cy="36586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𝑤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𝑠𝑒𝑔𝑚𝑒𝑛𝑡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𝑑𝑖𝑠𝑡𝑎𝑛𝑐𝑒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𝑐𝑜𝑛𝑔𝑒𝑠𝑡𝑖𝑜𝑛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𝑓𝑟𝑒𝑒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𝑓𝑙𝑜𝑤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B47910-B788-B54B-BBD8-2059B9524584}"/>
                </a:ext>
              </a:extLst>
            </xdr:cNvPr>
            <xdr:cNvSpPr txBox="1"/>
          </xdr:nvSpPr>
          <xdr:spPr>
            <a:xfrm>
              <a:off x="76200" y="8864600"/>
              <a:ext cx="3162300" cy="36586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𝑤(𝑡)=𝑠𝑒𝑔𝑚𝑒𝑛𝑡 𝑑𝑖𝑠𝑡𝑎𝑛𝑐𝑒(1/𝑣_𝑐𝑜𝑛𝑔𝑒𝑠𝑡𝑖𝑜𝑛 −1/𝑣_(𝑓𝑟𝑒𝑒−𝑓𝑙𝑜𝑤) 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7</xdr:row>
      <xdr:rowOff>161925</xdr:rowOff>
    </xdr:from>
    <xdr:ext cx="200025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239000" y="142875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/>
        </a:p>
      </xdr:txBody>
    </xdr:sp>
    <xdr:clientData fLocksWithSheet="0"/>
  </xdr:oneCellAnchor>
  <xdr:oneCellAnchor>
    <xdr:from>
      <xdr:col>0</xdr:col>
      <xdr:colOff>561975</xdr:colOff>
      <xdr:row>46</xdr:row>
      <xdr:rowOff>133350</xdr:rowOff>
    </xdr:from>
    <xdr:ext cx="1885950" cy="7620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1975" y="8166100"/>
          <a:ext cx="1885950" cy="7620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542925</xdr:colOff>
      <xdr:row>55</xdr:row>
      <xdr:rowOff>161925</xdr:rowOff>
    </xdr:from>
    <xdr:ext cx="8161569" cy="236380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2925" y="9665521"/>
          <a:ext cx="8161569" cy="236380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542925</xdr:colOff>
      <xdr:row>51</xdr:row>
      <xdr:rowOff>95250</xdr:rowOff>
    </xdr:from>
    <xdr:ext cx="3733800" cy="58102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2925" y="9032875"/>
          <a:ext cx="373380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517072</xdr:colOff>
      <xdr:row>71</xdr:row>
      <xdr:rowOff>172357</xdr:rowOff>
    </xdr:from>
    <xdr:to>
      <xdr:col>3</xdr:col>
      <xdr:colOff>344714</xdr:colOff>
      <xdr:row>73</xdr:row>
      <xdr:rowOff>164154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6890" y="12729210"/>
          <a:ext cx="2157730" cy="353695"/>
        </a:xfrm>
        <a:prstGeom prst="rect">
          <a:avLst/>
        </a:prstGeom>
      </xdr:spPr>
    </xdr:pic>
    <xdr:clientData/>
  </xdr:twoCellAnchor>
  <xdr:oneCellAnchor>
    <xdr:from>
      <xdr:col>0</xdr:col>
      <xdr:colOff>485680</xdr:colOff>
      <xdr:row>75</xdr:row>
      <xdr:rowOff>55931</xdr:rowOff>
    </xdr:from>
    <xdr:ext cx="204068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A905CBA-26A1-8841-A39E-D008F0EB3C2C}"/>
                </a:ext>
              </a:extLst>
            </xdr:cNvPr>
            <xdr:cNvSpPr txBox="1"/>
          </xdr:nvSpPr>
          <xdr:spPr>
            <a:xfrm>
              <a:off x="485680" y="13782194"/>
              <a:ext cx="2040687" cy="21916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𝑁𝑒𝑡𝑓𝑙𝑜𝑤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A905CBA-26A1-8841-A39E-D008F0EB3C2C}"/>
                </a:ext>
              </a:extLst>
            </xdr:cNvPr>
            <xdr:cNvSpPr txBox="1"/>
          </xdr:nvSpPr>
          <xdr:spPr>
            <a:xfrm>
              <a:off x="485680" y="13782194"/>
              <a:ext cx="2040687" cy="21916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𝑁𝑒𝑡𝑓𝑙𝑜𝑤(𝑡)=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𝜆(𝑡)−𝜇(𝑡)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496166</xdr:colOff>
      <xdr:row>2</xdr:row>
      <xdr:rowOff>172027</xdr:rowOff>
    </xdr:from>
    <xdr:ext cx="6553200" cy="40671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867641</xdr:colOff>
      <xdr:row>2</xdr:row>
      <xdr:rowOff>172027</xdr:rowOff>
    </xdr:from>
    <xdr:ext cx="7086600" cy="40671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867641</xdr:colOff>
      <xdr:row>27</xdr:row>
      <xdr:rowOff>123825</xdr:rowOff>
    </xdr:from>
    <xdr:ext cx="7086600" cy="394335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9525</xdr:colOff>
      <xdr:row>8</xdr:row>
      <xdr:rowOff>161925</xdr:rowOff>
    </xdr:from>
    <xdr:ext cx="200025" cy="276225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505575" y="160972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/>
        </a:p>
      </xdr:txBody>
    </xdr:sp>
    <xdr:clientData fLocksWithSheet="0"/>
  </xdr:oneCellAnchor>
  <xdr:twoCellAnchor>
    <xdr:from>
      <xdr:col>8</xdr:col>
      <xdr:colOff>289459</xdr:colOff>
      <xdr:row>57</xdr:row>
      <xdr:rowOff>79993</xdr:rowOff>
    </xdr:from>
    <xdr:to>
      <xdr:col>15</xdr:col>
      <xdr:colOff>1052286</xdr:colOff>
      <xdr:row>82</xdr:row>
      <xdr:rowOff>72571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580571</xdr:colOff>
      <xdr:row>2</xdr:row>
      <xdr:rowOff>72572</xdr:rowOff>
    </xdr:from>
    <xdr:to>
      <xdr:col>23</xdr:col>
      <xdr:colOff>163284</xdr:colOff>
      <xdr:row>27</xdr:row>
      <xdr:rowOff>36286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A91AEE-359F-3845-9BE2-A79D83568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326572</xdr:colOff>
      <xdr:row>57</xdr:row>
      <xdr:rowOff>72570</xdr:rowOff>
    </xdr:from>
    <xdr:to>
      <xdr:col>7</xdr:col>
      <xdr:colOff>961572</xdr:colOff>
      <xdr:row>81</xdr:row>
      <xdr:rowOff>90715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2E3456-4201-0B47-81D5-06BFF1995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417286</xdr:colOff>
      <xdr:row>28</xdr:row>
      <xdr:rowOff>90713</xdr:rowOff>
    </xdr:from>
    <xdr:to>
      <xdr:col>7</xdr:col>
      <xdr:colOff>562429</xdr:colOff>
      <xdr:row>49</xdr:row>
      <xdr:rowOff>145143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DBCFEC-56DD-DE40-8F00-538303182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</xdr:colOff>
      <xdr:row>5</xdr:row>
      <xdr:rowOff>152400</xdr:rowOff>
    </xdr:from>
    <xdr:to>
      <xdr:col>5</xdr:col>
      <xdr:colOff>622300</xdr:colOff>
      <xdr:row>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7F6A2-B8FE-7746-BD56-8C58AA3FD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8300" y="1257300"/>
          <a:ext cx="571500" cy="355600"/>
        </a:xfrm>
        <a:prstGeom prst="rect">
          <a:avLst/>
        </a:prstGeom>
      </xdr:spPr>
    </xdr:pic>
    <xdr:clientData/>
  </xdr:twoCellAnchor>
  <xdr:twoCellAnchor editAs="oneCell">
    <xdr:from>
      <xdr:col>4</xdr:col>
      <xdr:colOff>330200</xdr:colOff>
      <xdr:row>7</xdr:row>
      <xdr:rowOff>114300</xdr:rowOff>
    </xdr:from>
    <xdr:to>
      <xdr:col>5</xdr:col>
      <xdr:colOff>0</xdr:colOff>
      <xdr:row>9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67238A-E3CE-2C44-AD94-BB5DA2FC3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2200" y="1612900"/>
          <a:ext cx="4953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482600</xdr:colOff>
      <xdr:row>11</xdr:row>
      <xdr:rowOff>88900</xdr:rowOff>
    </xdr:from>
    <xdr:to>
      <xdr:col>8</xdr:col>
      <xdr:colOff>152400</xdr:colOff>
      <xdr:row>13</xdr:row>
      <xdr:rowOff>101600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E76569-3FFE-7E4A-BDC9-A147E15AD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2400300"/>
          <a:ext cx="495300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11</xdr:row>
      <xdr:rowOff>127000</xdr:rowOff>
    </xdr:from>
    <xdr:to>
      <xdr:col>9</xdr:col>
      <xdr:colOff>266700</xdr:colOff>
      <xdr:row>13</xdr:row>
      <xdr:rowOff>165100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B9A101E-9F7D-3B40-860C-2AC516D4A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1700" y="2438400"/>
          <a:ext cx="444500" cy="444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Software/TIM/Documents/SP-X-V4%20-%20All%20Seas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ductMix_Exampl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Input Data"/>
      <sheetName val="2. Data Interpretation"/>
      <sheetName val="3. Output"/>
      <sheetName val="4. Analysis"/>
      <sheetName val="5. Google S2 Grid"/>
      <sheetName val="__Solver__"/>
      <sheetName val="__Solver___conflict1624162438"/>
      <sheetName val="__Solver___conflict93389759"/>
      <sheetName val="__Solver___conflict975740138"/>
    </sheetNames>
    <sheetDataSet>
      <sheetData sheetId="0">
        <row r="31">
          <cell r="D31">
            <v>0.41666666666666702</v>
          </cell>
          <cell r="E31">
            <v>0.45833333333333298</v>
          </cell>
          <cell r="F31">
            <v>0.5</v>
          </cell>
          <cell r="G31">
            <v>0.54166666666666696</v>
          </cell>
          <cell r="H31">
            <v>0.58333333333333304</v>
          </cell>
          <cell r="I31">
            <v>0.625</v>
          </cell>
          <cell r="J31">
            <v>0.66666666666666696</v>
          </cell>
          <cell r="K31">
            <v>0.70833333333333304</v>
          </cell>
          <cell r="L31">
            <v>0.75</v>
          </cell>
        </row>
        <row r="32">
          <cell r="D32">
            <v>1366</v>
          </cell>
          <cell r="E32">
            <v>1556</v>
          </cell>
          <cell r="F32">
            <v>1652</v>
          </cell>
          <cell r="G32">
            <v>1700</v>
          </cell>
          <cell r="H32">
            <v>1732</v>
          </cell>
          <cell r="I32">
            <v>1708</v>
          </cell>
          <cell r="J32">
            <v>1646</v>
          </cell>
          <cell r="K32">
            <v>1388</v>
          </cell>
          <cell r="L32">
            <v>1170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Mix_Examp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s2.sidewalklabs.com/regioncover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5"/>
  <sheetViews>
    <sheetView workbookViewId="0">
      <selection activeCell="K25" sqref="K25"/>
    </sheetView>
  </sheetViews>
  <sheetFormatPr baseColWidth="10" defaultColWidth="9" defaultRowHeight="14"/>
  <sheetData>
    <row r="1" spans="1:1" ht="19">
      <c r="A1" s="5" t="s">
        <v>77</v>
      </c>
    </row>
    <row r="35" spans="1:1" ht="19">
      <c r="A35" s="5"/>
    </row>
  </sheetData>
  <pageMargins left="0.75" right="0.75" top="1" bottom="1" header="0.5" footer="0.5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2.66406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48"/>
  <sheetViews>
    <sheetView workbookViewId="0">
      <selection activeCell="B8" sqref="B8"/>
    </sheetView>
  </sheetViews>
  <sheetFormatPr baseColWidth="10" defaultColWidth="12.6640625" defaultRowHeight="15" customHeight="1"/>
  <cols>
    <col min="1" max="1" width="14.6640625" customWidth="1"/>
    <col min="6" max="10" width="13.6640625"/>
    <col min="17" max="17" width="5.6640625" customWidth="1"/>
    <col min="18" max="18" width="2.83203125" style="116" customWidth="1"/>
  </cols>
  <sheetData>
    <row r="1" spans="1:16" ht="15" customHeight="1">
      <c r="A1" s="5" t="s">
        <v>0</v>
      </c>
      <c r="B1" s="1" t="s">
        <v>1</v>
      </c>
    </row>
    <row r="3" spans="1:16" ht="15" customHeight="1">
      <c r="A3" s="68" t="s">
        <v>2</v>
      </c>
      <c r="B3" s="69" t="s">
        <v>3</v>
      </c>
    </row>
    <row r="5" spans="1:16" ht="15" customHeight="1">
      <c r="A5" s="68" t="s">
        <v>4</v>
      </c>
    </row>
    <row r="6" spans="1:16" ht="15" customHeight="1">
      <c r="A6" s="57" t="s">
        <v>5</v>
      </c>
      <c r="B6" s="70" t="s">
        <v>6</v>
      </c>
    </row>
    <row r="7" spans="1:16" ht="15" customHeight="1">
      <c r="A7" s="57" t="s">
        <v>7</v>
      </c>
      <c r="B7" s="70">
        <v>1</v>
      </c>
    </row>
    <row r="8" spans="1:16" ht="15" customHeight="1">
      <c r="A8" s="57" t="s">
        <v>8</v>
      </c>
      <c r="B8" s="1" t="s">
        <v>9</v>
      </c>
    </row>
    <row r="9" spans="1:16" ht="15" customHeight="1">
      <c r="A9" s="57" t="s">
        <v>10</v>
      </c>
      <c r="B9" s="1" t="s">
        <v>108</v>
      </c>
    </row>
    <row r="12" spans="1:16" ht="19">
      <c r="A12" s="5" t="s">
        <v>11</v>
      </c>
    </row>
    <row r="13" spans="1:16" ht="16">
      <c r="A13" s="68"/>
    </row>
    <row r="14" spans="1:16" ht="16">
      <c r="A14" s="68" t="s">
        <v>12</v>
      </c>
    </row>
    <row r="15" spans="1:16" ht="14">
      <c r="A15" s="71">
        <v>0.29166666666666702</v>
      </c>
      <c r="B15" s="71">
        <v>0.33333333333333298</v>
      </c>
      <c r="C15" s="71">
        <v>0.375</v>
      </c>
      <c r="D15" s="71">
        <v>0.41666666666666702</v>
      </c>
      <c r="E15" s="71">
        <v>0.45833333333333298</v>
      </c>
      <c r="F15" s="71">
        <v>0.5</v>
      </c>
      <c r="G15" s="71">
        <v>0.54166666666666696</v>
      </c>
      <c r="H15" s="71">
        <v>0.58333333333333304</v>
      </c>
      <c r="I15" s="71">
        <v>0.625</v>
      </c>
      <c r="J15" s="71">
        <v>0.66666666666666696</v>
      </c>
      <c r="K15" s="71">
        <v>0.70833333333333304</v>
      </c>
      <c r="L15" s="71">
        <v>0.75</v>
      </c>
      <c r="M15" s="71">
        <v>0.79166666666666696</v>
      </c>
      <c r="N15" s="71">
        <v>0.83333333333333304</v>
      </c>
      <c r="O15" s="71">
        <v>0.875</v>
      </c>
      <c r="P15" s="71">
        <v>0.91666666666666696</v>
      </c>
    </row>
    <row r="16" spans="1:16" ht="14">
      <c r="A16" s="72">
        <v>115</v>
      </c>
      <c r="B16" s="72">
        <v>271</v>
      </c>
      <c r="C16" s="72">
        <v>329</v>
      </c>
      <c r="D16" s="72">
        <v>492</v>
      </c>
      <c r="E16" s="72">
        <v>624</v>
      </c>
      <c r="F16" s="72">
        <v>711</v>
      </c>
      <c r="G16" s="72">
        <v>738</v>
      </c>
      <c r="H16" s="72">
        <v>756</v>
      </c>
      <c r="I16" s="72">
        <v>732</v>
      </c>
      <c r="J16" s="72">
        <v>690</v>
      </c>
      <c r="K16" s="72">
        <v>584</v>
      </c>
      <c r="L16" s="72">
        <v>505</v>
      </c>
      <c r="M16" s="72">
        <v>445</v>
      </c>
      <c r="N16" s="72">
        <v>244</v>
      </c>
      <c r="O16" s="72">
        <v>170</v>
      </c>
      <c r="P16" s="72">
        <v>113</v>
      </c>
    </row>
    <row r="18" spans="1:16" ht="16">
      <c r="A18" s="68" t="s">
        <v>13</v>
      </c>
    </row>
    <row r="19" spans="1:16" ht="14">
      <c r="A19" s="71">
        <v>0.29166666666666702</v>
      </c>
      <c r="B19" s="71">
        <v>0.33333333333333298</v>
      </c>
      <c r="C19" s="71">
        <v>0.375</v>
      </c>
      <c r="D19" s="71">
        <v>0.41666666666666702</v>
      </c>
      <c r="E19" s="71">
        <v>0.45833333333333298</v>
      </c>
      <c r="F19" s="71">
        <v>0.5</v>
      </c>
      <c r="G19" s="71">
        <v>0.54166666666666696</v>
      </c>
      <c r="H19" s="71">
        <v>0.58333333333333304</v>
      </c>
      <c r="I19" s="71">
        <v>0.625</v>
      </c>
      <c r="J19" s="71">
        <v>0.66666666666666696</v>
      </c>
      <c r="K19" s="71">
        <v>0.70833333333333304</v>
      </c>
      <c r="L19" s="71">
        <v>0.75</v>
      </c>
      <c r="M19" s="71">
        <v>0.79166666666666696</v>
      </c>
      <c r="N19" s="71">
        <v>0.83333333333333304</v>
      </c>
      <c r="O19" s="71">
        <v>0.875</v>
      </c>
      <c r="P19" s="71">
        <v>0.91666666666666696</v>
      </c>
    </row>
    <row r="20" spans="1:16" ht="14">
      <c r="A20" s="72">
        <v>164</v>
      </c>
      <c r="B20" s="72">
        <v>337</v>
      </c>
      <c r="C20" s="72">
        <v>541</v>
      </c>
      <c r="D20" s="72">
        <v>754</v>
      </c>
      <c r="E20" s="72">
        <v>827</v>
      </c>
      <c r="F20" s="72">
        <v>882</v>
      </c>
      <c r="G20" s="72">
        <v>929</v>
      </c>
      <c r="H20" s="72">
        <v>963</v>
      </c>
      <c r="I20" s="72">
        <v>972</v>
      </c>
      <c r="J20" s="72">
        <v>974</v>
      </c>
      <c r="K20" s="72">
        <v>818</v>
      </c>
      <c r="L20" s="72">
        <v>683</v>
      </c>
      <c r="M20" s="72">
        <v>595</v>
      </c>
      <c r="N20" s="72">
        <v>493</v>
      </c>
      <c r="O20" s="72">
        <v>279</v>
      </c>
      <c r="P20" s="72">
        <v>173</v>
      </c>
    </row>
    <row r="22" spans="1:16" ht="16">
      <c r="A22" s="68" t="s">
        <v>14</v>
      </c>
    </row>
    <row r="23" spans="1:16" ht="14">
      <c r="A23" s="71">
        <v>0.29166666666666702</v>
      </c>
      <c r="B23" s="71">
        <v>0.33333333333333298</v>
      </c>
      <c r="C23" s="71">
        <v>0.375</v>
      </c>
      <c r="D23" s="71">
        <v>0.41666666666666702</v>
      </c>
      <c r="E23" s="71">
        <v>0.45833333333333298</v>
      </c>
      <c r="F23" s="71">
        <v>0.5</v>
      </c>
      <c r="G23" s="71">
        <v>0.54166666666666696</v>
      </c>
      <c r="H23" s="71">
        <v>0.58333333333333304</v>
      </c>
      <c r="I23" s="71">
        <v>0.625</v>
      </c>
      <c r="J23" s="71">
        <v>0.66666666666666696</v>
      </c>
      <c r="K23" s="71">
        <v>0.70833333333333304</v>
      </c>
      <c r="L23" s="71">
        <v>0.75</v>
      </c>
      <c r="M23" s="71">
        <v>0.79166666666666696</v>
      </c>
      <c r="N23" s="71">
        <v>0.83333333333333304</v>
      </c>
      <c r="O23" s="71">
        <v>0.875</v>
      </c>
      <c r="P23" s="71">
        <v>0.91666666666666696</v>
      </c>
    </row>
    <row r="24" spans="1:16" ht="14">
      <c r="A24" s="72">
        <v>206</v>
      </c>
      <c r="B24" s="72">
        <v>385</v>
      </c>
      <c r="C24" s="72">
        <v>614</v>
      </c>
      <c r="D24" s="72">
        <v>803</v>
      </c>
      <c r="E24" s="72">
        <v>883</v>
      </c>
      <c r="F24" s="72">
        <v>885</v>
      </c>
      <c r="G24" s="72">
        <v>883</v>
      </c>
      <c r="H24" s="72">
        <v>879</v>
      </c>
      <c r="I24" s="72">
        <v>858</v>
      </c>
      <c r="J24" s="72">
        <v>803</v>
      </c>
      <c r="K24" s="72">
        <v>680</v>
      </c>
      <c r="L24" s="72">
        <v>567</v>
      </c>
      <c r="M24" s="72">
        <v>490</v>
      </c>
      <c r="N24" s="72">
        <v>420</v>
      </c>
      <c r="O24" s="72">
        <v>314</v>
      </c>
      <c r="P24" s="72">
        <v>179</v>
      </c>
    </row>
    <row r="26" spans="1:16" ht="16">
      <c r="A26" s="68" t="s">
        <v>15</v>
      </c>
    </row>
    <row r="27" spans="1:16" ht="14">
      <c r="A27" s="71">
        <v>0.29166666666666702</v>
      </c>
      <c r="B27" s="71">
        <v>0.33333333333333298</v>
      </c>
      <c r="C27" s="71">
        <v>0.375</v>
      </c>
      <c r="D27" s="71">
        <v>0.41666666666666702</v>
      </c>
      <c r="E27" s="71">
        <v>0.45833333333333298</v>
      </c>
      <c r="F27" s="71">
        <v>0.5</v>
      </c>
      <c r="G27" s="71">
        <v>0.54166666666666696</v>
      </c>
      <c r="H27" s="71">
        <v>0.58333333333333304</v>
      </c>
      <c r="I27" s="71">
        <v>0.625</v>
      </c>
      <c r="J27" s="71">
        <v>0.66666666666666696</v>
      </c>
      <c r="K27" s="71">
        <v>0.70833333333333304</v>
      </c>
      <c r="L27" s="71">
        <v>0.75</v>
      </c>
      <c r="M27" s="71">
        <v>0.79166666666666696</v>
      </c>
      <c r="N27" s="71">
        <v>0.83333333333333304</v>
      </c>
      <c r="O27" s="71">
        <v>0.875</v>
      </c>
      <c r="P27" s="71">
        <v>0.91666666666666696</v>
      </c>
    </row>
    <row r="28" spans="1:16">
      <c r="A28" s="1">
        <f t="shared" ref="A28:P28" si="0">ROUNDUP(SUM(A16,A20,A24)/3,0)</f>
        <v>162</v>
      </c>
      <c r="B28" s="1">
        <f t="shared" si="0"/>
        <v>331</v>
      </c>
      <c r="C28" s="1">
        <f t="shared" si="0"/>
        <v>495</v>
      </c>
      <c r="D28" s="1">
        <f t="shared" si="0"/>
        <v>683</v>
      </c>
      <c r="E28" s="1">
        <f t="shared" si="0"/>
        <v>778</v>
      </c>
      <c r="F28" s="1">
        <f t="shared" si="0"/>
        <v>826</v>
      </c>
      <c r="G28" s="1">
        <f t="shared" si="0"/>
        <v>850</v>
      </c>
      <c r="H28" s="1">
        <f t="shared" si="0"/>
        <v>866</v>
      </c>
      <c r="I28" s="1">
        <f t="shared" si="0"/>
        <v>854</v>
      </c>
      <c r="J28" s="1">
        <f t="shared" si="0"/>
        <v>823</v>
      </c>
      <c r="K28" s="1">
        <f t="shared" si="0"/>
        <v>694</v>
      </c>
      <c r="L28" s="1">
        <f t="shared" si="0"/>
        <v>585</v>
      </c>
      <c r="M28" s="1">
        <f t="shared" si="0"/>
        <v>510</v>
      </c>
      <c r="N28" s="1">
        <f t="shared" si="0"/>
        <v>386</v>
      </c>
      <c r="O28" s="1">
        <f t="shared" si="0"/>
        <v>255</v>
      </c>
      <c r="P28" s="1">
        <f t="shared" si="0"/>
        <v>155</v>
      </c>
    </row>
    <row r="30" spans="1:16" ht="16">
      <c r="A30" s="73" t="s">
        <v>16</v>
      </c>
    </row>
    <row r="31" spans="1:16" ht="14">
      <c r="A31" s="71">
        <v>0.29166666666666702</v>
      </c>
      <c r="B31" s="71">
        <v>0.33333333333333298</v>
      </c>
      <c r="C31" s="71">
        <v>0.375</v>
      </c>
      <c r="D31" s="71">
        <v>0.41666666666666702</v>
      </c>
      <c r="E31" s="71">
        <v>0.45833333333333298</v>
      </c>
      <c r="F31" s="71">
        <v>0.5</v>
      </c>
      <c r="G31" s="71">
        <v>0.54166666666666696</v>
      </c>
      <c r="H31" s="71">
        <v>0.58333333333333304</v>
      </c>
      <c r="I31" s="71">
        <v>0.625</v>
      </c>
      <c r="J31" s="71">
        <v>0.66666666666666696</v>
      </c>
      <c r="K31" s="71">
        <v>0.70833333333333304</v>
      </c>
      <c r="L31" s="71">
        <v>0.75</v>
      </c>
      <c r="M31" s="71">
        <v>0.79166666666666696</v>
      </c>
      <c r="N31" s="71">
        <v>0.83333333333333304</v>
      </c>
      <c r="O31" s="71">
        <v>0.875</v>
      </c>
      <c r="P31" s="71">
        <v>0.91666666666666696</v>
      </c>
    </row>
    <row r="32" spans="1:16">
      <c r="A32" s="74">
        <f>A28*$B$7</f>
        <v>162</v>
      </c>
      <c r="B32" s="74">
        <f t="shared" ref="B32:P32" si="1">B28*$B$7</f>
        <v>331</v>
      </c>
      <c r="C32" s="74">
        <f t="shared" si="1"/>
        <v>495</v>
      </c>
      <c r="D32" s="74">
        <f t="shared" si="1"/>
        <v>683</v>
      </c>
      <c r="E32" s="74">
        <f t="shared" si="1"/>
        <v>778</v>
      </c>
      <c r="F32" s="74">
        <f t="shared" si="1"/>
        <v>826</v>
      </c>
      <c r="G32" s="74">
        <f t="shared" si="1"/>
        <v>850</v>
      </c>
      <c r="H32" s="74">
        <f t="shared" si="1"/>
        <v>866</v>
      </c>
      <c r="I32" s="74">
        <f t="shared" si="1"/>
        <v>854</v>
      </c>
      <c r="J32" s="74">
        <f t="shared" si="1"/>
        <v>823</v>
      </c>
      <c r="K32" s="74">
        <f t="shared" si="1"/>
        <v>694</v>
      </c>
      <c r="L32" s="74">
        <f t="shared" si="1"/>
        <v>585</v>
      </c>
      <c r="M32" s="74">
        <f t="shared" si="1"/>
        <v>510</v>
      </c>
      <c r="N32" s="74">
        <f t="shared" si="1"/>
        <v>386</v>
      </c>
      <c r="O32" s="74">
        <f t="shared" si="1"/>
        <v>255</v>
      </c>
      <c r="P32" s="74">
        <f t="shared" si="1"/>
        <v>155</v>
      </c>
    </row>
    <row r="34" spans="1:16" ht="19">
      <c r="A34" s="111" t="s">
        <v>17</v>
      </c>
      <c r="B34" s="75"/>
    </row>
    <row r="35" spans="1:16">
      <c r="A35" s="76" t="s">
        <v>18</v>
      </c>
      <c r="B35" s="112">
        <f>ROUNDUP(AVERAGE(D32:L32),0)</f>
        <v>774</v>
      </c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</row>
    <row r="37" spans="1:16">
      <c r="B37" s="57"/>
    </row>
    <row r="38" spans="1:16" ht="19">
      <c r="A38" s="5" t="s">
        <v>19</v>
      </c>
      <c r="B38" s="57"/>
    </row>
    <row r="39" spans="1:16" ht="19">
      <c r="A39" s="5"/>
      <c r="B39" s="57"/>
    </row>
    <row r="40" spans="1:16" ht="14">
      <c r="A40" s="71">
        <v>0.29166666666666702</v>
      </c>
      <c r="B40" s="71">
        <v>0.33333333333333298</v>
      </c>
      <c r="C40" s="71">
        <v>0.375</v>
      </c>
      <c r="D40" s="71">
        <v>0.41666666666666702</v>
      </c>
      <c r="E40" s="71">
        <v>0.45833333333333298</v>
      </c>
      <c r="F40" s="71">
        <v>0.5</v>
      </c>
      <c r="G40" s="71">
        <v>0.54166666666666696</v>
      </c>
      <c r="H40" s="71">
        <v>0.58333333333333304</v>
      </c>
      <c r="I40" s="71">
        <v>0.625</v>
      </c>
      <c r="J40" s="71">
        <v>0.66666666666666696</v>
      </c>
      <c r="K40" s="71">
        <v>0.70833333333333304</v>
      </c>
      <c r="L40" s="71">
        <v>0.75</v>
      </c>
      <c r="M40" s="71">
        <v>0.79166666666666696</v>
      </c>
      <c r="N40" s="71">
        <v>0.83333333333333304</v>
      </c>
      <c r="O40" s="71">
        <v>0.875</v>
      </c>
      <c r="P40" s="71">
        <v>0.91666666666666696</v>
      </c>
    </row>
    <row r="41" spans="1:16">
      <c r="A41" s="117">
        <v>0</v>
      </c>
      <c r="B41" s="118">
        <v>0</v>
      </c>
      <c r="C41" s="119">
        <v>0</v>
      </c>
      <c r="D41" s="120">
        <v>0</v>
      </c>
      <c r="E41" s="121">
        <f>0.5*((1/8)-(1/25))*60</f>
        <v>2.5499999999999998</v>
      </c>
      <c r="F41" s="122">
        <f>0.5*((1/3)-(1/25))*60</f>
        <v>8.8000000000000007</v>
      </c>
      <c r="G41" s="122">
        <f>0.5*((1/2.5)-(1/25))*60</f>
        <v>10.8</v>
      </c>
      <c r="H41" s="123">
        <f>0.5*((1/2)-(1/25))*60</f>
        <v>13.8</v>
      </c>
      <c r="I41" s="122">
        <f>0.5*((1/3)-(1/25))*60</f>
        <v>8.8000000000000007</v>
      </c>
      <c r="J41" s="124">
        <f>0.5*((1/5)-(1/25))*60</f>
        <v>4.8</v>
      </c>
      <c r="K41" s="126">
        <f>0.5*((1/10)-(1/25))*60</f>
        <v>1.8</v>
      </c>
      <c r="L41" s="125">
        <v>0</v>
      </c>
      <c r="M41" s="127">
        <v>0</v>
      </c>
      <c r="N41" s="118">
        <v>0</v>
      </c>
      <c r="O41" s="117">
        <v>0</v>
      </c>
      <c r="P41" s="117">
        <v>0</v>
      </c>
    </row>
    <row r="42" spans="1:16">
      <c r="A42" s="77"/>
      <c r="B42" s="77"/>
      <c r="C42" s="77"/>
      <c r="D42" s="78">
        <f>D41*60</f>
        <v>0</v>
      </c>
      <c r="E42" s="79">
        <f>E41/60</f>
        <v>4.2499999999999996E-2</v>
      </c>
      <c r="F42" s="79">
        <f t="shared" ref="F42:K42" si="2">F41/60</f>
        <v>0.14666666666666667</v>
      </c>
      <c r="G42" s="79">
        <f t="shared" si="2"/>
        <v>0.18000000000000002</v>
      </c>
      <c r="H42" s="79">
        <f t="shared" si="2"/>
        <v>0.23</v>
      </c>
      <c r="I42" s="79">
        <f t="shared" si="2"/>
        <v>0.14666666666666667</v>
      </c>
      <c r="J42" s="79">
        <f t="shared" si="2"/>
        <v>0.08</v>
      </c>
      <c r="K42" s="79">
        <f t="shared" si="2"/>
        <v>3.0000000000000002E-2</v>
      </c>
      <c r="L42" s="79">
        <f>L41*60</f>
        <v>0</v>
      </c>
      <c r="M42" s="82"/>
      <c r="N42" s="77"/>
      <c r="O42" s="77"/>
      <c r="P42" s="77"/>
    </row>
    <row r="43" spans="1:16" ht="15" customHeight="1">
      <c r="A43" s="115" t="s">
        <v>106</v>
      </c>
      <c r="D43">
        <v>0</v>
      </c>
      <c r="E43" s="80">
        <f>E42*$B$35</f>
        <v>32.894999999999996</v>
      </c>
      <c r="F43" s="80">
        <f t="shared" ref="F43:L43" si="3">F42*$B$35</f>
        <v>113.52</v>
      </c>
      <c r="G43" s="80">
        <f t="shared" si="3"/>
        <v>139.32000000000002</v>
      </c>
      <c r="H43" s="80">
        <f t="shared" si="3"/>
        <v>178.02</v>
      </c>
      <c r="I43" s="80">
        <f t="shared" si="3"/>
        <v>113.52</v>
      </c>
      <c r="J43" s="80">
        <f t="shared" si="3"/>
        <v>61.92</v>
      </c>
      <c r="K43" s="80">
        <f t="shared" si="3"/>
        <v>23.220000000000002</v>
      </c>
      <c r="L43" s="80">
        <f t="shared" si="3"/>
        <v>0</v>
      </c>
    </row>
    <row r="44" spans="1:16" ht="15" customHeight="1">
      <c r="A44" s="115"/>
      <c r="E44" s="80"/>
      <c r="F44" s="80"/>
      <c r="G44" s="80"/>
      <c r="H44" s="80"/>
      <c r="I44" s="80"/>
      <c r="J44" s="80"/>
      <c r="K44" s="80"/>
      <c r="L44" s="80"/>
    </row>
    <row r="45" spans="1:16" ht="16">
      <c r="A45" s="81" t="s">
        <v>20</v>
      </c>
    </row>
    <row r="46" spans="1:16">
      <c r="A46" s="1"/>
    </row>
    <row r="47" spans="1:16">
      <c r="A47" s="1"/>
    </row>
    <row r="48" spans="1:16">
      <c r="A48" s="1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23"/>
  <sheetViews>
    <sheetView topLeftCell="D1" zoomScale="89" zoomScaleNormal="89" workbookViewId="0">
      <selection activeCell="O16" sqref="O16"/>
    </sheetView>
  </sheetViews>
  <sheetFormatPr baseColWidth="10" defaultColWidth="12.6640625" defaultRowHeight="15" customHeight="1"/>
  <cols>
    <col min="1" max="1" width="14.1640625" customWidth="1"/>
    <col min="2" max="2" width="7.83203125" customWidth="1"/>
    <col min="3" max="3" width="8.33203125" customWidth="1"/>
    <col min="4" max="4" width="49.6640625" customWidth="1"/>
    <col min="5" max="5" width="13" customWidth="1"/>
    <col min="6" max="9" width="8.1640625" customWidth="1"/>
    <col min="10" max="10" width="8" customWidth="1"/>
    <col min="11" max="29" width="8.1640625" customWidth="1"/>
    <col min="30" max="30" width="7.83203125" customWidth="1"/>
  </cols>
  <sheetData>
    <row r="1" spans="1:30" ht="14.25" customHeight="1">
      <c r="A1" s="5" t="s">
        <v>0</v>
      </c>
      <c r="B1" s="1" t="s">
        <v>21</v>
      </c>
      <c r="D1" s="15"/>
      <c r="E1" s="15"/>
      <c r="F1" s="4"/>
      <c r="G1" s="2"/>
      <c r="H1" s="102"/>
      <c r="I1" s="26"/>
      <c r="J1" s="102"/>
      <c r="M1" s="2"/>
      <c r="N1" s="9"/>
      <c r="O1" s="2"/>
      <c r="P1" s="14"/>
    </row>
    <row r="2" spans="1:30" ht="14.25" customHeight="1">
      <c r="D2" s="15"/>
      <c r="E2" s="15"/>
      <c r="F2" s="4"/>
      <c r="G2" s="2"/>
      <c r="H2" s="102"/>
      <c r="I2" s="102"/>
      <c r="J2" s="102"/>
      <c r="M2" s="2"/>
      <c r="N2" s="9"/>
      <c r="O2" s="2"/>
      <c r="P2" s="14"/>
    </row>
    <row r="3" spans="1:30" ht="14.25" customHeight="1">
      <c r="D3" s="15"/>
      <c r="E3" s="15"/>
      <c r="F3" s="4"/>
      <c r="G3" s="2"/>
      <c r="M3" s="2"/>
      <c r="N3" s="9"/>
      <c r="O3" s="2"/>
      <c r="P3" s="14"/>
    </row>
    <row r="4" spans="1:30" ht="14.25" customHeight="1">
      <c r="A4" s="16" t="s">
        <v>22</v>
      </c>
      <c r="B4" s="1"/>
      <c r="D4" s="15"/>
      <c r="E4" s="17"/>
      <c r="F4" s="4"/>
      <c r="G4" s="4"/>
      <c r="I4" s="133"/>
      <c r="J4" s="133"/>
      <c r="K4" s="102"/>
      <c r="M4" s="14"/>
      <c r="N4" s="14"/>
      <c r="O4" s="2"/>
      <c r="P4" s="14"/>
    </row>
    <row r="5" spans="1:30" ht="14.25" customHeight="1">
      <c r="A5" s="2" t="s">
        <v>24</v>
      </c>
      <c r="B5" s="86" t="s">
        <v>25</v>
      </c>
      <c r="C5" s="87">
        <v>10</v>
      </c>
      <c r="D5" s="18" t="s">
        <v>26</v>
      </c>
      <c r="E5" s="19"/>
      <c r="F5" s="20"/>
      <c r="G5" s="21"/>
      <c r="H5" s="1"/>
      <c r="I5" s="132"/>
      <c r="J5" s="132"/>
      <c r="K5" s="102"/>
      <c r="M5" s="14"/>
      <c r="N5" s="14"/>
      <c r="O5" s="2"/>
      <c r="P5" s="14"/>
    </row>
    <row r="6" spans="1:30" ht="14.25" customHeight="1">
      <c r="A6" s="2" t="s">
        <v>27</v>
      </c>
      <c r="B6" s="86" t="s">
        <v>28</v>
      </c>
      <c r="C6" s="87">
        <v>14</v>
      </c>
      <c r="D6" s="18" t="s">
        <v>29</v>
      </c>
      <c r="E6" s="19"/>
      <c r="F6" s="20"/>
      <c r="G6" s="20"/>
      <c r="I6" s="102"/>
      <c r="J6" s="102"/>
      <c r="K6" s="102"/>
      <c r="M6" s="14"/>
      <c r="N6" s="14"/>
      <c r="O6" s="14"/>
      <c r="P6" s="14"/>
    </row>
    <row r="7" spans="1:30" ht="14.25" customHeight="1">
      <c r="A7" s="2" t="s">
        <v>30</v>
      </c>
      <c r="B7" s="86" t="s">
        <v>31</v>
      </c>
      <c r="C7" s="87">
        <v>18</v>
      </c>
      <c r="D7" s="18" t="s">
        <v>32</v>
      </c>
      <c r="E7" s="19"/>
      <c r="F7" s="20"/>
      <c r="G7" s="20"/>
      <c r="H7" s="1"/>
      <c r="M7" s="14"/>
      <c r="N7" s="14"/>
      <c r="O7" s="14"/>
      <c r="P7" s="14"/>
    </row>
    <row r="8" spans="1:30" ht="14.25" customHeight="1">
      <c r="A8" s="22" t="s">
        <v>33</v>
      </c>
      <c r="B8" s="23" t="s">
        <v>34</v>
      </c>
      <c r="C8" s="24">
        <f>(C6-C5)/(C7-C5)</f>
        <v>0.5</v>
      </c>
      <c r="D8" s="25" t="s">
        <v>35</v>
      </c>
      <c r="E8" s="19"/>
      <c r="F8" s="20"/>
      <c r="G8" s="20"/>
      <c r="M8" s="14"/>
      <c r="N8" s="14"/>
      <c r="O8" s="14"/>
      <c r="P8" s="2"/>
    </row>
    <row r="9" spans="1:30" ht="14.25" customHeight="1">
      <c r="A9" s="26" t="s">
        <v>36</v>
      </c>
      <c r="B9" s="88" t="s">
        <v>18</v>
      </c>
      <c r="C9" s="89">
        <f>'1. Input Data'!B35</f>
        <v>774</v>
      </c>
      <c r="D9" s="27"/>
      <c r="E9" s="19"/>
      <c r="F9" s="20"/>
      <c r="G9" s="20"/>
    </row>
    <row r="10" spans="1:30" ht="14.25" customHeight="1">
      <c r="A10" s="28"/>
      <c r="B10" s="29"/>
      <c r="C10" s="30"/>
      <c r="D10" s="26"/>
      <c r="K10" s="14"/>
      <c r="L10" s="14"/>
      <c r="M10" s="14"/>
      <c r="N10" s="14"/>
      <c r="O10" s="14"/>
      <c r="P10" s="14"/>
      <c r="Q10" s="14"/>
      <c r="R10" s="14"/>
      <c r="S10" s="58"/>
      <c r="T10" s="14"/>
      <c r="U10" s="14"/>
      <c r="V10" s="14"/>
      <c r="W10" s="14"/>
      <c r="X10" s="14"/>
      <c r="Y10" s="14"/>
      <c r="Z10" s="14"/>
    </row>
    <row r="11" spans="1:30" ht="14.25" customHeight="1">
      <c r="A11" s="5" t="s">
        <v>95</v>
      </c>
      <c r="B11" s="29"/>
      <c r="C11" s="30"/>
      <c r="D11" s="26"/>
      <c r="K11" s="14"/>
      <c r="L11" s="14"/>
      <c r="M11" s="14"/>
      <c r="N11" s="14"/>
      <c r="O11" s="14"/>
      <c r="P11" s="14"/>
      <c r="Q11" s="14"/>
      <c r="R11" s="14"/>
      <c r="S11" s="58"/>
      <c r="T11" s="14"/>
      <c r="U11" s="14"/>
      <c r="V11" s="14"/>
      <c r="W11" s="14"/>
      <c r="X11" s="14"/>
      <c r="Y11" s="14"/>
      <c r="Z11" s="14"/>
    </row>
    <row r="12" spans="1:30" ht="14.25" customHeight="1">
      <c r="A12" s="5"/>
      <c r="B12" s="29"/>
      <c r="C12" s="30"/>
      <c r="D12" s="26"/>
      <c r="K12" s="14"/>
      <c r="L12" s="14"/>
      <c r="M12" s="14"/>
      <c r="N12" s="14"/>
      <c r="O12" s="14"/>
      <c r="P12" s="14"/>
      <c r="Q12" s="14"/>
      <c r="R12" s="14"/>
      <c r="S12" s="58"/>
      <c r="T12" s="14"/>
      <c r="U12" s="14"/>
      <c r="V12" s="14"/>
      <c r="W12" s="14"/>
      <c r="X12" s="14"/>
      <c r="Y12" s="14"/>
      <c r="Z12" s="14"/>
    </row>
    <row r="13" spans="1:30" ht="14.25" customHeight="1">
      <c r="A13" s="1"/>
      <c r="B13" s="1"/>
      <c r="C13" s="1"/>
      <c r="D13" s="1"/>
      <c r="E13" s="1"/>
      <c r="F13" s="1"/>
      <c r="G13" s="1"/>
      <c r="H13" s="1"/>
      <c r="I13" s="1"/>
      <c r="J13" s="57"/>
      <c r="K13" s="9"/>
      <c r="L13" s="9"/>
      <c r="M13" s="2"/>
      <c r="N13" s="2"/>
      <c r="O13" s="58"/>
      <c r="P13" s="2"/>
      <c r="Q13" s="2"/>
      <c r="R13" s="14"/>
      <c r="S13" s="58"/>
      <c r="T13" s="14"/>
      <c r="U13" s="2"/>
      <c r="V13" s="2"/>
      <c r="W13" s="58"/>
      <c r="X13" s="2"/>
      <c r="Y13" s="2"/>
      <c r="Z13" s="2"/>
      <c r="AA13" s="1"/>
      <c r="AB13" s="1"/>
      <c r="AC13" s="1"/>
      <c r="AD13" s="1"/>
    </row>
    <row r="14" spans="1:30" ht="14.25" customHeight="1">
      <c r="A14" s="81" t="s">
        <v>94</v>
      </c>
      <c r="B14" s="1"/>
      <c r="C14" s="1"/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59" t="s">
        <v>25</v>
      </c>
      <c r="P14" s="2"/>
      <c r="Q14" s="2"/>
      <c r="R14" s="14"/>
      <c r="S14" s="59" t="s">
        <v>28</v>
      </c>
      <c r="T14" s="14"/>
      <c r="U14" s="2"/>
      <c r="V14" s="2"/>
      <c r="W14" s="59" t="s">
        <v>31</v>
      </c>
      <c r="X14" s="2"/>
      <c r="Y14" s="2"/>
      <c r="Z14" s="2"/>
      <c r="AA14" s="1"/>
      <c r="AB14" s="1"/>
      <c r="AC14" s="1"/>
      <c r="AD14" s="1"/>
    </row>
    <row r="15" spans="1:30" ht="14.25" customHeight="1">
      <c r="A15" s="1"/>
      <c r="B15" s="1"/>
      <c r="C15" s="93"/>
      <c r="D15" s="94" t="s">
        <v>37</v>
      </c>
      <c r="E15" s="92" t="s">
        <v>97</v>
      </c>
      <c r="F15" s="33">
        <v>1</v>
      </c>
      <c r="G15" s="33">
        <v>2</v>
      </c>
      <c r="H15" s="33">
        <v>3</v>
      </c>
      <c r="I15" s="33">
        <v>4</v>
      </c>
      <c r="J15" s="33">
        <v>5</v>
      </c>
      <c r="K15" s="33">
        <v>6</v>
      </c>
      <c r="L15" s="60">
        <v>7</v>
      </c>
      <c r="M15" s="33">
        <v>8</v>
      </c>
      <c r="N15" s="33">
        <v>9</v>
      </c>
      <c r="O15" s="61">
        <v>10</v>
      </c>
      <c r="P15" s="33">
        <v>11</v>
      </c>
      <c r="Q15" s="33">
        <v>12</v>
      </c>
      <c r="R15" s="67">
        <v>13</v>
      </c>
      <c r="S15" s="61">
        <v>14</v>
      </c>
      <c r="T15" s="67">
        <v>15</v>
      </c>
      <c r="U15" s="33">
        <v>16</v>
      </c>
      <c r="V15" s="33">
        <v>17</v>
      </c>
      <c r="W15" s="61">
        <v>18</v>
      </c>
      <c r="X15" s="33">
        <v>19</v>
      </c>
      <c r="Y15" s="67">
        <v>20</v>
      </c>
      <c r="Z15" s="33">
        <v>21</v>
      </c>
      <c r="AA15" s="33">
        <v>22</v>
      </c>
      <c r="AB15" s="33">
        <v>23</v>
      </c>
      <c r="AC15" s="33">
        <v>24</v>
      </c>
      <c r="AD15" s="1"/>
    </row>
    <row r="16" spans="1:30" ht="14.25" customHeight="1">
      <c r="A16" s="1"/>
      <c r="B16" s="2"/>
      <c r="C16" s="46" t="s">
        <v>38</v>
      </c>
      <c r="D16" s="103" t="s">
        <v>39</v>
      </c>
      <c r="E16" s="104" t="s">
        <v>40</v>
      </c>
      <c r="F16" s="37"/>
      <c r="G16" s="37"/>
      <c r="H16" s="37"/>
      <c r="I16" s="37"/>
      <c r="J16" s="37"/>
      <c r="K16" s="37"/>
      <c r="L16" s="105">
        <f>'1. Input Data'!A32</f>
        <v>162</v>
      </c>
      <c r="M16" s="105">
        <f>'1. Input Data'!B32</f>
        <v>331</v>
      </c>
      <c r="N16" s="105">
        <f>'1. Input Data'!C32</f>
        <v>495</v>
      </c>
      <c r="O16" s="105">
        <f>'1. Input Data'!D32</f>
        <v>683</v>
      </c>
      <c r="P16" s="105">
        <f>'1. Input Data'!E32</f>
        <v>778</v>
      </c>
      <c r="Q16" s="105">
        <f>'1. Input Data'!F32</f>
        <v>826</v>
      </c>
      <c r="R16" s="105">
        <f>'1. Input Data'!G32</f>
        <v>850</v>
      </c>
      <c r="S16" s="105">
        <f>'1. Input Data'!H32</f>
        <v>866</v>
      </c>
      <c r="T16" s="105">
        <f>'1. Input Data'!I32</f>
        <v>854</v>
      </c>
      <c r="U16" s="105">
        <f>'1. Input Data'!J32</f>
        <v>823</v>
      </c>
      <c r="V16" s="105">
        <f>'1. Input Data'!K32</f>
        <v>694</v>
      </c>
      <c r="W16" s="105">
        <f>'1. Input Data'!L32</f>
        <v>585</v>
      </c>
      <c r="X16" s="105">
        <f>'1. Input Data'!M32</f>
        <v>510</v>
      </c>
      <c r="Y16" s="105">
        <f>'1. Input Data'!N32</f>
        <v>386</v>
      </c>
      <c r="Z16" s="105">
        <f>'1. Input Data'!O32</f>
        <v>255</v>
      </c>
      <c r="AA16" s="105">
        <f>'1. Input Data'!P32</f>
        <v>155</v>
      </c>
      <c r="AB16" s="37"/>
      <c r="AC16" s="37"/>
      <c r="AD16" s="1"/>
    </row>
    <row r="17" spans="1:30" ht="14.25" customHeight="1">
      <c r="A17" s="1"/>
      <c r="B17" s="2"/>
      <c r="C17" s="95" t="s">
        <v>38</v>
      </c>
      <c r="D17" s="46" t="s">
        <v>41</v>
      </c>
      <c r="E17" s="46" t="s">
        <v>42</v>
      </c>
      <c r="F17" s="98"/>
      <c r="G17" s="98"/>
      <c r="H17" s="98"/>
      <c r="I17" s="98"/>
      <c r="J17" s="98"/>
      <c r="K17" s="98"/>
      <c r="L17" s="98">
        <f>'1. Input Data'!A41</f>
        <v>0</v>
      </c>
      <c r="M17" s="98">
        <f>'1. Input Data'!B41</f>
        <v>0</v>
      </c>
      <c r="N17" s="98">
        <f>'1. Input Data'!C41</f>
        <v>0</v>
      </c>
      <c r="O17" s="98">
        <v>0</v>
      </c>
      <c r="P17" s="99">
        <v>64.4166666666667</v>
      </c>
      <c r="Q17" s="100">
        <v>128.833333333333</v>
      </c>
      <c r="R17" s="100">
        <v>154.6</v>
      </c>
      <c r="S17" s="100">
        <v>193.25</v>
      </c>
      <c r="T17" s="100">
        <v>154.6</v>
      </c>
      <c r="U17" s="100">
        <v>128.833333333333</v>
      </c>
      <c r="V17" s="99">
        <v>64.4166666666667</v>
      </c>
      <c r="W17" s="98">
        <v>0</v>
      </c>
      <c r="X17" s="98">
        <f>'1. Input Data'!M41</f>
        <v>0</v>
      </c>
      <c r="Y17" s="98">
        <f>'1. Input Data'!N41</f>
        <v>0</v>
      </c>
      <c r="Z17" s="98">
        <f>'1. Input Data'!O41</f>
        <v>0</v>
      </c>
      <c r="AA17" s="98">
        <f>'1. Input Data'!P41</f>
        <v>0</v>
      </c>
      <c r="AB17" s="98"/>
      <c r="AC17" s="98"/>
      <c r="AD17" s="1"/>
    </row>
    <row r="18" spans="1:30" ht="14.25" customHeight="1">
      <c r="A18" s="1"/>
      <c r="B18" s="2"/>
      <c r="C18" s="95" t="s">
        <v>43</v>
      </c>
      <c r="D18" s="46" t="s">
        <v>44</v>
      </c>
      <c r="E18" s="46" t="s">
        <v>45</v>
      </c>
      <c r="F18" s="98"/>
      <c r="G18" s="98"/>
      <c r="H18" s="98"/>
      <c r="I18" s="98"/>
      <c r="J18" s="98"/>
      <c r="K18" s="98"/>
      <c r="L18" s="98"/>
      <c r="M18" s="98"/>
      <c r="N18" s="98"/>
      <c r="O18" s="98">
        <f>1/4*(O15-$C$5)^2*(O15-$C$7)^2</f>
        <v>0</v>
      </c>
      <c r="P18" s="98">
        <f>1/4*(P15-$C$5)^2*(P15-$C$7)^2</f>
        <v>12.25</v>
      </c>
      <c r="Q18" s="98">
        <f t="shared" ref="Q18:W18" si="0">1/4*(Q15-$C$5)^2*(Q15-$C$7)^2</f>
        <v>36</v>
      </c>
      <c r="R18" s="98">
        <f t="shared" si="0"/>
        <v>56.25</v>
      </c>
      <c r="S18" s="98">
        <f t="shared" si="0"/>
        <v>64</v>
      </c>
      <c r="T18" s="98">
        <f t="shared" si="0"/>
        <v>56.25</v>
      </c>
      <c r="U18" s="98">
        <f t="shared" si="0"/>
        <v>36</v>
      </c>
      <c r="V18" s="98">
        <f t="shared" si="0"/>
        <v>12.25</v>
      </c>
      <c r="W18" s="98">
        <f t="shared" si="0"/>
        <v>0</v>
      </c>
      <c r="X18" s="98"/>
      <c r="Y18" s="98"/>
      <c r="Z18" s="98"/>
      <c r="AA18" s="98"/>
      <c r="AB18" s="98"/>
      <c r="AC18" s="98"/>
      <c r="AD18" s="1"/>
    </row>
    <row r="19" spans="1:30" ht="14.25" customHeight="1">
      <c r="A19" s="1"/>
      <c r="B19" s="2"/>
      <c r="C19" s="38"/>
      <c r="D19" s="39"/>
      <c r="E19" s="40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1"/>
    </row>
    <row r="20" spans="1:30" ht="14.25" customHeight="1">
      <c r="A20" s="81" t="s">
        <v>47</v>
      </c>
      <c r="B20" s="2"/>
      <c r="C20" s="38"/>
      <c r="D20" s="39"/>
      <c r="E20" s="40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1"/>
    </row>
    <row r="21" spans="1:30" ht="14.25" customHeight="1">
      <c r="A21" s="1"/>
      <c r="B21" s="2"/>
      <c r="C21" s="38"/>
      <c r="D21" s="96" t="s">
        <v>46</v>
      </c>
      <c r="E21" s="97">
        <f>LINEST(O17:W17,O18:W18,FALSE,FALSE)</f>
        <v>3.050010951531648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1"/>
    </row>
    <row r="22" spans="1:30" ht="14.25" customHeight="1">
      <c r="A22" s="1"/>
      <c r="B22" s="42" t="s">
        <v>99</v>
      </c>
      <c r="C22" s="43" t="s">
        <v>48</v>
      </c>
      <c r="D22" s="44" t="s">
        <v>49</v>
      </c>
      <c r="E22" s="44"/>
      <c r="F22" s="45"/>
      <c r="G22" s="45"/>
      <c r="H22" s="45"/>
      <c r="I22" s="45"/>
      <c r="J22" s="45"/>
      <c r="K22" s="45"/>
      <c r="L22" s="63"/>
      <c r="M22" s="63"/>
      <c r="N22" s="63"/>
      <c r="O22" s="63">
        <f>$E$21*((O15-$C$5)*(O15-$C$6)*(O15-$C$7))</f>
        <v>0</v>
      </c>
      <c r="P22" s="63">
        <f>$E$21*((P15-$C$5)*(P15-$C$6)*(P15-$C$7))</f>
        <v>64.050229982164609</v>
      </c>
      <c r="Q22" s="63">
        <f t="shared" ref="Q22:W22" si="1">$E$21*((Q15-$C$5)*(Q15-$C$6)*(Q15-$C$7))</f>
        <v>73.200262836759549</v>
      </c>
      <c r="R22" s="63">
        <f t="shared" si="1"/>
        <v>45.750164272974722</v>
      </c>
      <c r="S22" s="63">
        <f t="shared" si="1"/>
        <v>0</v>
      </c>
      <c r="T22" s="63">
        <f t="shared" si="1"/>
        <v>-45.750164272974722</v>
      </c>
      <c r="U22" s="63">
        <f t="shared" si="1"/>
        <v>-73.200262836759549</v>
      </c>
      <c r="V22" s="63">
        <f t="shared" si="1"/>
        <v>-64.050229982164609</v>
      </c>
      <c r="W22" s="63">
        <f t="shared" si="1"/>
        <v>0</v>
      </c>
      <c r="X22" s="45"/>
      <c r="Y22" s="45"/>
      <c r="Z22" s="45"/>
      <c r="AA22" s="45"/>
      <c r="AB22" s="45"/>
      <c r="AC22" s="45"/>
      <c r="AD22" s="1"/>
    </row>
    <row r="23" spans="1:30" ht="14.25" customHeight="1">
      <c r="A23" s="1"/>
      <c r="B23" s="42" t="s">
        <v>50</v>
      </c>
      <c r="C23" s="43" t="s">
        <v>48</v>
      </c>
      <c r="D23" s="44" t="s">
        <v>51</v>
      </c>
      <c r="E23" s="44" t="s">
        <v>52</v>
      </c>
      <c r="F23" s="45"/>
      <c r="G23" s="45"/>
      <c r="H23" s="45"/>
      <c r="I23" s="45"/>
      <c r="J23" s="45"/>
      <c r="K23" s="45"/>
      <c r="L23" s="63"/>
      <c r="M23" s="63"/>
      <c r="N23" s="63"/>
      <c r="O23" s="63">
        <f t="shared" ref="O23:W23" si="2">O16-O22</f>
        <v>683</v>
      </c>
      <c r="P23" s="63">
        <f t="shared" si="2"/>
        <v>713.94977001783536</v>
      </c>
      <c r="Q23" s="63">
        <f t="shared" si="2"/>
        <v>752.79973716324048</v>
      </c>
      <c r="R23" s="63">
        <f t="shared" si="2"/>
        <v>804.24983572702524</v>
      </c>
      <c r="S23" s="63">
        <f t="shared" si="2"/>
        <v>866</v>
      </c>
      <c r="T23" s="63">
        <f t="shared" si="2"/>
        <v>899.75016427297476</v>
      </c>
      <c r="U23" s="63">
        <f t="shared" si="2"/>
        <v>896.20026283675952</v>
      </c>
      <c r="V23" s="63">
        <f t="shared" si="2"/>
        <v>758.05022998216464</v>
      </c>
      <c r="W23" s="63">
        <f t="shared" si="2"/>
        <v>585</v>
      </c>
      <c r="X23" s="63"/>
      <c r="Y23" s="63"/>
      <c r="Z23" s="63"/>
      <c r="AA23" s="63"/>
      <c r="AB23" s="45"/>
      <c r="AC23" s="45"/>
      <c r="AD23" s="1"/>
    </row>
    <row r="24" spans="1:30" ht="14.25" customHeight="1">
      <c r="A24" s="1"/>
      <c r="B24" s="42" t="s">
        <v>53</v>
      </c>
      <c r="C24" s="43" t="s">
        <v>48</v>
      </c>
      <c r="D24" s="35" t="s">
        <v>54</v>
      </c>
      <c r="E24" s="46" t="s">
        <v>55</v>
      </c>
      <c r="F24" s="45"/>
      <c r="G24" s="45"/>
      <c r="H24" s="45"/>
      <c r="I24" s="45"/>
      <c r="J24" s="45"/>
      <c r="K24" s="45"/>
      <c r="L24" s="63"/>
      <c r="M24" s="63"/>
      <c r="N24" s="63">
        <v>0</v>
      </c>
      <c r="O24" s="63">
        <f t="shared" ref="O24:W24" si="3">N24+O16-O23</f>
        <v>0</v>
      </c>
      <c r="P24" s="63">
        <f t="shared" si="3"/>
        <v>64.050229982164637</v>
      </c>
      <c r="Q24" s="63">
        <f t="shared" si="3"/>
        <v>137.25049281892416</v>
      </c>
      <c r="R24" s="63">
        <f t="shared" si="3"/>
        <v>183.00065709189892</v>
      </c>
      <c r="S24" s="63">
        <f t="shared" si="3"/>
        <v>183.00065709189903</v>
      </c>
      <c r="T24" s="63">
        <f t="shared" si="3"/>
        <v>137.25049281892427</v>
      </c>
      <c r="U24" s="63">
        <f t="shared" si="3"/>
        <v>64.050229982164751</v>
      </c>
      <c r="V24" s="63">
        <f t="shared" si="3"/>
        <v>0</v>
      </c>
      <c r="W24" s="63">
        <f t="shared" si="3"/>
        <v>0</v>
      </c>
      <c r="X24" s="63">
        <v>0</v>
      </c>
      <c r="Y24" s="63"/>
      <c r="Z24" s="63"/>
      <c r="AA24" s="63"/>
      <c r="AB24" s="45"/>
      <c r="AC24" s="45"/>
      <c r="AD24" s="1"/>
    </row>
    <row r="25" spans="1:30" ht="14.25" customHeight="1">
      <c r="A25" s="1"/>
      <c r="B25" s="42" t="s">
        <v>66</v>
      </c>
      <c r="C25" s="43" t="s">
        <v>48</v>
      </c>
      <c r="D25" s="35" t="s">
        <v>56</v>
      </c>
      <c r="E25" s="35" t="s">
        <v>57</v>
      </c>
      <c r="F25" s="45"/>
      <c r="G25" s="45"/>
      <c r="H25" s="45"/>
      <c r="I25" s="45"/>
      <c r="J25" s="45"/>
      <c r="K25" s="45"/>
      <c r="L25" s="63"/>
      <c r="M25" s="63"/>
      <c r="N25" s="63"/>
      <c r="O25" s="63">
        <f>O24/$C$9*60</f>
        <v>0</v>
      </c>
      <c r="P25" s="63">
        <f>P24/$C$9*60</f>
        <v>4.9651341071445456</v>
      </c>
      <c r="Q25" s="63">
        <f t="shared" ref="Q25:W25" si="4">Q24/$C$9*60</f>
        <v>10.639573086738308</v>
      </c>
      <c r="R25" s="63">
        <f t="shared" si="4"/>
        <v>14.186097448984412</v>
      </c>
      <c r="S25" s="63">
        <f t="shared" si="4"/>
        <v>14.186097448984421</v>
      </c>
      <c r="T25" s="63">
        <f t="shared" si="4"/>
        <v>10.639573086738315</v>
      </c>
      <c r="U25" s="63">
        <f t="shared" si="4"/>
        <v>4.9651341071445545</v>
      </c>
      <c r="V25" s="63">
        <f t="shared" si="4"/>
        <v>0</v>
      </c>
      <c r="W25" s="63">
        <f t="shared" si="4"/>
        <v>0</v>
      </c>
      <c r="X25" s="63"/>
      <c r="Y25" s="63"/>
      <c r="Z25" s="63"/>
      <c r="AA25" s="63"/>
      <c r="AB25" s="45"/>
      <c r="AC25" s="45"/>
      <c r="AD25" s="1"/>
    </row>
    <row r="26" spans="1:30" ht="14.25" customHeight="1">
      <c r="A26" s="1"/>
      <c r="B26" s="1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1"/>
    </row>
    <row r="27" spans="1:30" ht="19" customHeight="1">
      <c r="A27" s="1"/>
      <c r="B27" s="1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1"/>
    </row>
    <row r="29" spans="1:30" ht="14.25" customHeight="1">
      <c r="A29" s="1"/>
      <c r="B29" s="1"/>
      <c r="C29" s="47"/>
      <c r="D29" s="48"/>
      <c r="E29" s="48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1"/>
    </row>
    <row r="30" spans="1:30" ht="14.25" customHeight="1">
      <c r="F30" s="49"/>
    </row>
    <row r="31" spans="1:30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s="14" customFormat="1" ht="14.25" customHeight="1">
      <c r="A32" s="16" t="s">
        <v>107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s="14" customFormat="1" ht="14.25" customHeight="1">
      <c r="A33" s="2"/>
      <c r="B33" s="2"/>
      <c r="C33" s="2"/>
      <c r="D33" s="2"/>
      <c r="E33" s="2"/>
      <c r="F33" s="2"/>
      <c r="G33" s="2"/>
      <c r="H33" s="2"/>
      <c r="I33" s="130" t="s">
        <v>23</v>
      </c>
      <c r="J33" s="131"/>
      <c r="K33" s="9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s="14" customFormat="1" ht="14.25" customHeight="1">
      <c r="A34" s="2"/>
      <c r="B34" s="2"/>
      <c r="C34" s="2"/>
      <c r="D34" s="2"/>
      <c r="E34" s="2"/>
      <c r="F34" s="2"/>
      <c r="G34" s="2"/>
      <c r="H34" s="2"/>
      <c r="I34" s="128" t="s">
        <v>98</v>
      </c>
      <c r="J34" s="129"/>
      <c r="K34" s="91">
        <v>30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4.25" customHeight="1">
      <c r="F35" s="49"/>
      <c r="J35" s="14"/>
      <c r="K35" s="14"/>
    </row>
    <row r="36" spans="1:30" ht="14.25" customHeight="1">
      <c r="A36" s="5" t="s">
        <v>96</v>
      </c>
      <c r="F36" s="49"/>
    </row>
    <row r="37" spans="1:30" ht="14.25" customHeight="1">
      <c r="C37" s="31"/>
      <c r="D37" s="32" t="s">
        <v>37</v>
      </c>
      <c r="E37" s="32" t="s">
        <v>97</v>
      </c>
      <c r="F37" s="33">
        <v>1</v>
      </c>
      <c r="G37" s="33">
        <v>2</v>
      </c>
      <c r="H37" s="33">
        <v>3</v>
      </c>
      <c r="I37" s="33">
        <v>4</v>
      </c>
      <c r="J37" s="33">
        <v>5</v>
      </c>
      <c r="K37" s="33">
        <v>6</v>
      </c>
      <c r="L37" s="60">
        <v>7</v>
      </c>
      <c r="M37" s="33">
        <v>8</v>
      </c>
      <c r="N37" s="33">
        <v>9</v>
      </c>
      <c r="O37" s="61">
        <v>10</v>
      </c>
      <c r="P37" s="33">
        <v>11</v>
      </c>
      <c r="Q37" s="33">
        <v>12</v>
      </c>
      <c r="R37" s="67">
        <v>13</v>
      </c>
      <c r="S37" s="61">
        <v>14</v>
      </c>
      <c r="T37" s="67">
        <v>15</v>
      </c>
      <c r="U37" s="33">
        <v>16</v>
      </c>
      <c r="V37" s="33">
        <v>17</v>
      </c>
      <c r="W37" s="61">
        <v>18</v>
      </c>
      <c r="X37" s="33">
        <v>19</v>
      </c>
      <c r="Y37" s="67">
        <v>20</v>
      </c>
      <c r="Z37" s="33">
        <v>21</v>
      </c>
      <c r="AA37" s="33">
        <v>22</v>
      </c>
      <c r="AB37" s="33">
        <v>23</v>
      </c>
      <c r="AC37" s="33">
        <v>24</v>
      </c>
    </row>
    <row r="38" spans="1:30" ht="14.25" customHeight="1">
      <c r="C38" s="34" t="s">
        <v>38</v>
      </c>
      <c r="D38" s="35" t="s">
        <v>39</v>
      </c>
      <c r="E38" s="35" t="s">
        <v>40</v>
      </c>
      <c r="F38" s="36"/>
      <c r="G38" s="36"/>
      <c r="H38" s="36"/>
      <c r="I38" s="36"/>
      <c r="J38" s="36"/>
      <c r="K38" s="36"/>
      <c r="L38" s="62">
        <f t="shared" ref="L38:Z38" si="5">L16</f>
        <v>162</v>
      </c>
      <c r="M38" s="62">
        <f t="shared" si="5"/>
        <v>331</v>
      </c>
      <c r="N38" s="62">
        <f t="shared" si="5"/>
        <v>495</v>
      </c>
      <c r="O38" s="62">
        <f t="shared" si="5"/>
        <v>683</v>
      </c>
      <c r="P38" s="62">
        <f t="shared" si="5"/>
        <v>778</v>
      </c>
      <c r="Q38" s="62">
        <f t="shared" si="5"/>
        <v>826</v>
      </c>
      <c r="R38" s="62">
        <f t="shared" si="5"/>
        <v>850</v>
      </c>
      <c r="S38" s="62">
        <f t="shared" si="5"/>
        <v>866</v>
      </c>
      <c r="T38" s="62">
        <f t="shared" si="5"/>
        <v>854</v>
      </c>
      <c r="U38" s="62">
        <f t="shared" si="5"/>
        <v>823</v>
      </c>
      <c r="V38" s="62">
        <f t="shared" si="5"/>
        <v>694</v>
      </c>
      <c r="W38" s="62">
        <f t="shared" si="5"/>
        <v>585</v>
      </c>
      <c r="X38" s="62">
        <f t="shared" si="5"/>
        <v>510</v>
      </c>
      <c r="Y38" s="62">
        <f t="shared" si="5"/>
        <v>386</v>
      </c>
      <c r="Z38" s="62">
        <f t="shared" si="5"/>
        <v>255</v>
      </c>
      <c r="AA38" s="62">
        <f>'1. Input Data'!P58</f>
        <v>0</v>
      </c>
      <c r="AB38" s="36"/>
      <c r="AC38" s="36"/>
    </row>
    <row r="39" spans="1:30" ht="14.25" customHeight="1">
      <c r="C39" s="50" t="s">
        <v>59</v>
      </c>
      <c r="D39" s="51" t="s">
        <v>60</v>
      </c>
      <c r="E39" s="52" t="s">
        <v>61</v>
      </c>
      <c r="F39" s="53"/>
      <c r="G39" s="53"/>
      <c r="H39" s="53"/>
      <c r="I39" s="53"/>
      <c r="J39" s="53"/>
      <c r="K39" s="53"/>
      <c r="L39" s="53"/>
      <c r="M39" s="53"/>
      <c r="N39" s="53"/>
      <c r="O39" s="53">
        <f t="shared" ref="O39:X39" si="6">O23+$K$34</f>
        <v>713</v>
      </c>
      <c r="P39" s="53">
        <f t="shared" si="6"/>
        <v>743.94977001783536</v>
      </c>
      <c r="Q39" s="53">
        <f t="shared" si="6"/>
        <v>782.79973716324048</v>
      </c>
      <c r="R39" s="53">
        <f t="shared" si="6"/>
        <v>834.24983572702524</v>
      </c>
      <c r="S39" s="53">
        <f t="shared" si="6"/>
        <v>896</v>
      </c>
      <c r="T39" s="53">
        <f t="shared" si="6"/>
        <v>929.75016427297476</v>
      </c>
      <c r="U39" s="53">
        <f t="shared" si="6"/>
        <v>926.20026283675952</v>
      </c>
      <c r="V39" s="53">
        <f t="shared" si="6"/>
        <v>788.05022998216464</v>
      </c>
      <c r="W39" s="53">
        <f t="shared" si="6"/>
        <v>615</v>
      </c>
      <c r="X39" s="53">
        <f t="shared" si="6"/>
        <v>30</v>
      </c>
      <c r="Y39" s="53">
        <f>$K$34</f>
        <v>30</v>
      </c>
      <c r="Z39" s="53">
        <f>$K$34</f>
        <v>30</v>
      </c>
      <c r="AA39" s="53">
        <f>$K$34</f>
        <v>30</v>
      </c>
      <c r="AB39" s="53"/>
      <c r="AC39" s="53"/>
    </row>
    <row r="40" spans="1:30" s="14" customFormat="1" ht="14.25" customHeight="1">
      <c r="B40" s="42" t="s">
        <v>53</v>
      </c>
      <c r="C40" s="43" t="s">
        <v>48</v>
      </c>
      <c r="D40" s="35" t="s">
        <v>54</v>
      </c>
      <c r="E40" s="46" t="s">
        <v>62</v>
      </c>
      <c r="F40" s="45"/>
      <c r="G40" s="45"/>
      <c r="H40" s="45"/>
      <c r="I40" s="45"/>
      <c r="J40" s="45"/>
      <c r="K40" s="45"/>
      <c r="L40" s="63"/>
      <c r="M40" s="63"/>
      <c r="N40" s="63">
        <v>0</v>
      </c>
      <c r="O40" s="63">
        <f>MAX(N40+O38-O39,0)</f>
        <v>0</v>
      </c>
      <c r="P40" s="63">
        <f>MAX(O40+P38-P39,0)</f>
        <v>34.050229982164637</v>
      </c>
      <c r="Q40" s="63">
        <f t="shared" ref="Q40:W40" si="7">MAX(P40+Q38-Q39,0)</f>
        <v>77.250492818924158</v>
      </c>
      <c r="R40" s="63">
        <f t="shared" si="7"/>
        <v>93.000657091898915</v>
      </c>
      <c r="S40" s="63">
        <f t="shared" si="7"/>
        <v>63.000657091898915</v>
      </c>
      <c r="T40" s="63">
        <f t="shared" si="7"/>
        <v>0</v>
      </c>
      <c r="U40" s="63">
        <f t="shared" si="7"/>
        <v>0</v>
      </c>
      <c r="V40" s="63">
        <f t="shared" si="7"/>
        <v>0</v>
      </c>
      <c r="W40" s="63">
        <f t="shared" si="7"/>
        <v>0</v>
      </c>
      <c r="X40" s="63"/>
      <c r="Y40" s="63"/>
      <c r="Z40" s="63"/>
      <c r="AA40" s="63"/>
      <c r="AB40" s="45"/>
      <c r="AC40" s="45"/>
    </row>
    <row r="41" spans="1:30" ht="14.25" customHeight="1">
      <c r="A41" s="1"/>
      <c r="B41" s="42" t="s">
        <v>66</v>
      </c>
      <c r="C41" s="43" t="s">
        <v>48</v>
      </c>
      <c r="D41" s="35" t="s">
        <v>63</v>
      </c>
      <c r="E41" s="35" t="s">
        <v>57</v>
      </c>
      <c r="F41" s="45"/>
      <c r="G41" s="45"/>
      <c r="H41" s="45"/>
      <c r="I41" s="45"/>
      <c r="J41" s="45"/>
      <c r="K41" s="45"/>
      <c r="L41" s="63"/>
      <c r="M41" s="63"/>
      <c r="N41" s="63"/>
      <c r="O41" s="63">
        <f>O40/($C$9+$K$34)*60</f>
        <v>0</v>
      </c>
      <c r="P41" s="63">
        <f t="shared" ref="P41:W41" si="8">P40/($C$9+$K$34)*60</f>
        <v>2.5410619389675104</v>
      </c>
      <c r="Q41" s="63">
        <f t="shared" si="8"/>
        <v>5.7649621506659816</v>
      </c>
      <c r="R41" s="63">
        <f t="shared" si="8"/>
        <v>6.9403475441715612</v>
      </c>
      <c r="S41" s="63">
        <f t="shared" si="8"/>
        <v>4.7015415740223077</v>
      </c>
      <c r="T41" s="63">
        <f t="shared" si="8"/>
        <v>0</v>
      </c>
      <c r="U41" s="63">
        <f t="shared" si="8"/>
        <v>0</v>
      </c>
      <c r="V41" s="63">
        <f t="shared" si="8"/>
        <v>0</v>
      </c>
      <c r="W41" s="63">
        <f t="shared" si="8"/>
        <v>0</v>
      </c>
      <c r="X41" s="63"/>
      <c r="Y41" s="63"/>
      <c r="Z41" s="63"/>
      <c r="AA41" s="63"/>
      <c r="AB41" s="45"/>
      <c r="AC41" s="45"/>
      <c r="AD41" s="1"/>
    </row>
    <row r="42" spans="1:30" s="14" customFormat="1" ht="14.25" customHeight="1">
      <c r="F42" s="49"/>
    </row>
    <row r="43" spans="1:30" s="14" customFormat="1" ht="14.25" customHeight="1">
      <c r="C43" s="54"/>
      <c r="D43" s="39"/>
      <c r="E43" s="39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</row>
    <row r="44" spans="1:30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s="14" customFormat="1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4.25" customHeight="1">
      <c r="A46" s="5" t="s">
        <v>64</v>
      </c>
    </row>
    <row r="47" spans="1:30" ht="14.25" customHeight="1">
      <c r="A47" s="55" t="s">
        <v>33</v>
      </c>
    </row>
    <row r="48" spans="1:30" ht="14.25" customHeight="1">
      <c r="A48" s="55"/>
    </row>
    <row r="49" spans="1:16" ht="14.25" customHeight="1">
      <c r="A49" s="55"/>
    </row>
    <row r="50" spans="1:16" ht="14.25" customHeight="1">
      <c r="A50" s="55"/>
      <c r="J50" s="5"/>
      <c r="K50" s="5"/>
      <c r="L50" s="64"/>
      <c r="M50" s="65"/>
      <c r="N50" s="65"/>
      <c r="O50" s="65"/>
      <c r="P50" s="1"/>
    </row>
    <row r="51" spans="1:16" ht="14.25" customHeight="1">
      <c r="A51" s="55"/>
      <c r="K51" s="1"/>
      <c r="L51" s="64"/>
      <c r="M51" s="65"/>
      <c r="N51" s="65"/>
      <c r="O51" s="1"/>
      <c r="P51" s="1"/>
    </row>
    <row r="52" spans="1:16" ht="14.25" customHeight="1">
      <c r="A52" s="56" t="s">
        <v>50</v>
      </c>
      <c r="K52" s="1"/>
      <c r="L52" s="64"/>
      <c r="M52" s="65"/>
      <c r="N52" s="65"/>
      <c r="O52" s="1"/>
      <c r="P52" s="1"/>
    </row>
    <row r="53" spans="1:16" ht="14.25" customHeight="1">
      <c r="K53" s="1"/>
      <c r="L53" s="64"/>
      <c r="M53" s="65"/>
      <c r="N53" s="65"/>
      <c r="O53" s="1"/>
      <c r="P53" s="1"/>
    </row>
    <row r="54" spans="1:16" ht="14.25" customHeight="1">
      <c r="K54" s="1"/>
      <c r="L54" s="64"/>
      <c r="M54" s="65"/>
      <c r="N54" s="65"/>
      <c r="O54" s="1"/>
      <c r="P54" s="1"/>
    </row>
    <row r="55" spans="1:16" ht="14.25" customHeight="1">
      <c r="K55" s="1"/>
      <c r="L55" s="64"/>
      <c r="M55" s="65"/>
      <c r="N55" s="65"/>
      <c r="O55" s="1"/>
      <c r="P55" s="1"/>
    </row>
    <row r="56" spans="1:16" ht="14.25" customHeight="1">
      <c r="K56" s="1"/>
      <c r="L56" s="66"/>
      <c r="M56" s="1"/>
      <c r="N56" s="1"/>
      <c r="O56" s="1"/>
      <c r="P56" s="1"/>
    </row>
    <row r="57" spans="1:16" ht="14.25" customHeight="1">
      <c r="A57" s="56" t="s">
        <v>65</v>
      </c>
    </row>
    <row r="58" spans="1:16" ht="14.25" customHeight="1"/>
    <row r="59" spans="1:16" ht="14.25" customHeight="1"/>
    <row r="60" spans="1:16" ht="14.25" customHeight="1"/>
    <row r="61" spans="1:16" ht="14.25" customHeight="1"/>
    <row r="62" spans="1:16" ht="14.25" customHeight="1"/>
    <row r="63" spans="1:16" ht="14.25" customHeight="1"/>
    <row r="64" spans="1:16" ht="14.25" customHeight="1"/>
    <row r="65" spans="1:1" ht="14.25" customHeight="1"/>
    <row r="66" spans="1:1" ht="14.25" customHeight="1"/>
    <row r="67" spans="1:1" ht="14.25" customHeight="1">
      <c r="A67" s="56" t="s">
        <v>66</v>
      </c>
    </row>
    <row r="68" spans="1:1" ht="14.25" customHeight="1"/>
    <row r="69" spans="1:1" ht="14.25" customHeight="1"/>
    <row r="70" spans="1:1" ht="14.25" customHeight="1"/>
    <row r="71" spans="1:1" ht="14.25" customHeight="1"/>
    <row r="72" spans="1:1" ht="14.25" customHeight="1">
      <c r="A72" s="56" t="s">
        <v>53</v>
      </c>
    </row>
    <row r="73" spans="1:1" ht="14" customHeight="1"/>
    <row r="74" spans="1:1" ht="14.25" customHeight="1"/>
    <row r="75" spans="1:1" ht="14.25" customHeight="1">
      <c r="A75" s="56" t="s">
        <v>99</v>
      </c>
    </row>
    <row r="76" spans="1:1" ht="14.25" customHeight="1"/>
    <row r="77" spans="1:1" ht="14.25" customHeight="1"/>
    <row r="78" spans="1:1" ht="14.25" customHeight="1"/>
    <row r="79" spans="1:1" ht="14.25" customHeight="1"/>
    <row r="80" spans="1:1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</sheetData>
  <mergeCells count="4">
    <mergeCell ref="I34:J34"/>
    <mergeCell ref="I33:J33"/>
    <mergeCell ref="I5:J5"/>
    <mergeCell ref="I4:J4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2"/>
  <sheetViews>
    <sheetView tabSelected="1" topLeftCell="A52" zoomScale="70" zoomScaleNormal="70" workbookViewId="0">
      <selection activeCell="S76" sqref="S76"/>
    </sheetView>
  </sheetViews>
  <sheetFormatPr baseColWidth="10" defaultColWidth="12.6640625" defaultRowHeight="15" customHeight="1"/>
  <cols>
    <col min="1" max="5" width="7.83203125" customWidth="1"/>
    <col min="6" max="6" width="14.83203125" customWidth="1"/>
    <col min="7" max="7" width="30.6640625" customWidth="1"/>
    <col min="8" max="8" width="20.6640625" customWidth="1"/>
    <col min="9" max="9" width="12" customWidth="1"/>
    <col min="10" max="10" width="20.6640625" customWidth="1"/>
    <col min="11" max="11" width="12.5" customWidth="1"/>
    <col min="12" max="12" width="11.5" customWidth="1"/>
    <col min="13" max="13" width="12.5" customWidth="1"/>
    <col min="14" max="14" width="11.5" customWidth="1"/>
    <col min="15" max="16" width="14.6640625" customWidth="1"/>
    <col min="17" max="18" width="12.5" customWidth="1"/>
    <col min="19" max="19" width="14.6640625" customWidth="1"/>
    <col min="20" max="29" width="7.83203125" customWidth="1"/>
    <col min="30" max="30" width="5.83203125" customWidth="1"/>
    <col min="31" max="31" width="12.5" customWidth="1"/>
    <col min="32" max="32" width="7.83203125" customWidth="1"/>
  </cols>
  <sheetData>
    <row r="1" spans="1:32" ht="14.25" customHeight="1">
      <c r="A1" s="2"/>
      <c r="B1" s="2"/>
      <c r="C1" s="2"/>
      <c r="D1" s="2"/>
      <c r="E1" s="2"/>
      <c r="F1" s="2"/>
      <c r="G1" s="3"/>
      <c r="H1" s="4"/>
      <c r="I1" s="2"/>
      <c r="J1" s="2"/>
      <c r="K1" s="2"/>
      <c r="L1" s="2"/>
      <c r="M1" s="2"/>
      <c r="N1" s="2"/>
      <c r="O1" s="2"/>
      <c r="P1" s="9"/>
      <c r="Q1" s="2"/>
      <c r="R1" s="2"/>
      <c r="S1" s="1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2" ht="14.25" customHeight="1">
      <c r="A2" s="5" t="s">
        <v>67</v>
      </c>
      <c r="B2" s="2"/>
      <c r="C2" s="2"/>
      <c r="D2" s="2"/>
      <c r="E2" s="2"/>
      <c r="F2" s="2"/>
      <c r="G2" s="3"/>
      <c r="H2" s="4"/>
      <c r="I2" s="2"/>
      <c r="J2" s="2"/>
      <c r="K2" s="2"/>
      <c r="L2" s="2"/>
      <c r="M2" s="2"/>
      <c r="N2" s="2"/>
      <c r="O2" s="2"/>
      <c r="P2" s="9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2" ht="14.25" customHeight="1">
      <c r="A3" s="2"/>
      <c r="B3" s="2"/>
      <c r="C3" s="2"/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9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2" ht="14.25" customHeight="1">
      <c r="A4" s="2"/>
      <c r="B4" s="2"/>
      <c r="C4" s="2"/>
      <c r="D4" s="2"/>
      <c r="E4" s="2"/>
      <c r="F4" s="2"/>
      <c r="G4" s="3"/>
      <c r="H4" s="2"/>
      <c r="I4" s="4"/>
      <c r="J4" s="2"/>
      <c r="K4" s="2"/>
      <c r="L4" s="2"/>
      <c r="M4" s="2"/>
      <c r="N4" s="2"/>
      <c r="O4" s="2"/>
      <c r="P4" s="9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2" ht="14.25" customHeight="1">
      <c r="A5" s="2"/>
      <c r="B5" s="2"/>
      <c r="C5" s="2"/>
      <c r="D5" s="2"/>
      <c r="E5" s="2"/>
      <c r="F5" s="2"/>
      <c r="G5" s="3"/>
      <c r="H5" s="2"/>
      <c r="I5" s="4"/>
      <c r="J5" s="2"/>
      <c r="K5" s="2"/>
      <c r="L5" s="2"/>
      <c r="M5" s="2"/>
      <c r="N5" s="2"/>
      <c r="O5" s="2"/>
      <c r="P5" s="9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2" ht="14.25" customHeight="1">
      <c r="A6" s="2"/>
      <c r="B6" s="2"/>
      <c r="C6" s="2"/>
      <c r="D6" s="2"/>
      <c r="E6" s="2"/>
      <c r="F6" s="2"/>
      <c r="G6" s="3"/>
      <c r="H6" s="2"/>
      <c r="I6" s="9"/>
      <c r="J6" s="2"/>
      <c r="K6" s="2"/>
      <c r="L6" s="2"/>
      <c r="M6" s="2"/>
      <c r="N6" s="2"/>
      <c r="O6" s="2"/>
      <c r="P6" s="9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2" ht="14.25" customHeight="1">
      <c r="A7" s="2"/>
      <c r="B7" s="2"/>
      <c r="C7" s="2"/>
      <c r="D7" s="2"/>
      <c r="E7" s="2"/>
      <c r="F7" s="2"/>
      <c r="G7" s="3"/>
      <c r="H7" s="2"/>
      <c r="I7" s="4"/>
      <c r="J7" s="2"/>
      <c r="K7" s="2"/>
      <c r="L7" s="2"/>
      <c r="M7" s="2"/>
      <c r="N7" s="2"/>
      <c r="O7" s="10"/>
      <c r="P7" s="10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2" ht="14.25" customHeight="1">
      <c r="A8" s="2"/>
      <c r="B8" s="2"/>
      <c r="C8" s="2"/>
      <c r="D8" s="2"/>
      <c r="E8" s="2"/>
      <c r="F8" s="2"/>
      <c r="G8" s="3"/>
      <c r="H8" s="2"/>
      <c r="I8" s="4"/>
      <c r="J8" s="2"/>
      <c r="K8" s="2"/>
      <c r="L8" s="2"/>
      <c r="M8" s="2"/>
      <c r="N8" s="2"/>
      <c r="O8" s="10"/>
      <c r="P8" s="10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2" ht="14.25" customHeight="1">
      <c r="A9" s="2"/>
      <c r="B9" s="2"/>
      <c r="C9" s="2"/>
      <c r="D9" s="2"/>
      <c r="E9" s="2"/>
      <c r="F9" s="2"/>
      <c r="G9" s="3"/>
      <c r="H9" s="2"/>
      <c r="I9" s="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2" ht="14.25" customHeight="1">
      <c r="A10" s="2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2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9"/>
      <c r="M12" s="9"/>
      <c r="N12" s="9"/>
      <c r="O12" s="2"/>
      <c r="P12" s="2"/>
      <c r="Q12" s="12"/>
      <c r="R12" s="2"/>
      <c r="S12" s="2"/>
      <c r="T12" s="9"/>
      <c r="U12" s="4"/>
      <c r="V12" s="9"/>
      <c r="W12" s="2"/>
      <c r="X12" s="2"/>
      <c r="Y12" s="4"/>
      <c r="Z12" s="2"/>
      <c r="AA12" s="2"/>
      <c r="AB12" s="2"/>
      <c r="AC12" s="2"/>
      <c r="AD12" s="2"/>
      <c r="AE12" s="2"/>
      <c r="AF12" s="1"/>
    </row>
    <row r="13" spans="1:32" ht="14.25" customHeight="1">
      <c r="A13" s="2"/>
      <c r="B13" s="2"/>
      <c r="C13" s="2"/>
      <c r="D13" s="2"/>
      <c r="E13" s="2"/>
      <c r="F13" s="2"/>
      <c r="G13" s="2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1"/>
    </row>
    <row r="14" spans="1:32" ht="14.25" customHeight="1">
      <c r="A14" s="2"/>
      <c r="B14" s="2"/>
      <c r="C14" s="2"/>
      <c r="D14" s="2"/>
      <c r="E14" s="2"/>
      <c r="F14" s="2"/>
      <c r="G14" s="2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1"/>
    </row>
    <row r="15" spans="1:32" ht="14.25" customHeight="1">
      <c r="A15" s="2"/>
      <c r="B15" s="2"/>
      <c r="C15" s="2"/>
      <c r="D15" s="2"/>
      <c r="E15" s="2"/>
      <c r="F15" s="2"/>
      <c r="G15" s="2"/>
      <c r="H15" s="6"/>
      <c r="I15" s="6"/>
      <c r="J15" s="6"/>
      <c r="K15" s="6"/>
      <c r="L15" s="6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6"/>
      <c r="AE15" s="6"/>
      <c r="AF15" s="1"/>
    </row>
    <row r="16" spans="1:32" ht="14.25" customHeight="1">
      <c r="A16" s="2"/>
      <c r="B16" s="2"/>
      <c r="C16" s="2"/>
      <c r="D16" s="2"/>
      <c r="E16" s="2"/>
      <c r="F16" s="2"/>
      <c r="G16" s="2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1"/>
    </row>
    <row r="17" spans="1:32" ht="14.25" customHeight="1">
      <c r="A17" s="2"/>
      <c r="B17" s="2"/>
      <c r="C17" s="2"/>
      <c r="D17" s="2"/>
      <c r="E17" s="2"/>
      <c r="F17" s="2"/>
      <c r="G17" s="2"/>
      <c r="H17" s="6"/>
      <c r="I17" s="6"/>
      <c r="J17" s="6"/>
      <c r="K17" s="6"/>
      <c r="L17" s="6"/>
      <c r="M17" s="6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1"/>
    </row>
    <row r="18" spans="1:32" ht="14.25" customHeight="1">
      <c r="A18" s="2"/>
      <c r="B18" s="2"/>
      <c r="C18" s="2"/>
      <c r="D18" s="2"/>
      <c r="E18" s="2"/>
      <c r="F18" s="2"/>
      <c r="G18" s="2"/>
      <c r="H18" s="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1"/>
    </row>
    <row r="19" spans="1:32" ht="14.25" customHeight="1">
      <c r="A19" s="2"/>
      <c r="B19" s="2"/>
      <c r="C19" s="2"/>
      <c r="D19" s="2"/>
      <c r="E19" s="2"/>
      <c r="F19" s="2"/>
      <c r="G19" s="2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1"/>
    </row>
    <row r="20" spans="1:32" ht="14.25" customHeight="1">
      <c r="A20" s="2"/>
      <c r="B20" s="2"/>
      <c r="C20" s="2"/>
      <c r="D20" s="2"/>
      <c r="E20" s="2"/>
      <c r="F20" s="2"/>
      <c r="G20" s="2"/>
      <c r="H20" s="6"/>
      <c r="I20" s="6"/>
      <c r="J20" s="6"/>
      <c r="K20" s="6"/>
      <c r="L20" s="6"/>
      <c r="M20" s="6"/>
      <c r="N20" s="6"/>
      <c r="O20" s="6"/>
      <c r="P20" s="6"/>
      <c r="Q20" s="13"/>
      <c r="R20" s="13"/>
      <c r="S20" s="13"/>
      <c r="T20" s="13"/>
      <c r="U20" s="13"/>
      <c r="V20" s="13"/>
      <c r="W20" s="13"/>
      <c r="X20" s="7"/>
      <c r="Y20" s="7"/>
      <c r="Z20" s="7"/>
      <c r="AA20" s="6"/>
      <c r="AB20" s="6"/>
      <c r="AC20" s="6"/>
      <c r="AD20" s="6"/>
      <c r="AE20" s="6"/>
      <c r="AF20" s="1"/>
    </row>
    <row r="21" spans="1:32" ht="14.25" customHeight="1">
      <c r="A21" s="2"/>
      <c r="B21" s="2"/>
      <c r="C21" s="2"/>
      <c r="D21" s="2"/>
      <c r="E21" s="2"/>
      <c r="F21" s="2"/>
      <c r="G21" s="2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1"/>
    </row>
    <row r="22" spans="1:32" ht="14.25" customHeight="1">
      <c r="A22" s="2"/>
      <c r="B22" s="2"/>
      <c r="C22" s="2"/>
      <c r="D22" s="2"/>
      <c r="E22" s="2"/>
      <c r="F22" s="2"/>
      <c r="G22" s="2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1"/>
    </row>
    <row r="23" spans="1:32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"/>
    </row>
    <row r="24" spans="1:32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"/>
    </row>
    <row r="25" spans="1:32" ht="14.25" customHeight="1"/>
    <row r="26" spans="1:32" ht="14.25" customHeight="1"/>
    <row r="27" spans="1:32" ht="14.25" customHeight="1"/>
    <row r="28" spans="1:32" ht="14.25" customHeight="1"/>
    <row r="29" spans="1:32" ht="14.25" customHeight="1"/>
    <row r="30" spans="1:32" ht="14.25" customHeight="1"/>
    <row r="31" spans="1:32" ht="14.25" customHeight="1"/>
    <row r="32" spans="1: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spans="1:30" ht="14.25" customHeight="1"/>
    <row r="50" spans="1:30" ht="14.25" customHeight="1"/>
    <row r="51" spans="1:30" ht="14.25" customHeight="1"/>
    <row r="52" spans="1:30" ht="14.25" customHeight="1"/>
    <row r="53" spans="1:30" ht="14.25" customHeight="1"/>
    <row r="54" spans="1:30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4.25" customHeight="1"/>
    <row r="56" spans="1:30" ht="14.25" customHeight="1"/>
    <row r="57" spans="1:30" ht="14.25" customHeight="1">
      <c r="A57" s="5" t="s">
        <v>58</v>
      </c>
    </row>
    <row r="58" spans="1:30" ht="14.25" customHeight="1"/>
    <row r="59" spans="1:30" ht="14.25" customHeight="1"/>
    <row r="60" spans="1:30" ht="14.25" customHeight="1"/>
    <row r="61" spans="1:30" ht="14.25" customHeight="1"/>
    <row r="62" spans="1:30" ht="14.25" customHeight="1"/>
    <row r="63" spans="1:30" ht="14.25" customHeight="1"/>
    <row r="64" spans="1:3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BA25-4FE7-184F-AE6C-C30A12F868FF}">
  <dimension ref="A1:D7"/>
  <sheetViews>
    <sheetView workbookViewId="0">
      <selection activeCell="F16" sqref="F16"/>
    </sheetView>
  </sheetViews>
  <sheetFormatPr baseColWidth="10" defaultRowHeight="14"/>
  <cols>
    <col min="3" max="3" width="16.33203125" customWidth="1"/>
  </cols>
  <sheetData>
    <row r="1" spans="1:4" ht="19">
      <c r="A1" s="5" t="s">
        <v>100</v>
      </c>
      <c r="B1" s="1"/>
      <c r="C1" s="1"/>
    </row>
    <row r="2" spans="1:4" ht="15">
      <c r="A2" s="1"/>
      <c r="B2" s="1"/>
      <c r="C2" s="1"/>
    </row>
    <row r="3" spans="1:4" ht="15">
      <c r="A3" s="106" t="s">
        <v>101</v>
      </c>
      <c r="B3" s="1"/>
      <c r="C3" s="1"/>
    </row>
    <row r="4" spans="1:4" ht="15">
      <c r="A4" s="107" t="s">
        <v>102</v>
      </c>
      <c r="B4" s="108" t="s">
        <v>103</v>
      </c>
      <c r="C4" s="108" t="s">
        <v>104</v>
      </c>
      <c r="D4" s="101"/>
    </row>
    <row r="5" spans="1:4" ht="15">
      <c r="A5" s="109" t="s">
        <v>18</v>
      </c>
      <c r="B5" s="110" t="s">
        <v>105</v>
      </c>
      <c r="C5" s="108" t="s">
        <v>34</v>
      </c>
      <c r="D5" s="101"/>
    </row>
    <row r="6" spans="1:4" ht="15">
      <c r="A6" s="113">
        <f>'2. Data Interpretation'!C9</f>
        <v>774</v>
      </c>
      <c r="B6" s="114">
        <f>'2. Data Interpretation'!E21</f>
        <v>3.050010951531648</v>
      </c>
      <c r="C6" s="108">
        <f>'2. Data Interpretation'!C8</f>
        <v>0.5</v>
      </c>
      <c r="D6" s="101"/>
    </row>
    <row r="7" spans="1:4">
      <c r="D7" s="10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EDB1-24C1-1342-BE13-58B2284C83F8}">
  <dimension ref="A1:I17"/>
  <sheetViews>
    <sheetView workbookViewId="0">
      <selection activeCell="E24" sqref="E24"/>
    </sheetView>
  </sheetViews>
  <sheetFormatPr baseColWidth="10" defaultRowHeight="14"/>
  <cols>
    <col min="1" max="1" width="13.1640625" customWidth="1"/>
    <col min="4" max="4" width="13.5" customWidth="1"/>
  </cols>
  <sheetData>
    <row r="1" spans="1:9" ht="19">
      <c r="A1" s="5" t="s">
        <v>0</v>
      </c>
      <c r="B1" s="66" t="s">
        <v>78</v>
      </c>
      <c r="C1" s="1"/>
      <c r="D1" s="1"/>
      <c r="E1" s="1"/>
      <c r="F1" s="1"/>
      <c r="G1" s="1"/>
      <c r="H1" s="1"/>
    </row>
    <row r="2" spans="1:9" ht="15">
      <c r="A2" s="1"/>
      <c r="B2" s="1"/>
      <c r="C2" s="1"/>
      <c r="D2" s="1"/>
      <c r="E2" s="1"/>
      <c r="F2" s="1"/>
      <c r="G2" s="1"/>
      <c r="H2" s="1"/>
    </row>
    <row r="3" spans="1:9" ht="19">
      <c r="A3" s="5" t="s">
        <v>79</v>
      </c>
      <c r="B3" s="84" t="s">
        <v>80</v>
      </c>
      <c r="C3" s="1"/>
      <c r="D3" s="1"/>
      <c r="E3" s="66" t="s">
        <v>81</v>
      </c>
      <c r="F3" s="1"/>
      <c r="G3" s="1"/>
      <c r="H3" s="1"/>
    </row>
    <row r="4" spans="1:9" ht="15">
      <c r="A4" s="1"/>
      <c r="B4" s="1"/>
      <c r="C4" s="1"/>
      <c r="D4" s="1"/>
      <c r="E4" s="1"/>
      <c r="F4" s="1"/>
      <c r="G4" s="1"/>
      <c r="H4" s="1"/>
    </row>
    <row r="5" spans="1:9" ht="19">
      <c r="A5" s="5" t="s">
        <v>82</v>
      </c>
      <c r="B5" s="1"/>
      <c r="C5" s="1"/>
      <c r="D5" s="1"/>
      <c r="E5" s="1"/>
      <c r="F5" s="1"/>
      <c r="G5" s="1"/>
      <c r="H5" s="1"/>
    </row>
    <row r="6" spans="1:9" ht="15">
      <c r="A6" s="1"/>
      <c r="B6" s="1"/>
      <c r="C6" s="1"/>
      <c r="D6" s="1"/>
      <c r="E6" s="1"/>
      <c r="F6" s="1"/>
      <c r="G6" s="1"/>
      <c r="H6" s="1"/>
    </row>
    <row r="7" spans="1:9" ht="16">
      <c r="A7" s="66" t="s">
        <v>83</v>
      </c>
      <c r="B7" s="66" t="s">
        <v>84</v>
      </c>
      <c r="C7" s="1"/>
      <c r="D7" s="1"/>
      <c r="E7" s="1"/>
      <c r="F7" s="1"/>
      <c r="G7" s="1"/>
      <c r="H7" s="1"/>
    </row>
    <row r="8" spans="1:9" ht="16">
      <c r="A8" s="66"/>
      <c r="B8" s="1"/>
      <c r="C8" s="1"/>
      <c r="D8" s="1"/>
      <c r="E8" s="1"/>
      <c r="F8" s="1"/>
      <c r="G8" s="1"/>
      <c r="H8" s="1"/>
    </row>
    <row r="9" spans="1:9" ht="16">
      <c r="A9" s="66" t="s">
        <v>85</v>
      </c>
      <c r="B9" s="66" t="s">
        <v>86</v>
      </c>
      <c r="C9" s="1"/>
      <c r="D9" s="1"/>
      <c r="E9" s="1"/>
      <c r="F9" s="1"/>
      <c r="G9" s="1"/>
      <c r="H9" s="1"/>
    </row>
    <row r="10" spans="1:9" ht="16">
      <c r="A10" s="66"/>
      <c r="B10" s="1"/>
      <c r="C10" s="1"/>
      <c r="D10" s="1"/>
      <c r="E10" s="1"/>
      <c r="F10" s="1"/>
      <c r="G10" s="1"/>
      <c r="H10" s="1"/>
    </row>
    <row r="11" spans="1:9" ht="16">
      <c r="A11" s="66" t="s">
        <v>87</v>
      </c>
      <c r="B11" s="66" t="s">
        <v>88</v>
      </c>
      <c r="C11" s="1"/>
      <c r="D11" s="1"/>
      <c r="E11" s="1"/>
      <c r="F11" s="1"/>
      <c r="G11" s="1"/>
      <c r="H11" s="1"/>
    </row>
    <row r="12" spans="1:9" ht="16">
      <c r="A12" s="66"/>
      <c r="B12" s="1"/>
      <c r="C12" s="1"/>
      <c r="D12" s="1"/>
      <c r="E12" s="1"/>
      <c r="F12" s="1"/>
      <c r="G12" s="1"/>
      <c r="H12" s="1"/>
    </row>
    <row r="13" spans="1:9" ht="16">
      <c r="A13" s="66" t="s">
        <v>89</v>
      </c>
      <c r="B13" s="66" t="s">
        <v>90</v>
      </c>
      <c r="C13" s="1"/>
      <c r="D13" s="1"/>
      <c r="E13" s="66"/>
      <c r="F13" s="1"/>
      <c r="G13" s="1"/>
      <c r="H13" s="66"/>
      <c r="I13" s="85" t="s">
        <v>93</v>
      </c>
    </row>
    <row r="14" spans="1:9" ht="16">
      <c r="A14" s="66"/>
      <c r="B14" s="1"/>
      <c r="C14" s="1"/>
      <c r="D14" s="1"/>
      <c r="E14" s="1"/>
      <c r="F14" s="1"/>
      <c r="G14" s="1"/>
      <c r="H14" s="1"/>
    </row>
    <row r="15" spans="1:9" ht="16">
      <c r="A15" s="66" t="s">
        <v>91</v>
      </c>
      <c r="B15" s="66" t="s">
        <v>92</v>
      </c>
      <c r="C15" s="1"/>
      <c r="D15" s="1"/>
      <c r="E15" s="1"/>
      <c r="F15" s="1"/>
      <c r="G15" s="1"/>
      <c r="H15" s="1"/>
    </row>
    <row r="16" spans="1:9" ht="15">
      <c r="A16" s="1"/>
      <c r="B16" s="1"/>
      <c r="C16" s="1"/>
      <c r="D16" s="1"/>
      <c r="E16" s="1"/>
      <c r="F16" s="1"/>
      <c r="G16" s="1"/>
      <c r="H16" s="1"/>
    </row>
    <row r="17" spans="1:7" ht="15">
      <c r="A17" s="1"/>
      <c r="B17" s="1"/>
      <c r="C17" s="1"/>
      <c r="D17" s="1"/>
      <c r="E17" s="1"/>
      <c r="F17" s="1"/>
      <c r="G17" s="1"/>
    </row>
  </sheetData>
  <hyperlinks>
    <hyperlink ref="B3" r:id="rId1" xr:uid="{4DEF5DB6-1395-B642-B948-B4A052F5F8AA}"/>
  </hyperlinks>
  <pageMargins left="0.7" right="0.7" top="0.75" bottom="0.75" header="0.3" footer="0.3"/>
  <pageSetup orientation="portrait" horizontalDpi="0" verticalDpi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8"/>
  <sheetViews>
    <sheetView workbookViewId="0"/>
  </sheetViews>
  <sheetFormatPr baseColWidth="10" defaultColWidth="12.6640625" defaultRowHeight="15" customHeight="1"/>
  <sheetData>
    <row r="1" spans="1:10" ht="15" customHeight="1">
      <c r="A1" s="83" t="s">
        <v>68</v>
      </c>
      <c r="D1" s="83" t="s">
        <v>69</v>
      </c>
      <c r="J1" s="1">
        <v>1</v>
      </c>
    </row>
    <row r="2" spans="1:10" ht="15" customHeight="1">
      <c r="A2" s="1" t="e">
        <f>MAX([2]ProductMix_Example!F13)</f>
        <v>#REF!</v>
      </c>
      <c r="B2" s="1" t="s">
        <v>70</v>
      </c>
      <c r="C2" s="1" t="e">
        <f>MAX([2]ProductMix_Example!F13)</f>
        <v>#REF!</v>
      </c>
      <c r="D2" s="1" t="e">
        <f>MAX([2]ProductMix_Example!F13)</f>
        <v>#REF!</v>
      </c>
      <c r="E2" s="1" t="s">
        <v>70</v>
      </c>
      <c r="F2" s="1" t="e">
        <f>MAX([2]ProductMix_Example!F13)</f>
        <v>#REF!</v>
      </c>
    </row>
    <row r="3" spans="1:10" ht="15" customHeight="1">
      <c r="A3" s="1" t="s">
        <v>70</v>
      </c>
      <c r="B3" s="1" t="e">
        <f>'3. Output'!$I$4,$I$5</f>
        <v>#VALUE!</v>
      </c>
      <c r="C3" s="1" t="e">
        <f>[2]ProductMix_Example!B3:D3</f>
        <v>#REF!</v>
      </c>
      <c r="D3" s="1" t="e">
        <f>[2]ProductMix_Example!B3:D3</f>
        <v>#REF!</v>
      </c>
      <c r="E3" s="1">
        <f>'2. Data Interpretation'!C10</f>
        <v>0</v>
      </c>
      <c r="F3" s="1" t="e">
        <f>[2]ProductMix_Example!B3:D3</f>
        <v>#VALUE!</v>
      </c>
    </row>
    <row r="4" spans="1:10" ht="15" customHeight="1">
      <c r="A4" s="83" t="s">
        <v>71</v>
      </c>
      <c r="B4" s="83" t="s">
        <v>72</v>
      </c>
      <c r="C4" s="1" t="s">
        <v>71</v>
      </c>
      <c r="D4" s="1" t="s">
        <v>71</v>
      </c>
      <c r="E4" s="83" t="s">
        <v>72</v>
      </c>
      <c r="F4" s="1" t="s">
        <v>71</v>
      </c>
    </row>
    <row r="5" spans="1:10" ht="15" customHeight="1">
      <c r="A5" s="1" t="s">
        <v>73</v>
      </c>
      <c r="C5" s="1" t="s">
        <v>73</v>
      </c>
      <c r="D5" s="1" t="s">
        <v>73</v>
      </c>
      <c r="F5" s="1" t="s">
        <v>73</v>
      </c>
    </row>
    <row r="6" spans="1:10" ht="15" customHeight="1">
      <c r="A6" s="83" t="s">
        <v>74</v>
      </c>
      <c r="B6" s="83" t="s">
        <v>75</v>
      </c>
      <c r="C6" s="1" t="s">
        <v>74</v>
      </c>
      <c r="D6" s="1" t="s">
        <v>74</v>
      </c>
      <c r="E6" s="83" t="s">
        <v>76</v>
      </c>
      <c r="F6" s="1" t="s">
        <v>74</v>
      </c>
    </row>
    <row r="7" spans="1:10" ht="15" customHeight="1">
      <c r="A7" s="1" t="e">
        <f>[2]ProductMix_Example!B3:D3&lt;=0</f>
        <v>#VALUE!</v>
      </c>
      <c r="C7" s="1" t="e">
        <f>[2]ProductMix_Example!B3:D3&lt;=0</f>
        <v>#REF!</v>
      </c>
      <c r="D7" s="1" t="e">
        <f>[2]ProductMix_Example!B3:D3&lt;=0</f>
        <v>#REF!</v>
      </c>
      <c r="E7" s="1" t="b">
        <f>'2. Data Interpretation'!C10&lt;=0</f>
        <v>1</v>
      </c>
      <c r="F7" s="1" t="e">
        <f>[2]ProductMix_Example!B3:D3&lt;=0</f>
        <v>#VALUE!</v>
      </c>
    </row>
    <row r="8" spans="1:10" ht="15" customHeight="1">
      <c r="A8" s="1" t="e">
        <f>[2]ProductMix_Example!F7:F11&lt;=[2]ProductMix_Example!G7:G11</f>
        <v>#REF!</v>
      </c>
      <c r="C8" s="1" t="e">
        <f>[2]ProductMix_Example!F7:F11&lt;=[2]ProductMix_Example!G7:G11</f>
        <v>#REF!</v>
      </c>
      <c r="D8" s="1" t="e">
        <f>[2]ProductMix_Example!F7:F11&lt;=[2]ProductMix_Example!G7:G11</f>
        <v>#REF!</v>
      </c>
      <c r="F8" s="1" t="e">
        <f>[2]ProductMix_Example!F7:F11&lt;=[2]ProductMix_Example!G7:G11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6640625" defaultRowHeight="15" customHeight="1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0. Overview</vt:lpstr>
      <vt:lpstr>1. Input Data</vt:lpstr>
      <vt:lpstr>2. Data Interpretation</vt:lpstr>
      <vt:lpstr>3. Output</vt:lpstr>
      <vt:lpstr>4. Analysis</vt:lpstr>
      <vt:lpstr>5. Google S2 Grid (optional)</vt:lpstr>
      <vt:lpstr>__Solver__</vt:lpstr>
      <vt:lpstr>__Solver___conflict1624162438</vt:lpstr>
      <vt:lpstr>__Solver___conflict93389759</vt:lpstr>
      <vt:lpstr>__Solver___conflict975740138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黄显婷</dc:creator>
  <cp:lastModifiedBy>Microsoft Office User</cp:lastModifiedBy>
  <cp:lastPrinted>2020-04-03T03:18:38Z</cp:lastPrinted>
  <dcterms:created xsi:type="dcterms:W3CDTF">2020-04-01T04:48:00Z</dcterms:created>
  <dcterms:modified xsi:type="dcterms:W3CDTF">2020-04-09T16:39:45Z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