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\Documents\MedidorInteligente\MedidorInteligente_V1\"/>
    </mc:Choice>
  </mc:AlternateContent>
  <xr:revisionPtr revIDLastSave="0" documentId="10_ncr:8100000_{B0B94FF4-79B4-45AD-AE76-1FAF1921CFFA}" xr6:coauthVersionLast="33" xr6:coauthVersionMax="33" xr10:uidLastSave="{00000000-0000-0000-0000-000000000000}"/>
  <bookViews>
    <workbookView xWindow="0" yWindow="96" windowWidth="28752" windowHeight="12588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03" i="1" l="1"/>
  <c r="K103" i="1"/>
  <c r="L103" i="1" s="1"/>
  <c r="M103" i="1" s="1"/>
  <c r="I104" i="1"/>
  <c r="K104" i="1"/>
  <c r="L104" i="1" s="1"/>
  <c r="M104" i="1" s="1"/>
  <c r="I100" i="1"/>
  <c r="K100" i="1"/>
  <c r="L100" i="1" s="1"/>
  <c r="M100" i="1" s="1"/>
  <c r="M102" i="1"/>
  <c r="K102" i="1"/>
  <c r="L102" i="1" s="1"/>
  <c r="L101" i="1"/>
  <c r="K101" i="1"/>
  <c r="I102" i="1"/>
  <c r="I101" i="1"/>
  <c r="G83" i="1"/>
  <c r="M101" i="1" l="1"/>
  <c r="E85" i="1"/>
  <c r="E96" i="1"/>
  <c r="F96" i="1" s="1"/>
  <c r="G96" i="1" s="1"/>
  <c r="E97" i="1"/>
  <c r="F97" i="1" s="1"/>
  <c r="G97" i="1" s="1"/>
  <c r="E78" i="1"/>
  <c r="F78" i="1" s="1"/>
  <c r="E80" i="1"/>
  <c r="F80" i="1" s="1"/>
  <c r="G80" i="1" s="1"/>
  <c r="E81" i="1"/>
  <c r="F81" i="1" s="1"/>
  <c r="G81" i="1" s="1"/>
  <c r="E79" i="1"/>
  <c r="F79" i="1" s="1"/>
  <c r="G79" i="1" s="1"/>
  <c r="E99" i="1"/>
  <c r="F99" i="1" s="1"/>
  <c r="G99" i="1" s="1"/>
  <c r="E98" i="1"/>
  <c r="F98" i="1" s="1"/>
  <c r="G98" i="1" s="1"/>
  <c r="E95" i="1"/>
  <c r="F95" i="1" s="1"/>
  <c r="G95" i="1" s="1"/>
  <c r="E94" i="1"/>
  <c r="F94" i="1" s="1"/>
  <c r="G94" i="1" s="1"/>
  <c r="E77" i="1"/>
  <c r="F77" i="1" s="1"/>
  <c r="E58" i="1"/>
  <c r="F58" i="1" s="1"/>
  <c r="G58" i="1" s="1"/>
  <c r="E56" i="1"/>
  <c r="F56" i="1" s="1"/>
  <c r="G56" i="1" s="1"/>
  <c r="E55" i="1"/>
  <c r="F55" i="1" s="1"/>
  <c r="G55" i="1" s="1"/>
  <c r="E57" i="1"/>
  <c r="F57" i="1" s="1"/>
  <c r="G57" i="1" s="1"/>
  <c r="E54" i="1"/>
  <c r="F54" i="1" s="1"/>
  <c r="G54" i="1" s="1"/>
  <c r="E52" i="1"/>
  <c r="F52" i="1" s="1"/>
  <c r="G52" i="1" s="1"/>
  <c r="E50" i="1"/>
  <c r="F50" i="1" s="1"/>
  <c r="G50" i="1" s="1"/>
  <c r="E51" i="1"/>
  <c r="F51" i="1" s="1"/>
  <c r="G51" i="1" s="1"/>
  <c r="E53" i="1"/>
  <c r="F53" i="1" s="1"/>
  <c r="G53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49" i="1"/>
  <c r="F49" i="1" s="1"/>
  <c r="G49" i="1" s="1"/>
  <c r="D48" i="1"/>
  <c r="C48" i="1"/>
  <c r="E65" i="1"/>
  <c r="G65" i="1"/>
  <c r="X34" i="1"/>
  <c r="X33" i="1"/>
  <c r="X29" i="1"/>
  <c r="X30" i="1" s="1"/>
  <c r="X31" i="1" s="1"/>
  <c r="T38" i="1"/>
  <c r="U38" i="1" s="1"/>
  <c r="W34" i="1"/>
  <c r="W33" i="1"/>
  <c r="W29" i="1"/>
  <c r="W30" i="1" s="1"/>
  <c r="W31" i="1" s="1"/>
  <c r="R33" i="1"/>
  <c r="T34" i="1" s="1"/>
  <c r="Q33" i="1"/>
  <c r="S34" i="1" s="1"/>
  <c r="R32" i="1"/>
  <c r="T29" i="1"/>
  <c r="T30" i="1" s="1"/>
  <c r="T31" i="1" s="1"/>
  <c r="Q32" i="1"/>
  <c r="S33" i="1" s="1"/>
  <c r="S29" i="1"/>
  <c r="S30" i="1" s="1"/>
  <c r="S31" i="1" s="1"/>
  <c r="B37" i="1"/>
  <c r="L8" i="1"/>
  <c r="L7" i="1"/>
  <c r="I26" i="1"/>
  <c r="I27" i="1" s="1"/>
  <c r="S9" i="1"/>
  <c r="T5" i="1"/>
  <c r="T6" i="1" s="1"/>
  <c r="T7" i="1" s="1"/>
  <c r="T8" i="1" s="1"/>
  <c r="S12" i="1" s="1"/>
  <c r="Q12" i="1"/>
  <c r="R12" i="1" s="1"/>
  <c r="H4" i="1"/>
  <c r="G33" i="1" s="1"/>
  <c r="B33" i="1"/>
  <c r="F33" i="1" s="1"/>
  <c r="M7" i="1"/>
  <c r="M8" i="1" s="1"/>
  <c r="V38" i="1" l="1"/>
  <c r="C68" i="1"/>
  <c r="G77" i="1"/>
  <c r="G78" i="1"/>
  <c r="P38" i="1"/>
  <c r="Q38" i="1" s="1"/>
  <c r="E48" i="1"/>
  <c r="F48" i="1" s="1"/>
  <c r="G48" i="1" s="1"/>
  <c r="G69" i="1" s="1"/>
  <c r="G70" i="1" s="1"/>
  <c r="T33" i="1"/>
  <c r="R38" i="1"/>
  <c r="U39" i="1"/>
  <c r="K4" i="1"/>
  <c r="Q39" i="1" l="1"/>
  <c r="N4" i="1"/>
  <c r="K5" i="1"/>
  <c r="N5" i="1" l="1"/>
  <c r="K6" i="1"/>
  <c r="K7" i="1" l="1"/>
  <c r="N6" i="1"/>
  <c r="K8" i="1" l="1"/>
  <c r="N8" i="1" s="1"/>
  <c r="N7" i="1"/>
</calcChain>
</file>

<file path=xl/sharedStrings.xml><?xml version="1.0" encoding="utf-8"?>
<sst xmlns="http://schemas.openxmlformats.org/spreadsheetml/2006/main" count="106" uniqueCount="39">
  <si>
    <t>Vrms</t>
  </si>
  <si>
    <t>Vpp</t>
  </si>
  <si>
    <t>Vp+</t>
  </si>
  <si>
    <t>Vp-</t>
  </si>
  <si>
    <t>-</t>
  </si>
  <si>
    <t>Voltajes</t>
  </si>
  <si>
    <t>Fuente</t>
  </si>
  <si>
    <t>Sensor</t>
  </si>
  <si>
    <t>Amplificado</t>
  </si>
  <si>
    <t>Deseados</t>
  </si>
  <si>
    <t>Buffer</t>
  </si>
  <si>
    <t>Labview</t>
  </si>
  <si>
    <t>FINAL</t>
  </si>
  <si>
    <t>Diferencia</t>
  </si>
  <si>
    <t>Offset</t>
  </si>
  <si>
    <t>Ganancia</t>
  </si>
  <si>
    <t>Voltaje</t>
  </si>
  <si>
    <t>A</t>
  </si>
  <si>
    <t>VERDADER</t>
  </si>
  <si>
    <t>Corriente DC</t>
  </si>
  <si>
    <t>VDC</t>
  </si>
  <si>
    <t>Vp</t>
  </si>
  <si>
    <t>Version DC</t>
  </si>
  <si>
    <t>Obtenidos</t>
  </si>
  <si>
    <t>V+</t>
  </si>
  <si>
    <t>Final DC</t>
  </si>
  <si>
    <t>V-</t>
  </si>
  <si>
    <t>VDC+</t>
  </si>
  <si>
    <t>VDC-</t>
  </si>
  <si>
    <t>Final</t>
  </si>
  <si>
    <t>Voltaje DC</t>
  </si>
  <si>
    <t xml:space="preserve">Obtenidos </t>
  </si>
  <si>
    <t>Voltaje Entrada</t>
  </si>
  <si>
    <t>Labview OFFSET</t>
  </si>
  <si>
    <t>R1</t>
  </si>
  <si>
    <t>R2</t>
  </si>
  <si>
    <t>Vout</t>
  </si>
  <si>
    <t>Paralelo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</si>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</sst>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Sheet1!$G$47</c:f>
              <c:strCache>
                <c:ptCount val="1"/>
                <c:pt idx="0">
                  <c:v>Ganancia</c:v>
                </c:pt>
              </c:strCache>
            </c:strRef>
          </c:tx>
          <c:xVal>
            <c:numRef>
              <c:f>Sheet1!$B$48:$B$62</c:f>
              <c:numCache>
                <c:formatCode>General</c:formatCode>
                <c:ptCount val="15"/>
                <c:pt idx="0">
                  <c:v>-200.01</c:v>
                </c:pt>
                <c:pt idx="1">
                  <c:v>-159.82</c:v>
                </c:pt>
                <c:pt idx="2">
                  <c:v>-119.89</c:v>
                </c:pt>
                <c:pt idx="3">
                  <c:v>-79.930000000000007</c:v>
                </c:pt>
                <c:pt idx="4">
                  <c:v>-39.99</c:v>
                </c:pt>
                <c:pt idx="5">
                  <c:v>-34.86</c:v>
                </c:pt>
                <c:pt idx="6">
                  <c:v>-10</c:v>
                </c:pt>
                <c:pt idx="7">
                  <c:v>10</c:v>
                </c:pt>
                <c:pt idx="8">
                  <c:v>20</c:v>
                </c:pt>
                <c:pt idx="9">
                  <c:v>29.99</c:v>
                </c:pt>
                <c:pt idx="10">
                  <c:v>40.01</c:v>
                </c:pt>
                <c:pt idx="11">
                  <c:v>79.98</c:v>
                </c:pt>
                <c:pt idx="12">
                  <c:v>120.17</c:v>
                </c:pt>
                <c:pt idx="13">
                  <c:v>160.13999999999999</c:v>
                </c:pt>
                <c:pt idx="14">
                  <c:v>200.09</c:v>
                </c:pt>
              </c:numCache>
            </c:numRef>
          </c:xVal>
          <c:yVal>
            <c:numRef>
              <c:f>Sheet1!$G$48:$G$62</c:f>
              <c:numCache>
                <c:formatCode>General</c:formatCode>
                <c:ptCount val="15"/>
                <c:pt idx="0">
                  <c:v>99.423373266391593</c:v>
                </c:pt>
                <c:pt idx="1">
                  <c:v>99.372007710004354</c:v>
                </c:pt>
                <c:pt idx="2">
                  <c:v>99.559873775120394</c:v>
                </c:pt>
                <c:pt idx="3">
                  <c:v>99.887528117970518</c:v>
                </c:pt>
                <c:pt idx="4">
                  <c:v>100.1878992859827</c:v>
                </c:pt>
                <c:pt idx="5">
                  <c:v>100.72233458537998</c:v>
                </c:pt>
                <c:pt idx="6">
                  <c:v>102.40655401945746</c:v>
                </c:pt>
                <c:pt idx="7">
                  <c:v>98.716683119447026</c:v>
                </c:pt>
                <c:pt idx="8">
                  <c:v>99.601593625497969</c:v>
                </c:pt>
                <c:pt idx="9">
                  <c:v>100.0667334000667</c:v>
                </c:pt>
                <c:pt idx="10">
                  <c:v>100.07503751875939</c:v>
                </c:pt>
                <c:pt idx="11">
                  <c:v>100.26325686348251</c:v>
                </c:pt>
                <c:pt idx="12">
                  <c:v>100.09162085623853</c:v>
                </c:pt>
                <c:pt idx="13">
                  <c:v>99.800573351614105</c:v>
                </c:pt>
                <c:pt idx="14">
                  <c:v>99.581943960583288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6-4E90-BDD2-5515FC0C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05312"/>
        <c:axId val="103806848"/>
      </c:scatterChart>
      <c:valAx>
        <c:axId val="1038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06848"/>
        <c:crosses val="autoZero"/>
        <c:crossBetween val="midCat"/>
      </c:valAx>
      <c:valAx>
        <c:axId val="1038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0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010576154500545E-2"/>
          <c:y val="0.16610025217090058"/>
          <c:w val="0.69419468834785836"/>
          <c:h val="0.7631529891433440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Sheet1!$G$47</c:f>
              <c:strCache>
                <c:ptCount val="1"/>
                <c:pt idx="0">
                  <c:v>Ganancia</c:v>
                </c:pt>
              </c:strCache>
            </c:strRef>
          </c:tx>
          <c:xVal>
            <c:numRef>
              <c:f>Sheet1!$B$77:$B$83</c:f>
              <c:numCache>
                <c:formatCode>General</c:formatCode>
                <c:ptCount val="7"/>
                <c:pt idx="0">
                  <c:v>170.245</c:v>
                </c:pt>
                <c:pt idx="1">
                  <c:v>169.27699999999999</c:v>
                </c:pt>
                <c:pt idx="2">
                  <c:v>-168.79</c:v>
                </c:pt>
                <c:pt idx="3">
                  <c:v>-169.708</c:v>
                </c:pt>
                <c:pt idx="4">
                  <c:v>-199.24199999999999</c:v>
                </c:pt>
              </c:numCache>
            </c:numRef>
          </c:xVal>
          <c:yVal>
            <c:numRef>
              <c:f>Sheet1!$G$77:$G$83</c:f>
              <c:numCache>
                <c:formatCode>General</c:formatCode>
                <c:ptCount val="7"/>
                <c:pt idx="0">
                  <c:v>99.868011966915006</c:v>
                </c:pt>
                <c:pt idx="1">
                  <c:v>99.762494106553504</c:v>
                </c:pt>
                <c:pt idx="2">
                  <c:v>98.910049809551708</c:v>
                </c:pt>
                <c:pt idx="3">
                  <c:v>98.904640489546168</c:v>
                </c:pt>
                <c:pt idx="4">
                  <c:v>99.071155089254631</c:v>
                </c:pt>
                <c:pt idx="5">
                  <c:v>99.293700000000001</c:v>
                </c:pt>
                <c:pt idx="6">
                  <c:v>99.303270292364203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7-4531-9E4A-E8066F1E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05312"/>
        <c:axId val="103806848"/>
      </c:scatterChart>
      <c:valAx>
        <c:axId val="1038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06848"/>
        <c:crosses val="autoZero"/>
        <c:crossBetween val="midCat"/>
      </c:valAx>
      <c:valAx>
        <c:axId val="1038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0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342508</xdr:colOff>
      <xdr:row>45</xdr:row>
      <xdr:rowOff>187577</xdr:rowOff>
    </xdr:from>
    <xdr:to>
      <xdr:col>13</xdr:col>
      <xdr:colOff>599757</xdr:colOff>
      <xdr:row>64</xdr:row>
      <xdr:rowOff>75518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74</xdr:row>
      <xdr:rowOff>125895</xdr:rowOff>
    </xdr:from>
    <xdr:to>
      <xdr:col>14</xdr:col>
      <xdr:colOff>104849</xdr:colOff>
      <xdr:row>91</xdr:row>
      <xdr:rowOff>21455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6512F-C0BA-4F4A-9C1B-46F7A1DA6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"/>
  <sheetViews>
    <sheetView tabSelected="1" topLeftCell="L1" zoomScale="115" zoomScaleNormal="115" workbookViewId="0">
      <selection activeCell="S13" sqref="S13"/>
    </sheetView>
  </sheetViews>
  <sheetFormatPr defaultRowHeight="14.4" x14ac:dyDescent="0.3"/>
  <cols>
    <col min="1" max="1" width="16.109375" style="1" customWidth="1"/>
    <col min="2" max="2" width="11.109375" style="1" customWidth="1"/>
    <col min="3" max="5" width="11.109375" style="4" customWidth="1"/>
    <col min="6" max="6" width="10.33203125" style="1" customWidth="1"/>
    <col min="7" max="7" width="11.109375" style="1" customWidth="1"/>
    <col min="8" max="9" width="11.5546875" style="1" bestFit="1" customWidth="1"/>
    <col min="10" max="10" width="14.44140625" style="1" customWidth="1"/>
    <col min="13" max="13" width="12.33203125" bestFit="1" customWidth="1"/>
    <col min="15" max="15" width="11.6640625" bestFit="1" customWidth="1"/>
    <col min="16" max="16" width="12" customWidth="1"/>
    <col min="17" max="18" width="10.5546875" customWidth="1"/>
    <col min="19" max="19" width="11.5546875" bestFit="1" customWidth="1"/>
    <col min="21" max="21" width="11.44140625" style="14" customWidth="1"/>
    <col min="22" max="22" width="10.88671875" style="14" customWidth="1"/>
    <col min="23" max="24" width="9.109375" style="14"/>
  </cols>
  <sheetData>
    <row r="1" spans="1:25" x14ac:dyDescent="0.3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P1" s="28" t="s">
        <v>19</v>
      </c>
      <c r="Q1" s="28"/>
      <c r="R1" s="28"/>
      <c r="S1" s="28"/>
      <c r="T1" s="28"/>
      <c r="U1" s="13"/>
      <c r="V1" s="13"/>
      <c r="W1" s="13"/>
      <c r="X1" s="13"/>
      <c r="Y1" s="5"/>
    </row>
    <row r="2" spans="1:25" x14ac:dyDescent="0.3">
      <c r="A2" s="2"/>
      <c r="B2" s="2"/>
      <c r="F2" s="2"/>
      <c r="G2" s="2"/>
      <c r="H2" s="2"/>
      <c r="I2" s="2"/>
      <c r="J2" s="2"/>
      <c r="K2" s="2"/>
      <c r="L2" s="2"/>
      <c r="M2" s="2"/>
      <c r="P2" s="8"/>
      <c r="Q2" s="28" t="s">
        <v>23</v>
      </c>
      <c r="R2" s="28"/>
      <c r="S2" s="28"/>
      <c r="T2" s="8" t="s">
        <v>9</v>
      </c>
      <c r="U2" s="13"/>
      <c r="V2" s="13"/>
      <c r="X2" s="15"/>
      <c r="Y2" s="3"/>
    </row>
    <row r="3" spans="1:25" x14ac:dyDescent="0.3">
      <c r="A3" s="1" t="s">
        <v>5</v>
      </c>
      <c r="B3" s="1" t="s">
        <v>0</v>
      </c>
      <c r="F3" s="1" t="s">
        <v>2</v>
      </c>
      <c r="G3" s="1" t="s">
        <v>3</v>
      </c>
      <c r="H3" s="1" t="s">
        <v>1</v>
      </c>
      <c r="K3" s="1" t="s">
        <v>1</v>
      </c>
      <c r="L3" s="1" t="s">
        <v>2</v>
      </c>
      <c r="M3" s="1" t="s">
        <v>3</v>
      </c>
      <c r="N3" s="2" t="s">
        <v>21</v>
      </c>
      <c r="P3" s="6" t="s">
        <v>5</v>
      </c>
      <c r="Q3" s="6" t="s">
        <v>2</v>
      </c>
      <c r="R3" s="6" t="s">
        <v>3</v>
      </c>
      <c r="S3" s="6" t="s">
        <v>17</v>
      </c>
      <c r="T3" s="6" t="s">
        <v>20</v>
      </c>
      <c r="X3" s="16"/>
      <c r="Y3" s="1"/>
    </row>
    <row r="4" spans="1:25" x14ac:dyDescent="0.3">
      <c r="A4" s="1" t="s">
        <v>6</v>
      </c>
      <c r="B4" s="1">
        <v>119.99</v>
      </c>
      <c r="F4" s="1" t="s">
        <v>4</v>
      </c>
      <c r="G4" s="1" t="s">
        <v>4</v>
      </c>
      <c r="H4" s="1">
        <f>(2)^0.5*B4*2</f>
        <v>339.38297069829537</v>
      </c>
      <c r="J4" s="1" t="s">
        <v>9</v>
      </c>
      <c r="K4">
        <f>H4</f>
        <v>339.38297069829537</v>
      </c>
      <c r="N4">
        <f>K4/2</f>
        <v>169.69148534914768</v>
      </c>
      <c r="P4" s="6" t="s">
        <v>6</v>
      </c>
      <c r="Q4" s="6" t="s">
        <v>4</v>
      </c>
      <c r="R4" s="6" t="s">
        <v>4</v>
      </c>
      <c r="S4" s="6">
        <v>5.04</v>
      </c>
      <c r="T4" s="7"/>
    </row>
    <row r="5" spans="1:25" x14ac:dyDescent="0.3">
      <c r="A5" s="1" t="s">
        <v>7</v>
      </c>
      <c r="B5" s="1">
        <v>1.8159000000000001</v>
      </c>
      <c r="F5" s="1">
        <v>2.6181000000000001</v>
      </c>
      <c r="G5" s="1">
        <v>2.7509999999999999</v>
      </c>
      <c r="H5" s="1">
        <v>5.3708999999999998</v>
      </c>
      <c r="I5" s="2"/>
      <c r="K5">
        <f>K4/100</f>
        <v>3.3938297069829537</v>
      </c>
      <c r="N5">
        <f t="shared" ref="N5:N8" si="0">K5/2</f>
        <v>1.6969148534914769</v>
      </c>
      <c r="P5" s="6" t="s">
        <v>7</v>
      </c>
      <c r="Q5" s="6" t="s">
        <v>4</v>
      </c>
      <c r="R5" s="6" t="s">
        <v>4</v>
      </c>
      <c r="S5" s="6">
        <v>0.24879999999999999</v>
      </c>
      <c r="T5" s="7">
        <f>S5</f>
        <v>0.24879999999999999</v>
      </c>
    </row>
    <row r="6" spans="1:25" x14ac:dyDescent="0.3">
      <c r="A6" s="1" t="s">
        <v>8</v>
      </c>
      <c r="B6" s="1">
        <v>2.3159999999999998</v>
      </c>
      <c r="F6" s="1">
        <v>3.3370000000000002</v>
      </c>
      <c r="G6" s="1">
        <v>3.4470000000000001</v>
      </c>
      <c r="H6" s="1">
        <v>6.7850000000000001</v>
      </c>
      <c r="I6" s="2"/>
      <c r="K6">
        <f>2*K5</f>
        <v>6.7876594139659074</v>
      </c>
      <c r="N6">
        <f t="shared" si="0"/>
        <v>3.3938297069829537</v>
      </c>
      <c r="P6" s="6" t="s">
        <v>8</v>
      </c>
      <c r="Q6" s="6" t="s">
        <v>4</v>
      </c>
      <c r="R6" s="6" t="s">
        <v>4</v>
      </c>
      <c r="S6" s="6">
        <v>0.49759999999999999</v>
      </c>
      <c r="T6" s="7">
        <f>2*T5</f>
        <v>0.49759999999999999</v>
      </c>
    </row>
    <row r="7" spans="1:25" x14ac:dyDescent="0.3">
      <c r="A7" s="1" t="s">
        <v>10</v>
      </c>
      <c r="B7" s="1">
        <v>2.7559999999999998</v>
      </c>
      <c r="F7" s="1">
        <v>4.1959999999999997</v>
      </c>
      <c r="G7" s="1">
        <v>0.79700000000000004</v>
      </c>
      <c r="H7" s="1">
        <v>3.3980000000000001</v>
      </c>
      <c r="I7" s="2"/>
      <c r="K7">
        <f>K6/2</f>
        <v>3.3938297069829537</v>
      </c>
      <c r="L7">
        <f>2.5+1.696915</f>
        <v>4.1969149999999997</v>
      </c>
      <c r="M7">
        <f>-1.696915+2.5</f>
        <v>0.80308500000000005</v>
      </c>
      <c r="N7">
        <f t="shared" si="0"/>
        <v>1.6969148534914769</v>
      </c>
      <c r="P7" s="6" t="s">
        <v>10</v>
      </c>
      <c r="Q7" s="6" t="s">
        <v>4</v>
      </c>
      <c r="R7" s="6" t="s">
        <v>4</v>
      </c>
      <c r="S7" s="6">
        <v>2.7484000000000002</v>
      </c>
      <c r="T7" s="7">
        <f>T6/2+2.5</f>
        <v>2.7488000000000001</v>
      </c>
    </row>
    <row r="8" spans="1:25" x14ac:dyDescent="0.3">
      <c r="A8" s="1" t="s">
        <v>11</v>
      </c>
      <c r="B8" s="1">
        <v>1.175</v>
      </c>
      <c r="F8" s="1">
        <v>1.6612</v>
      </c>
      <c r="G8" s="1">
        <v>1.6616</v>
      </c>
      <c r="H8" s="1">
        <v>3.323</v>
      </c>
      <c r="I8" s="2"/>
      <c r="K8">
        <f>K7</f>
        <v>3.3938297069829537</v>
      </c>
      <c r="L8">
        <f>-2.5+I7</f>
        <v>-2.5</v>
      </c>
      <c r="M8">
        <f>-2.5+M7</f>
        <v>-1.696915</v>
      </c>
      <c r="N8">
        <f t="shared" si="0"/>
        <v>1.6969148534914769</v>
      </c>
      <c r="P8" s="6" t="s">
        <v>11</v>
      </c>
      <c r="Q8" s="6">
        <v>0.25</v>
      </c>
      <c r="R8" s="6">
        <v>0.24779999999999999</v>
      </c>
      <c r="S8" s="6">
        <v>0.248</v>
      </c>
      <c r="T8" s="7">
        <f>T7-2.5</f>
        <v>0.24880000000000013</v>
      </c>
    </row>
    <row r="9" spans="1:25" x14ac:dyDescent="0.3">
      <c r="A9" s="1" t="s">
        <v>12</v>
      </c>
      <c r="B9" s="1">
        <v>119.97</v>
      </c>
      <c r="F9" s="1">
        <v>169.78</v>
      </c>
      <c r="G9" s="1">
        <v>169.7</v>
      </c>
      <c r="H9" s="1">
        <v>339.48</v>
      </c>
      <c r="I9" s="2"/>
      <c r="P9" s="6" t="s">
        <v>12</v>
      </c>
      <c r="Q9" s="6">
        <v>169.78</v>
      </c>
      <c r="R9" s="6">
        <v>169.7</v>
      </c>
      <c r="S9" s="6">
        <f>(5.0243+4.9748)/2</f>
        <v>4.9995500000000002</v>
      </c>
      <c r="T9" s="6"/>
    </row>
    <row r="10" spans="1:25" x14ac:dyDescent="0.3">
      <c r="P10" s="1"/>
      <c r="Q10" s="1"/>
      <c r="R10" s="1"/>
      <c r="S10" s="1"/>
      <c r="T10" s="1"/>
      <c r="U10" s="16"/>
      <c r="V10" s="16"/>
    </row>
    <row r="11" spans="1:25" x14ac:dyDescent="0.3">
      <c r="P11" s="1"/>
      <c r="Q11" s="6" t="s">
        <v>13</v>
      </c>
      <c r="R11" s="6" t="s">
        <v>14</v>
      </c>
      <c r="S11" s="6" t="s">
        <v>15</v>
      </c>
      <c r="T11" s="1"/>
      <c r="U11" s="16"/>
      <c r="V11" s="16"/>
    </row>
    <row r="12" spans="1:25" x14ac:dyDescent="0.3">
      <c r="P12" s="1"/>
      <c r="Q12" s="6">
        <f>Q8-R8</f>
        <v>2.2000000000000075E-3</v>
      </c>
      <c r="R12" s="6">
        <f>2.5+(Q12/2)</f>
        <v>2.5011000000000001</v>
      </c>
      <c r="S12" s="6">
        <f>S4/T8</f>
        <v>20.257234726688093</v>
      </c>
      <c r="V12" s="16"/>
    </row>
    <row r="13" spans="1:25" x14ac:dyDescent="0.3">
      <c r="P13" s="1"/>
      <c r="Q13" s="7"/>
      <c r="R13" s="7"/>
      <c r="S13" s="7">
        <v>20.257234700000001</v>
      </c>
      <c r="V13" s="16"/>
    </row>
    <row r="14" spans="1:25" x14ac:dyDescent="0.3">
      <c r="P14" s="1"/>
      <c r="Q14" s="1"/>
      <c r="R14" s="1"/>
      <c r="V14" s="16"/>
    </row>
    <row r="15" spans="1:25" x14ac:dyDescent="0.3">
      <c r="P15" s="1"/>
      <c r="Q15" s="1"/>
      <c r="R15" s="1"/>
      <c r="S15" s="1"/>
      <c r="T15" s="1"/>
      <c r="U15" s="16"/>
      <c r="V15" s="16"/>
    </row>
    <row r="16" spans="1:25" x14ac:dyDescent="0.3">
      <c r="P16" s="1"/>
      <c r="Q16" s="1"/>
      <c r="R16" s="1"/>
      <c r="S16" s="1"/>
      <c r="T16" s="1"/>
      <c r="U16" s="16"/>
      <c r="V16" s="16"/>
    </row>
    <row r="17" spans="1:24" x14ac:dyDescent="0.3">
      <c r="P17" s="1"/>
      <c r="T17" s="1"/>
      <c r="U17" s="16"/>
      <c r="V17" s="16"/>
    </row>
    <row r="18" spans="1:24" x14ac:dyDescent="0.3">
      <c r="P18" s="1"/>
      <c r="T18" s="1"/>
      <c r="U18" s="16"/>
      <c r="V18" s="16"/>
    </row>
    <row r="26" spans="1:24" x14ac:dyDescent="0.3">
      <c r="I26" s="1">
        <f>(1.6807+1.6795)/2</f>
        <v>1.6800999999999999</v>
      </c>
      <c r="L26" s="29" t="s">
        <v>30</v>
      </c>
      <c r="M26" s="29"/>
      <c r="N26" s="29"/>
      <c r="O26" s="29"/>
      <c r="P26" s="29"/>
      <c r="Q26" s="29"/>
      <c r="R26" s="29"/>
      <c r="S26" s="29"/>
      <c r="T26" s="29"/>
      <c r="U26" s="19"/>
      <c r="V26" s="20"/>
      <c r="W26" s="20"/>
      <c r="X26" s="20"/>
    </row>
    <row r="27" spans="1:24" x14ac:dyDescent="0.3">
      <c r="I27" s="1">
        <f>169.87/I26</f>
        <v>101.10707695970478</v>
      </c>
      <c r="L27" s="10" t="s">
        <v>5</v>
      </c>
      <c r="M27" s="10" t="s">
        <v>2</v>
      </c>
      <c r="N27" s="10" t="s">
        <v>2</v>
      </c>
      <c r="O27" s="10" t="s">
        <v>3</v>
      </c>
      <c r="P27" s="10" t="s">
        <v>3</v>
      </c>
      <c r="Q27" s="12" t="s">
        <v>24</v>
      </c>
      <c r="R27" s="12" t="s">
        <v>26</v>
      </c>
      <c r="S27" s="12" t="s">
        <v>27</v>
      </c>
      <c r="T27" s="12" t="s">
        <v>28</v>
      </c>
      <c r="U27" s="17" t="s">
        <v>24</v>
      </c>
      <c r="V27" s="17" t="s">
        <v>26</v>
      </c>
      <c r="W27" s="17" t="s">
        <v>27</v>
      </c>
      <c r="X27" s="17" t="s">
        <v>28</v>
      </c>
    </row>
    <row r="28" spans="1:24" ht="30" customHeight="1" x14ac:dyDescent="0.3">
      <c r="A28" s="2"/>
      <c r="B28" s="2"/>
      <c r="F28" s="2"/>
      <c r="G28" s="2"/>
      <c r="H28" s="2"/>
      <c r="I28" s="2"/>
      <c r="J28" s="2"/>
      <c r="L28" s="10"/>
      <c r="M28" s="27" t="s">
        <v>23</v>
      </c>
      <c r="N28" s="27"/>
      <c r="O28" s="27"/>
      <c r="P28" s="27"/>
      <c r="Q28" s="27"/>
      <c r="R28" s="27"/>
      <c r="S28" s="27" t="s">
        <v>9</v>
      </c>
      <c r="T28" s="27"/>
      <c r="U28" s="24" t="s">
        <v>31</v>
      </c>
      <c r="V28" s="24"/>
      <c r="W28" s="25" t="s">
        <v>9</v>
      </c>
      <c r="X28" s="25"/>
    </row>
    <row r="29" spans="1:24" x14ac:dyDescent="0.3">
      <c r="I29" s="1">
        <v>101.107077</v>
      </c>
      <c r="L29" s="10" t="s">
        <v>6</v>
      </c>
      <c r="M29" s="10" t="s">
        <v>4</v>
      </c>
      <c r="N29" s="10" t="s">
        <v>4</v>
      </c>
      <c r="O29" s="10" t="s">
        <v>4</v>
      </c>
      <c r="P29" s="10" t="s">
        <v>4</v>
      </c>
      <c r="Q29" s="10">
        <v>169.87</v>
      </c>
      <c r="R29" s="11">
        <v>169.6</v>
      </c>
      <c r="S29" s="11">
        <f>Q29/100</f>
        <v>1.6987000000000001</v>
      </c>
      <c r="T29" s="11">
        <f>R29/100</f>
        <v>1.696</v>
      </c>
      <c r="U29" s="20">
        <v>17.100000000000001</v>
      </c>
      <c r="V29" s="20">
        <v>-17.079999999999998</v>
      </c>
      <c r="W29" s="18">
        <f>U29/100</f>
        <v>0.17100000000000001</v>
      </c>
      <c r="X29" s="11">
        <f>V29/100</f>
        <v>-0.17079999999999998</v>
      </c>
    </row>
    <row r="30" spans="1:24" ht="28.8" x14ac:dyDescent="0.3">
      <c r="L30" s="10" t="s">
        <v>8</v>
      </c>
      <c r="M30" s="10" t="s">
        <v>4</v>
      </c>
      <c r="N30" s="10" t="s">
        <v>4</v>
      </c>
      <c r="O30" s="11" t="s">
        <v>4</v>
      </c>
      <c r="P30" s="10" t="s">
        <v>4</v>
      </c>
      <c r="Q30" s="10">
        <v>3.3927</v>
      </c>
      <c r="R30" s="10">
        <v>3.4180000000000001</v>
      </c>
      <c r="S30" s="11">
        <f>S29*2</f>
        <v>3.3974000000000002</v>
      </c>
      <c r="T30" s="11">
        <f>T29*2</f>
        <v>3.3919999999999999</v>
      </c>
      <c r="U30" s="18">
        <v>0.31909999999999999</v>
      </c>
      <c r="V30" s="20">
        <v>0.3574</v>
      </c>
      <c r="W30" s="18">
        <f>W29*2</f>
        <v>0.34200000000000003</v>
      </c>
      <c r="X30" s="11">
        <f>X29*2</f>
        <v>-0.34159999999999996</v>
      </c>
    </row>
    <row r="31" spans="1:24" x14ac:dyDescent="0.3">
      <c r="L31" s="10" t="s">
        <v>10</v>
      </c>
      <c r="M31" s="10" t="s">
        <v>4</v>
      </c>
      <c r="N31" s="10" t="s">
        <v>4</v>
      </c>
      <c r="O31" s="11" t="s">
        <v>4</v>
      </c>
      <c r="P31" s="10" t="s">
        <v>4</v>
      </c>
      <c r="Q31" s="10">
        <v>4.1971999999999996</v>
      </c>
      <c r="R31" s="10">
        <v>0.78210000000000002</v>
      </c>
      <c r="S31" s="11">
        <f>S30/2+2.5</f>
        <v>4.1987000000000005</v>
      </c>
      <c r="T31" s="11">
        <f>T30/2-2.5</f>
        <v>-0.80400000000000005</v>
      </c>
      <c r="U31" s="18">
        <v>2.6528</v>
      </c>
      <c r="V31" s="20">
        <v>2.3142999999999998</v>
      </c>
      <c r="W31" s="18">
        <f>W30/2+2.5</f>
        <v>2.6709999999999998</v>
      </c>
      <c r="X31" s="11">
        <f>X30/2+2.5</f>
        <v>2.3292000000000002</v>
      </c>
    </row>
    <row r="32" spans="1:24" x14ac:dyDescent="0.3">
      <c r="B32" s="1" t="s">
        <v>13</v>
      </c>
      <c r="F32" s="1" t="s">
        <v>14</v>
      </c>
      <c r="G32" s="1" t="s">
        <v>15</v>
      </c>
      <c r="L32" s="10" t="s">
        <v>11</v>
      </c>
      <c r="M32" s="10">
        <v>4.1992000000000003</v>
      </c>
      <c r="N32" s="10">
        <v>4.1980000000000004</v>
      </c>
      <c r="O32" s="10">
        <v>0.78369999999999995</v>
      </c>
      <c r="P32" s="10">
        <v>0.78249999999999997</v>
      </c>
      <c r="Q32" s="10">
        <f>(M32+N32)/2</f>
        <v>4.1986000000000008</v>
      </c>
      <c r="R32" s="10">
        <f>(O32+P32)/2</f>
        <v>0.78309999999999991</v>
      </c>
      <c r="S32" s="11"/>
      <c r="T32" s="11"/>
      <c r="U32" s="18">
        <v>2.6520000000000001</v>
      </c>
      <c r="V32" s="20">
        <v>2.31385</v>
      </c>
      <c r="W32" s="18"/>
      <c r="X32" s="11"/>
    </row>
    <row r="33" spans="2:24" x14ac:dyDescent="0.3">
      <c r="B33" s="1">
        <f>F8-G8</f>
        <v>-3.9999999999995595E-4</v>
      </c>
      <c r="F33" s="1">
        <f>2.5-(B33/2)</f>
        <v>2.5002</v>
      </c>
      <c r="G33" s="2">
        <f>H4/H8</f>
        <v>102.13149885594203</v>
      </c>
      <c r="L33" s="10" t="s">
        <v>25</v>
      </c>
      <c r="M33" s="10">
        <v>1.708</v>
      </c>
      <c r="N33" s="10">
        <v>1.7059</v>
      </c>
      <c r="O33" s="11">
        <v>-1.7072000000000001</v>
      </c>
      <c r="P33" s="10">
        <v>-1.7083999999999999</v>
      </c>
      <c r="Q33" s="10">
        <f>(M33+N33)/2</f>
        <v>1.70695</v>
      </c>
      <c r="R33" s="10">
        <f>(O33+P33)/2</f>
        <v>-1.7078</v>
      </c>
      <c r="S33" s="11">
        <f>Q32-2.5</f>
        <v>1.6986000000000008</v>
      </c>
      <c r="T33" s="11">
        <f>R32-2.5</f>
        <v>-1.7169000000000001</v>
      </c>
      <c r="U33" s="18"/>
      <c r="V33" s="20"/>
      <c r="W33" s="18">
        <f>U32-2.5</f>
        <v>0.15200000000000014</v>
      </c>
      <c r="X33" s="11">
        <f>V32-2.5</f>
        <v>-0.18615000000000004</v>
      </c>
    </row>
    <row r="34" spans="2:24" x14ac:dyDescent="0.3">
      <c r="B34" s="1" t="s">
        <v>18</v>
      </c>
      <c r="F34" s="1">
        <v>2.5185200000000001</v>
      </c>
      <c r="L34" s="10" t="s">
        <v>29</v>
      </c>
      <c r="M34" s="10"/>
      <c r="N34" s="10"/>
      <c r="O34" s="10"/>
      <c r="P34" s="10"/>
      <c r="Q34" s="11"/>
      <c r="R34" s="11"/>
      <c r="S34" s="11">
        <f>Q29/Q33</f>
        <v>99.516681800872902</v>
      </c>
      <c r="T34" s="11">
        <f>R29/R33</f>
        <v>-99.309052582269587</v>
      </c>
      <c r="U34" s="18"/>
      <c r="V34" s="20"/>
      <c r="W34" s="18" t="e">
        <f>U29/U33</f>
        <v>#DIV/0!</v>
      </c>
      <c r="X34" s="11" t="e">
        <f>V29/V33</f>
        <v>#DIV/0!</v>
      </c>
    </row>
    <row r="35" spans="2:24" x14ac:dyDescent="0.3">
      <c r="B35" s="2" t="s">
        <v>22</v>
      </c>
      <c r="F35" s="2"/>
      <c r="G35" s="2">
        <v>101.107077</v>
      </c>
      <c r="L35" s="2"/>
      <c r="M35" s="2"/>
      <c r="N35" s="2"/>
      <c r="O35" s="2"/>
      <c r="P35" s="2"/>
      <c r="Q35" s="3"/>
      <c r="R35" s="3"/>
      <c r="S35" s="3"/>
      <c r="T35" s="3"/>
      <c r="U35" s="15"/>
    </row>
    <row r="36" spans="2:24" x14ac:dyDescent="0.3">
      <c r="L36" s="2"/>
      <c r="M36" s="2"/>
      <c r="N36" s="2"/>
      <c r="O36" s="2"/>
      <c r="P36" s="2"/>
      <c r="Q36" s="2"/>
      <c r="R36" s="2"/>
    </row>
    <row r="37" spans="2:24" x14ac:dyDescent="0.3">
      <c r="B37" s="1">
        <f>4.1975-I7</f>
        <v>4.1974999999999998</v>
      </c>
      <c r="L37" s="2"/>
      <c r="M37" s="2"/>
      <c r="N37" s="2"/>
      <c r="O37" s="2"/>
      <c r="P37" s="6"/>
      <c r="Q37" s="6" t="s">
        <v>14</v>
      </c>
      <c r="R37" s="6" t="s">
        <v>15</v>
      </c>
      <c r="T37" s="9"/>
      <c r="U37" s="9" t="s">
        <v>14</v>
      </c>
      <c r="V37" s="9" t="s">
        <v>15</v>
      </c>
    </row>
    <row r="38" spans="2:24" x14ac:dyDescent="0.3">
      <c r="L38" s="2"/>
      <c r="M38" s="2"/>
      <c r="N38" s="2"/>
      <c r="O38" s="2"/>
      <c r="P38" s="6">
        <f>(Q32-R32)/2</f>
        <v>1.7077500000000003</v>
      </c>
      <c r="Q38" s="6">
        <f>Q32-P38</f>
        <v>2.4908500000000005</v>
      </c>
      <c r="R38" s="6">
        <f>(S34+(-T34))/2</f>
        <v>99.412867191571252</v>
      </c>
      <c r="T38" s="9">
        <f>(U32-V32)/2</f>
        <v>0.16907500000000009</v>
      </c>
      <c r="U38" s="9">
        <f>U32-T38</f>
        <v>2.4829249999999998</v>
      </c>
      <c r="V38" s="9" t="e">
        <f>(W34+(-X34))/2</f>
        <v>#DIV/0!</v>
      </c>
    </row>
    <row r="39" spans="2:24" x14ac:dyDescent="0.3">
      <c r="L39" s="2"/>
      <c r="M39" s="2"/>
      <c r="N39" s="2"/>
      <c r="O39" s="2"/>
      <c r="P39" s="7"/>
      <c r="Q39" s="7">
        <f>R32+P38</f>
        <v>2.49085</v>
      </c>
      <c r="R39" s="7"/>
      <c r="T39" s="7"/>
      <c r="U39" s="7">
        <f>V32+T38</f>
        <v>2.4829249999999998</v>
      </c>
      <c r="V39" s="7"/>
    </row>
    <row r="40" spans="2:24" x14ac:dyDescent="0.3">
      <c r="L40" s="2"/>
      <c r="M40" s="2"/>
      <c r="N40" s="2"/>
      <c r="O40" s="2"/>
      <c r="P40" s="7"/>
      <c r="Q40" s="7">
        <v>2.49085</v>
      </c>
      <c r="R40" s="7">
        <v>99.412867000000006</v>
      </c>
      <c r="T40" s="7"/>
      <c r="U40" s="7">
        <v>2.49085</v>
      </c>
      <c r="V40" s="7">
        <v>99.412867000000006</v>
      </c>
    </row>
    <row r="41" spans="2:24" x14ac:dyDescent="0.3">
      <c r="L41" s="2"/>
      <c r="P41" s="2"/>
      <c r="Q41" s="2"/>
      <c r="R41" s="2"/>
    </row>
    <row r="42" spans="2:24" x14ac:dyDescent="0.3">
      <c r="L42" s="2"/>
      <c r="P42" s="2"/>
      <c r="Q42" s="2"/>
      <c r="R42" s="2"/>
    </row>
    <row r="47" spans="2:24" ht="28.8" x14ac:dyDescent="0.3">
      <c r="B47" s="9" t="s">
        <v>32</v>
      </c>
      <c r="C47" s="9" t="s">
        <v>2</v>
      </c>
      <c r="D47" s="9" t="s">
        <v>3</v>
      </c>
      <c r="E47" s="9" t="s">
        <v>11</v>
      </c>
      <c r="F47" s="9" t="s">
        <v>33</v>
      </c>
      <c r="G47" s="9" t="s">
        <v>15</v>
      </c>
    </row>
    <row r="48" spans="2:24" x14ac:dyDescent="0.3">
      <c r="B48" s="9">
        <v>-200.01</v>
      </c>
      <c r="C48" s="9">
        <f>2.4829-2.0105</f>
        <v>0.47239999999999993</v>
      </c>
      <c r="D48" s="9">
        <f>2.4829-2.0129</f>
        <v>0.46999999999999975</v>
      </c>
      <c r="E48" s="9">
        <f>(D48+C48)/2</f>
        <v>0.47119999999999984</v>
      </c>
      <c r="F48" s="9">
        <f>E48-2.4829</f>
        <v>-2.0117000000000003</v>
      </c>
      <c r="G48" s="9">
        <f>ABS(B48/F48)</f>
        <v>99.423373266391593</v>
      </c>
    </row>
    <row r="49" spans="1:10" x14ac:dyDescent="0.3">
      <c r="B49" s="9">
        <v>-159.82</v>
      </c>
      <c r="C49" s="9">
        <v>1.6076999999999999</v>
      </c>
      <c r="D49" s="9">
        <v>1.6089</v>
      </c>
      <c r="E49" s="9">
        <f>2.4829-(D49+C49)/2</f>
        <v>0.87460000000000004</v>
      </c>
      <c r="F49" s="9">
        <f t="shared" ref="F49:F56" si="1">E49-2.4829</f>
        <v>-1.6082999999999998</v>
      </c>
      <c r="G49" s="9">
        <f t="shared" ref="G49:G56" si="2">ABS(B49/F49)</f>
        <v>99.372007710004354</v>
      </c>
    </row>
    <row r="50" spans="1:10" x14ac:dyDescent="0.3">
      <c r="B50" s="9">
        <v>-119.89</v>
      </c>
      <c r="C50" s="9">
        <v>1.2036</v>
      </c>
      <c r="D50" s="9">
        <v>1.2048000000000001</v>
      </c>
      <c r="E50" s="9">
        <f t="shared" ref="E50:E62" si="3">2.4829-(D50+C50)/2</f>
        <v>1.2786999999999997</v>
      </c>
      <c r="F50" s="9">
        <f t="shared" si="1"/>
        <v>-1.2042000000000002</v>
      </c>
      <c r="G50" s="9">
        <f t="shared" si="2"/>
        <v>99.559873775120394</v>
      </c>
    </row>
    <row r="51" spans="1:10" x14ac:dyDescent="0.3">
      <c r="B51" s="9">
        <v>-79.930000000000007</v>
      </c>
      <c r="C51" s="9">
        <v>0.80079999999999996</v>
      </c>
      <c r="D51" s="9">
        <v>0.79959999999999998</v>
      </c>
      <c r="E51" s="9">
        <f t="shared" si="3"/>
        <v>1.6826999999999999</v>
      </c>
      <c r="F51" s="9">
        <f t="shared" si="1"/>
        <v>-0.80020000000000002</v>
      </c>
      <c r="G51" s="9">
        <f t="shared" si="2"/>
        <v>99.887528117970518</v>
      </c>
    </row>
    <row r="52" spans="1:10" x14ac:dyDescent="0.3">
      <c r="A52" s="4"/>
      <c r="B52" s="9">
        <v>-39.99</v>
      </c>
      <c r="C52" s="9">
        <v>0.39789999999999998</v>
      </c>
      <c r="D52" s="9">
        <v>0.40039999999999998</v>
      </c>
      <c r="E52" s="9">
        <f t="shared" ref="E52" si="4">2.4829-(D52+C52)/2</f>
        <v>2.0837499999999998</v>
      </c>
      <c r="F52" s="9">
        <f t="shared" si="1"/>
        <v>-0.39915000000000012</v>
      </c>
      <c r="G52" s="9">
        <f t="shared" ref="G52" si="5">ABS(B52/F52)</f>
        <v>100.1878992859827</v>
      </c>
      <c r="H52" s="4"/>
      <c r="I52" s="4"/>
      <c r="J52" s="4"/>
    </row>
    <row r="53" spans="1:10" x14ac:dyDescent="0.3">
      <c r="B53" s="9">
        <v>-34.86</v>
      </c>
      <c r="C53" s="9">
        <v>0.34549999999999997</v>
      </c>
      <c r="D53" s="9">
        <v>0.34670000000000001</v>
      </c>
      <c r="E53" s="9">
        <f t="shared" si="3"/>
        <v>2.1368</v>
      </c>
      <c r="F53" s="9">
        <f t="shared" si="1"/>
        <v>-0.34609999999999985</v>
      </c>
      <c r="G53" s="9">
        <f t="shared" si="2"/>
        <v>100.72233458537998</v>
      </c>
    </row>
    <row r="54" spans="1:10" x14ac:dyDescent="0.3">
      <c r="A54" s="4"/>
      <c r="B54" s="9">
        <v>-10</v>
      </c>
      <c r="C54" s="9">
        <v>9.64E-2</v>
      </c>
      <c r="D54" s="9">
        <v>9.8900000000000002E-2</v>
      </c>
      <c r="E54" s="9">
        <f t="shared" si="3"/>
        <v>2.3852500000000001</v>
      </c>
      <c r="F54" s="9">
        <f t="shared" si="1"/>
        <v>-9.7649999999999793E-2</v>
      </c>
      <c r="G54" s="9">
        <f t="shared" si="2"/>
        <v>102.40655401945746</v>
      </c>
      <c r="H54" s="4"/>
      <c r="I54" s="4"/>
      <c r="J54" s="4"/>
    </row>
    <row r="55" spans="1:10" x14ac:dyDescent="0.3">
      <c r="A55" s="4"/>
      <c r="B55" s="9">
        <v>10</v>
      </c>
      <c r="C55" s="9">
        <v>0.10249999999999999</v>
      </c>
      <c r="D55" s="9">
        <v>0.10009999999999999</v>
      </c>
      <c r="E55" s="9">
        <f t="shared" si="3"/>
        <v>2.3815999999999997</v>
      </c>
      <c r="F55" s="9">
        <f t="shared" si="1"/>
        <v>-0.10130000000000017</v>
      </c>
      <c r="G55" s="9">
        <f t="shared" si="2"/>
        <v>98.716683119447026</v>
      </c>
      <c r="H55" s="4"/>
      <c r="I55" s="4"/>
      <c r="J55" s="4"/>
    </row>
    <row r="56" spans="1:10" x14ac:dyDescent="0.3">
      <c r="A56" s="4"/>
      <c r="B56" s="9">
        <v>20</v>
      </c>
      <c r="C56" s="9">
        <v>0.2014</v>
      </c>
      <c r="D56" s="9">
        <v>0.20019999999999999</v>
      </c>
      <c r="E56" s="9">
        <f t="shared" si="3"/>
        <v>2.2820999999999998</v>
      </c>
      <c r="F56" s="9">
        <f t="shared" si="1"/>
        <v>-0.20080000000000009</v>
      </c>
      <c r="G56" s="9">
        <f t="shared" si="2"/>
        <v>99.601593625497969</v>
      </c>
      <c r="H56" s="4"/>
      <c r="I56" s="4"/>
      <c r="J56" s="4"/>
    </row>
    <row r="57" spans="1:10" x14ac:dyDescent="0.3">
      <c r="B57" s="9">
        <v>29.99</v>
      </c>
      <c r="C57" s="9">
        <v>0.30030000000000001</v>
      </c>
      <c r="D57" s="9">
        <v>0.29909999999999998</v>
      </c>
      <c r="E57" s="9">
        <f t="shared" si="3"/>
        <v>2.1831999999999998</v>
      </c>
      <c r="F57" s="9">
        <f t="shared" ref="F57:F62" si="6">E57-2.4829</f>
        <v>-0.29970000000000008</v>
      </c>
      <c r="G57" s="9">
        <f t="shared" ref="G57:G62" si="7">ABS(B57/F57)</f>
        <v>100.0667334000667</v>
      </c>
    </row>
    <row r="58" spans="1:10" x14ac:dyDescent="0.3">
      <c r="A58" s="4"/>
      <c r="B58" s="9">
        <v>40.01</v>
      </c>
      <c r="C58" s="9">
        <v>0.40039999999999998</v>
      </c>
      <c r="D58" s="9">
        <v>0.3992</v>
      </c>
      <c r="E58" s="9">
        <f t="shared" si="3"/>
        <v>2.0831</v>
      </c>
      <c r="F58" s="9">
        <f t="shared" si="6"/>
        <v>-0.39979999999999993</v>
      </c>
      <c r="G58" s="9">
        <f t="shared" si="7"/>
        <v>100.07503751875939</v>
      </c>
      <c r="H58" s="4"/>
      <c r="I58" s="4"/>
      <c r="J58" s="4"/>
    </row>
    <row r="59" spans="1:10" x14ac:dyDescent="0.3">
      <c r="B59" s="9">
        <v>79.98</v>
      </c>
      <c r="C59" s="9">
        <v>0.79830000000000001</v>
      </c>
      <c r="D59" s="9">
        <v>0.79710000000000003</v>
      </c>
      <c r="E59" s="9">
        <f t="shared" si="3"/>
        <v>1.6851999999999998</v>
      </c>
      <c r="F59" s="9">
        <f t="shared" si="6"/>
        <v>-0.79770000000000008</v>
      </c>
      <c r="G59" s="9">
        <f t="shared" si="7"/>
        <v>100.26325686348251</v>
      </c>
    </row>
    <row r="60" spans="1:10" x14ac:dyDescent="0.3">
      <c r="B60" s="9">
        <v>120.17</v>
      </c>
      <c r="C60" s="9">
        <v>1.2012</v>
      </c>
      <c r="D60" s="9">
        <v>1.2</v>
      </c>
      <c r="E60" s="9">
        <f t="shared" si="3"/>
        <v>1.2822999999999998</v>
      </c>
      <c r="F60" s="9">
        <f t="shared" si="6"/>
        <v>-1.2006000000000001</v>
      </c>
      <c r="G60" s="9">
        <f t="shared" si="7"/>
        <v>100.09162085623853</v>
      </c>
    </row>
    <row r="61" spans="1:10" x14ac:dyDescent="0.3">
      <c r="B61" s="9">
        <v>160.13999999999999</v>
      </c>
      <c r="C61" s="9">
        <v>1.6040000000000001</v>
      </c>
      <c r="D61" s="9">
        <v>1.6052</v>
      </c>
      <c r="E61" s="9">
        <f t="shared" si="3"/>
        <v>0.87829999999999986</v>
      </c>
      <c r="F61" s="9">
        <f t="shared" si="6"/>
        <v>-1.6046</v>
      </c>
      <c r="G61" s="9">
        <f t="shared" si="7"/>
        <v>99.800573351614105</v>
      </c>
    </row>
    <row r="62" spans="1:10" x14ac:dyDescent="0.3">
      <c r="B62" s="9">
        <v>200.09</v>
      </c>
      <c r="C62" s="9">
        <v>2.0081000000000002</v>
      </c>
      <c r="D62" s="9">
        <v>2.0105</v>
      </c>
      <c r="E62" s="9">
        <f t="shared" si="3"/>
        <v>0.4735999999999998</v>
      </c>
      <c r="F62" s="9">
        <f t="shared" si="6"/>
        <v>-2.0093000000000001</v>
      </c>
      <c r="G62" s="9">
        <f t="shared" si="7"/>
        <v>99.581943960583288</v>
      </c>
    </row>
    <row r="64" spans="1:10" x14ac:dyDescent="0.3">
      <c r="B64" s="9"/>
      <c r="C64" s="9"/>
      <c r="D64" s="9"/>
      <c r="E64" s="9"/>
      <c r="F64" s="9"/>
      <c r="G64" s="9"/>
    </row>
    <row r="65" spans="1:10" x14ac:dyDescent="0.3">
      <c r="B65" s="9">
        <v>0</v>
      </c>
      <c r="C65" s="9">
        <v>2.4841000000000002</v>
      </c>
      <c r="D65" s="9">
        <v>2.4817</v>
      </c>
      <c r="E65" s="9">
        <f>(D65+C65)/2</f>
        <v>2.4828999999999999</v>
      </c>
      <c r="F65" s="9">
        <v>0</v>
      </c>
      <c r="G65" s="9" t="e">
        <f>ABS(B65/F65)</f>
        <v>#DIV/0!</v>
      </c>
    </row>
    <row r="68" spans="1:10" x14ac:dyDescent="0.3">
      <c r="C68" s="4">
        <f>(G60+G50)/2</f>
        <v>99.825747315679465</v>
      </c>
    </row>
    <row r="69" spans="1:10" x14ac:dyDescent="0.3">
      <c r="C69" s="4">
        <v>99.825699999999998</v>
      </c>
      <c r="G69" s="1">
        <f>SUM(G48:G53)+SUM(G56:G62)</f>
        <v>1298.633776317092</v>
      </c>
    </row>
    <row r="70" spans="1:10" x14ac:dyDescent="0.3">
      <c r="G70" s="1">
        <f>G69/13</f>
        <v>99.894905870545543</v>
      </c>
    </row>
    <row r="76" spans="1:10" ht="28.8" x14ac:dyDescent="0.3">
      <c r="B76" s="22" t="s">
        <v>32</v>
      </c>
      <c r="C76" s="22" t="s">
        <v>2</v>
      </c>
      <c r="D76" s="22" t="s">
        <v>3</v>
      </c>
      <c r="E76" s="22" t="s">
        <v>11</v>
      </c>
      <c r="F76" s="22" t="s">
        <v>33</v>
      </c>
      <c r="G76" s="22" t="s">
        <v>15</v>
      </c>
    </row>
    <row r="77" spans="1:10" x14ac:dyDescent="0.3">
      <c r="B77" s="22">
        <v>170.245</v>
      </c>
      <c r="C77" s="22">
        <v>1.7053</v>
      </c>
      <c r="D77" s="22">
        <v>1.7040999999999999</v>
      </c>
      <c r="E77" s="22">
        <f>(D77+C77)/2</f>
        <v>1.7046999999999999</v>
      </c>
      <c r="F77" s="22">
        <f>E77-2.4829</f>
        <v>-0.7782</v>
      </c>
      <c r="G77" s="22">
        <f>ABS(B77/E77)</f>
        <v>99.868011966915006</v>
      </c>
    </row>
    <row r="78" spans="1:10" x14ac:dyDescent="0.3">
      <c r="A78" s="21"/>
      <c r="B78" s="22">
        <v>169.27699999999999</v>
      </c>
      <c r="C78" s="22">
        <v>1.698</v>
      </c>
      <c r="D78" s="22">
        <v>1.6956</v>
      </c>
      <c r="E78" s="22">
        <f>(D78+C78)/2</f>
        <v>1.6968000000000001</v>
      </c>
      <c r="F78" s="22">
        <f>E78-2.4829</f>
        <v>-0.7860999999999998</v>
      </c>
      <c r="G78" s="22">
        <f>ABS(B78/E78)</f>
        <v>99.762494106553504</v>
      </c>
      <c r="H78" s="21"/>
      <c r="I78" s="21"/>
      <c r="J78" s="21"/>
    </row>
    <row r="79" spans="1:10" x14ac:dyDescent="0.3">
      <c r="B79" s="22">
        <v>-168.79</v>
      </c>
      <c r="C79" s="22">
        <v>-1.7053</v>
      </c>
      <c r="D79" s="22">
        <v>-1.7077</v>
      </c>
      <c r="E79" s="22">
        <f t="shared" ref="E79:E81" si="8">2.4829-(D79+C79)/2</f>
        <v>4.1894</v>
      </c>
      <c r="F79" s="22">
        <f t="shared" ref="F79:F81" si="9">E79-2.4829</f>
        <v>1.7065000000000001</v>
      </c>
      <c r="G79" s="22">
        <f t="shared" ref="G79:G81" si="10">ABS(B79/F79)</f>
        <v>98.910049809551708</v>
      </c>
    </row>
    <row r="80" spans="1:10" x14ac:dyDescent="0.3">
      <c r="B80" s="22">
        <v>-169.708</v>
      </c>
      <c r="C80" s="22">
        <v>-1.7117500000000001</v>
      </c>
      <c r="D80" s="22">
        <v>-1.72</v>
      </c>
      <c r="E80" s="22">
        <f t="shared" si="8"/>
        <v>4.1987749999999995</v>
      </c>
      <c r="F80" s="22">
        <f t="shared" si="9"/>
        <v>1.7158749999999996</v>
      </c>
      <c r="G80" s="22">
        <f t="shared" si="10"/>
        <v>98.904640489546168</v>
      </c>
    </row>
    <row r="81" spans="1:10" x14ac:dyDescent="0.3">
      <c r="B81" s="22">
        <v>-199.24199999999999</v>
      </c>
      <c r="C81" s="22">
        <v>-2.0105</v>
      </c>
      <c r="D81" s="22">
        <v>-2.0116999999999998</v>
      </c>
      <c r="E81" s="22">
        <f t="shared" si="8"/>
        <v>4.4939999999999998</v>
      </c>
      <c r="F81" s="22">
        <f t="shared" si="9"/>
        <v>2.0110999999999999</v>
      </c>
      <c r="G81" s="22">
        <f t="shared" si="10"/>
        <v>99.071155089254631</v>
      </c>
    </row>
    <row r="82" spans="1:10" x14ac:dyDescent="0.3">
      <c r="G82" s="1">
        <v>99.293700000000001</v>
      </c>
    </row>
    <row r="83" spans="1:10" x14ac:dyDescent="0.3">
      <c r="G83" s="1">
        <f>SUM(G77:G81)/5</f>
        <v>99.303270292364203</v>
      </c>
    </row>
    <row r="84" spans="1:10" x14ac:dyDescent="0.3">
      <c r="A84" s="21"/>
      <c r="B84" s="1">
        <v>9.1999999999999998E-2</v>
      </c>
      <c r="C84" s="4">
        <v>4.8999999999999998E-3</v>
      </c>
      <c r="D84" s="4">
        <v>3.7000000000000002E-3</v>
      </c>
      <c r="H84" s="21"/>
      <c r="I84" s="21"/>
      <c r="J84" s="21"/>
    </row>
    <row r="85" spans="1:10" x14ac:dyDescent="0.3">
      <c r="B85" s="1">
        <v>0</v>
      </c>
      <c r="C85" s="4">
        <v>2.4878</v>
      </c>
      <c r="D85" s="4">
        <v>2.4853999999999998</v>
      </c>
      <c r="E85" s="22">
        <f>(D85+C85)/2</f>
        <v>2.4866000000000001</v>
      </c>
    </row>
    <row r="86" spans="1:10" x14ac:dyDescent="0.3">
      <c r="A86" s="21"/>
      <c r="H86" s="21"/>
      <c r="I86" s="21"/>
      <c r="J86" s="21"/>
    </row>
    <row r="88" spans="1:10" x14ac:dyDescent="0.3">
      <c r="B88" s="22"/>
      <c r="C88" s="22"/>
      <c r="D88" s="22"/>
      <c r="E88" s="22"/>
      <c r="F88" s="22"/>
      <c r="G88" s="22"/>
    </row>
    <row r="89" spans="1:10" x14ac:dyDescent="0.3">
      <c r="B89" s="22"/>
      <c r="C89" s="22"/>
      <c r="D89" s="22"/>
      <c r="E89" s="22"/>
      <c r="F89" s="22"/>
      <c r="G89" s="22"/>
    </row>
    <row r="90" spans="1:10" x14ac:dyDescent="0.3">
      <c r="B90" s="22"/>
      <c r="C90" s="22"/>
      <c r="D90" s="22"/>
      <c r="E90" s="22"/>
      <c r="F90" s="22"/>
      <c r="G90" s="22"/>
    </row>
    <row r="91" spans="1:10" x14ac:dyDescent="0.3">
      <c r="B91" s="22"/>
      <c r="C91" s="22"/>
      <c r="D91" s="22"/>
      <c r="E91" s="22"/>
      <c r="F91" s="22"/>
      <c r="G91" s="22"/>
    </row>
    <row r="94" spans="1:10" x14ac:dyDescent="0.3">
      <c r="B94" s="22">
        <v>121.119</v>
      </c>
      <c r="C94" s="22">
        <v>1.2170000000000001</v>
      </c>
      <c r="D94" s="22">
        <v>1.2145999999999999</v>
      </c>
      <c r="E94" s="22">
        <f t="shared" ref="E94:E99" si="11">2.4829-(D94+C94)/2</f>
        <v>1.2670999999999999</v>
      </c>
      <c r="F94" s="22">
        <f t="shared" ref="F94:F99" si="12">E94-2.4829</f>
        <v>-1.2158</v>
      </c>
      <c r="G94" s="22">
        <f t="shared" ref="G94:G99" si="13">ABS(B94/F94)</f>
        <v>99.620825793716065</v>
      </c>
    </row>
    <row r="95" spans="1:10" x14ac:dyDescent="0.3">
      <c r="B95" s="22">
        <v>80.983999999999995</v>
      </c>
      <c r="C95" s="22">
        <v>0.80930000000000002</v>
      </c>
      <c r="D95" s="22">
        <v>0.80810000000000004</v>
      </c>
      <c r="E95" s="22">
        <f t="shared" si="11"/>
        <v>1.6741999999999999</v>
      </c>
      <c r="F95" s="22">
        <f t="shared" si="12"/>
        <v>-0.80869999999999997</v>
      </c>
      <c r="G95" s="22">
        <f t="shared" si="13"/>
        <v>100.14096698404848</v>
      </c>
    </row>
    <row r="96" spans="1:10" x14ac:dyDescent="0.3">
      <c r="B96" s="22">
        <v>40.944000000000003</v>
      </c>
      <c r="C96" s="22">
        <v>0.40649999999999997</v>
      </c>
      <c r="D96" s="22">
        <v>0.40410000000000001</v>
      </c>
      <c r="E96" s="22">
        <f t="shared" si="11"/>
        <v>2.0775999999999999</v>
      </c>
      <c r="F96" s="22">
        <f t="shared" si="12"/>
        <v>-0.40529999999999999</v>
      </c>
      <c r="G96" s="22">
        <f t="shared" si="13"/>
        <v>101.02146558105107</v>
      </c>
    </row>
    <row r="97" spans="1:13" x14ac:dyDescent="0.3">
      <c r="B97" s="22">
        <v>-39.012500000000003</v>
      </c>
      <c r="C97" s="22">
        <v>-0.39789999999999998</v>
      </c>
      <c r="D97" s="22">
        <v>-0.3992</v>
      </c>
      <c r="E97" s="22">
        <f t="shared" si="11"/>
        <v>2.8814500000000001</v>
      </c>
      <c r="F97" s="22">
        <f t="shared" si="12"/>
        <v>0.39855000000000018</v>
      </c>
      <c r="G97" s="22">
        <f t="shared" si="13"/>
        <v>97.886087065612813</v>
      </c>
    </row>
    <row r="98" spans="1:13" x14ac:dyDescent="0.3">
      <c r="B98" s="22">
        <v>-79.002300000000005</v>
      </c>
      <c r="C98" s="22">
        <v>-0.80088000000000004</v>
      </c>
      <c r="D98" s="22">
        <v>-0.80200000000000005</v>
      </c>
      <c r="E98" s="22">
        <f t="shared" si="11"/>
        <v>3.2843399999999998</v>
      </c>
      <c r="F98" s="22">
        <f t="shared" si="12"/>
        <v>0.80143999999999993</v>
      </c>
      <c r="G98" s="22">
        <f t="shared" si="13"/>
        <v>98.575439209423052</v>
      </c>
      <c r="I98" s="1">
        <v>16000</v>
      </c>
      <c r="J98" s="1">
        <v>416</v>
      </c>
    </row>
    <row r="99" spans="1:13" x14ac:dyDescent="0.3">
      <c r="B99" s="22">
        <v>-118.98699999999999</v>
      </c>
      <c r="C99" s="22">
        <v>-1.206</v>
      </c>
      <c r="D99" s="22">
        <v>-1.2048000000000001</v>
      </c>
      <c r="E99" s="22">
        <f t="shared" si="11"/>
        <v>3.6882999999999999</v>
      </c>
      <c r="F99" s="22">
        <f t="shared" si="12"/>
        <v>1.2054</v>
      </c>
      <c r="G99" s="22">
        <f t="shared" si="13"/>
        <v>98.71163099386095</v>
      </c>
      <c r="I99" s="1" t="s">
        <v>34</v>
      </c>
      <c r="J99" s="1" t="s">
        <v>35</v>
      </c>
      <c r="K99" t="s">
        <v>37</v>
      </c>
      <c r="L99" t="s">
        <v>36</v>
      </c>
      <c r="M99" s="30" t="s">
        <v>38</v>
      </c>
    </row>
    <row r="100" spans="1:13" x14ac:dyDescent="0.3">
      <c r="A100" s="23"/>
      <c r="B100" s="31"/>
      <c r="C100" s="31"/>
      <c r="D100" s="31"/>
      <c r="E100" s="31"/>
      <c r="F100" s="31"/>
      <c r="G100" s="31"/>
      <c r="H100" s="23"/>
      <c r="I100" s="23">
        <f>J100*3</f>
        <v>27000</v>
      </c>
      <c r="J100" s="23">
        <v>9000</v>
      </c>
      <c r="K100">
        <f>1/((1/J100)+(1/16000))</f>
        <v>5760</v>
      </c>
      <c r="L100">
        <f>K100*416/(K100+I100)</f>
        <v>73.142857142857139</v>
      </c>
      <c r="M100">
        <f>L100^2/(J100)</f>
        <v>0.59443083900226756</v>
      </c>
    </row>
    <row r="101" spans="1:13" x14ac:dyDescent="0.3">
      <c r="I101" s="1">
        <f>J101*3</f>
        <v>30000</v>
      </c>
      <c r="J101" s="1">
        <v>10000</v>
      </c>
      <c r="K101">
        <f>1/((1/J101)+(1/16000))</f>
        <v>6153.8461538461543</v>
      </c>
      <c r="L101">
        <f>K101*416/(K101+I101)</f>
        <v>70.808510638297861</v>
      </c>
      <c r="M101">
        <f>L101^2/(J101)</f>
        <v>0.50138451788139404</v>
      </c>
    </row>
    <row r="102" spans="1:13" x14ac:dyDescent="0.3">
      <c r="I102" s="23">
        <f>J102*3</f>
        <v>33000</v>
      </c>
      <c r="J102" s="1">
        <v>11000</v>
      </c>
      <c r="K102">
        <f>1/((1/J102)+(1/16000))</f>
        <v>6518.5185185185182</v>
      </c>
      <c r="L102">
        <f>K102*416/(K102+I102)</f>
        <v>68.618556701030926</v>
      </c>
      <c r="M102">
        <f>L102^2/(J102)</f>
        <v>0.42804602943023595</v>
      </c>
    </row>
    <row r="103" spans="1:13" x14ac:dyDescent="0.3">
      <c r="I103" s="23">
        <f>J103*3</f>
        <v>36000</v>
      </c>
      <c r="J103" s="23">
        <v>12000</v>
      </c>
      <c r="K103">
        <f>1/((1/J103)+(1/16000))</f>
        <v>6857.1428571428578</v>
      </c>
      <c r="L103">
        <f>K103*416/(K103+I103)</f>
        <v>66.56</v>
      </c>
      <c r="M103">
        <f>L103^2/(J103)</f>
        <v>0.36918613333333339</v>
      </c>
    </row>
    <row r="104" spans="1:13" x14ac:dyDescent="0.3">
      <c r="I104" s="23">
        <f>J104*3</f>
        <v>39000</v>
      </c>
      <c r="J104" s="23">
        <v>13000</v>
      </c>
      <c r="K104">
        <f>1/((1/J104)+(1/16000))</f>
        <v>7172.4137931034484</v>
      </c>
      <c r="L104">
        <f>K104*416/(K104+I104)</f>
        <v>64.621359223300971</v>
      </c>
      <c r="M104">
        <f>L104^2/(J104)</f>
        <v>0.32122462060514662</v>
      </c>
    </row>
  </sheetData>
  <mergeCells count="8">
    <mergeCell ref="U28:V28"/>
    <mergeCell ref="W28:X28"/>
    <mergeCell ref="A1:M1"/>
    <mergeCell ref="S28:T28"/>
    <mergeCell ref="Q2:S2"/>
    <mergeCell ref="P1:T1"/>
    <mergeCell ref="M28:R28"/>
    <mergeCell ref="L26:T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SmartCitiesGroup</dc:creator>
  <cp:lastModifiedBy>Andres</cp:lastModifiedBy>
  <dcterms:created xsi:type="dcterms:W3CDTF">2018-06-12T16:46:28Z</dcterms:created>
  <dcterms:modified xsi:type="dcterms:W3CDTF">2018-06-28T19:56:58Z</dcterms:modified>
</cp:coreProperties>
</file>