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anjaria\AppData\Local\Temp\"/>
    </mc:Choice>
  </mc:AlternateContent>
  <bookViews>
    <workbookView xWindow="53940" yWindow="0" windowWidth="28800" windowHeight="12435" tabRatio="642"/>
  </bookViews>
  <sheets>
    <sheet name="Report" sheetId="1" r:id="rId1"/>
    <sheet name="Inv Theme" sheetId="4" r:id="rId2"/>
    <sheet name="Disclosures" sheetId="6" r:id="rId3"/>
    <sheet name="Data" sheetId="2" state="hidden" r:id="rId4"/>
  </sheets>
  <definedNames>
    <definedName name="_95_cvar_weekly">Data!$B$502</definedName>
    <definedName name="_95_var_weekly">Data!$A$502</definedName>
    <definedName name="_99_cvar_weekly">Data!$D$502</definedName>
    <definedName name="_99_var_weekly">Data!$C$502</definedName>
    <definedName name="_xlnm._FilterDatabase" localSheetId="0" hidden="1">Report!$A$26:$T$26</definedName>
    <definedName name="asof2">Data!$B$1</definedName>
    <definedName name="bot_5_month">Data!$D$30:$E$35</definedName>
    <definedName name="bot_5_year">Data!$J$30:$K$35</definedName>
    <definedName name="cash">Data!$I$2</definedName>
    <definedName name="counterparty_exposures">Data!$Q$30:$T$37</definedName>
    <definedName name="cr01_by_issuer">Data!$AD$2:$AI$57</definedName>
    <definedName name="cr01_by_issuer_check">Report!$H$567</definedName>
    <definedName name="daily_pnl">Data!$L$328</definedName>
    <definedName name="extreme_loss">Data!$A$383:$G$425</definedName>
    <definedName name="extreme_loss_check">Report!$K$352</definedName>
    <definedName name="extreme_loss_tag4">Data!$W$383:$X$389</definedName>
    <definedName name="extreme_loss_tag5">Data!$AF$383:$AG$387</definedName>
    <definedName name="fx_delta_ccy">Data!$A$40:$J$57</definedName>
    <definedName name="fx_delta_ccy_check">Report!$F$445</definedName>
    <definedName name="fx_delta_market">Data!$A$79:$G$81</definedName>
    <definedName name="fx_delta_region">Data!$A$71:$G$75</definedName>
    <definedName name="fx_vega">Data!$A$86:$J$105</definedName>
    <definedName name="investment_themes">Data!$A$632:$B$675</definedName>
    <definedName name="investment_themes_count">Data!$A$628</definedName>
    <definedName name="jtd_by_issuer">Data!$AM$2:$AN$57</definedName>
    <definedName name="liquidity_by_tag_5">Data!$A$181:$D$185</definedName>
    <definedName name="macro_factor_exposures">Data!$A$206:$O$248</definedName>
    <definedName name="macro_factor_exposures_check">Report!$H$116</definedName>
    <definedName name="macro_factors_by_tag_4">Data!$A$309:$L$315</definedName>
    <definedName name="margin">Data!$L$1</definedName>
    <definedName name="market_value_by_side">Data!$K$18:$L$20</definedName>
    <definedName name="mcr_tag_3">Data!$W$4:$X$24</definedName>
    <definedName name="mcr_tag_4">Data!$Q$17:$R$23</definedName>
    <definedName name="mcr_tag_5">Data!$Q$4:$R$8</definedName>
    <definedName name="mtd_ytd_pnl_by_tag_level_4">Data!$A$18:$E$25</definedName>
    <definedName name="mtd_ytd_pnl_by_tag_level_5">Data!$A$5:$E$12</definedName>
    <definedName name="Nav">Data!$B$2</definedName>
    <definedName name="no_risk_themes">Data!$F$328</definedName>
    <definedName name="no_strategies">Data!$C$328</definedName>
    <definedName name="portfolio_name">Data!$B$3</definedName>
    <definedName name="portfolio_pnl_by_scenarios">Data!$A$331:$C$337</definedName>
    <definedName name="portfolio_volatility">Data!$B$203</definedName>
    <definedName name="_xlnm.Print_Area" localSheetId="1">'Inv Theme'!$G$17:$U$128</definedName>
    <definedName name="_xlnm.Print_Area" localSheetId="0">Report!$B$2:$T$679</definedName>
    <definedName name="rates_dv01_by_ccy">Data!$A$111:$K$113</definedName>
    <definedName name="rates_dv01_by_ccy_check">Report!$F$478</definedName>
    <definedName name="rates_dv01_by_region">Data!$A$126:$K$127</definedName>
    <definedName name="rates_vega_by_ccy">Data!$A$460:$B$463</definedName>
    <definedName name="rates_vega_by_region">Data!$R$460:$S$462</definedName>
    <definedName name="strategy_level_concentrations">Data!$Q$206:$AI$253</definedName>
    <definedName name="strategy_level_concentrations_check">Report!$J$196</definedName>
    <definedName name="stressed_liquidity_by_tag_5">Data!$A$193:$D$197</definedName>
    <definedName name="stressed_liquidity_impact">Data!$H$460:$K$464</definedName>
    <definedName name="t_bill">Data!$I$1</definedName>
    <definedName name="theme_level_concentrations">Data!$Q$165:$AA$186</definedName>
    <definedName name="theme_level_concentrations_check">Report!$L$273</definedName>
    <definedName name="theta_gamma_by_fx_pair">Data!$Y$142:$AB$161</definedName>
    <definedName name="theta_gamma_by_fx_pair_check">Report!$F$461</definedName>
    <definedName name="theta_gamma_by_rate_ccy">Data!$A$165:$C$168</definedName>
    <definedName name="theta_gamma_by_rate_region">Data!$N$126:$P$128</definedName>
    <definedName name="top_5_month">Data!$A$30:$B$35</definedName>
    <definedName name="top_5_year">Data!$G$30:$H$35</definedName>
    <definedName name="vol_adj_cr01">Data!$AQ$2:$AT$57</definedName>
    <definedName name="volatility_by_tag_4">Data!$A$347:$B$353</definedName>
    <definedName name="volatility_by_tag_5">Data!$A$365:$B$369</definedName>
    <definedName name="worst_week_in_rv">Data!$I$328</definedName>
    <definedName name="wtd_pnl">Data!$A$328</definedName>
    <definedName name="ytd_pnl_bps">Data!$O$1</definedName>
  </definedNames>
  <calcPr calcId="152511" calcMode="manual" calcCompleted="0" calcOnSave="0"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7" i="1" l="1" a="1"/>
  <c r="G117" i="1"/>
  <c r="O117" i="1"/>
  <c r="R117" i="1"/>
  <c r="G118" i="1"/>
  <c r="O118" i="1"/>
  <c r="R118" i="1"/>
  <c r="G119" i="1"/>
  <c r="O119" i="1"/>
  <c r="R119" i="1"/>
  <c r="G120" i="1"/>
  <c r="O120" i="1"/>
  <c r="R120" i="1"/>
  <c r="G121" i="1"/>
  <c r="O121" i="1"/>
  <c r="R121" i="1"/>
  <c r="G122" i="1"/>
  <c r="O122" i="1"/>
  <c r="R122" i="1"/>
  <c r="G123" i="1"/>
  <c r="O123" i="1"/>
  <c r="R123" i="1"/>
  <c r="G124" i="1"/>
  <c r="O124" i="1"/>
  <c r="R124" i="1"/>
  <c r="G125" i="1"/>
  <c r="O125" i="1"/>
  <c r="R125" i="1"/>
  <c r="G126" i="1"/>
  <c r="O126" i="1"/>
  <c r="R126" i="1"/>
  <c r="G127" i="1"/>
  <c r="O127" i="1"/>
  <c r="R127" i="1"/>
  <c r="G128" i="1"/>
  <c r="O128" i="1"/>
  <c r="R128" i="1"/>
  <c r="G129" i="1"/>
  <c r="O129" i="1"/>
  <c r="R129" i="1"/>
  <c r="G130" i="1"/>
  <c r="O130" i="1"/>
  <c r="R130" i="1"/>
  <c r="G131" i="1"/>
  <c r="O131" i="1"/>
  <c r="R131" i="1"/>
  <c r="G132" i="1"/>
  <c r="O132" i="1"/>
  <c r="R132" i="1"/>
  <c r="G133" i="1"/>
  <c r="O133" i="1"/>
  <c r="R133" i="1"/>
  <c r="G134" i="1"/>
  <c r="O134" i="1"/>
  <c r="R134" i="1"/>
  <c r="G135" i="1"/>
  <c r="O135" i="1"/>
  <c r="R135" i="1"/>
  <c r="G136" i="1"/>
  <c r="O136" i="1"/>
  <c r="R136" i="1"/>
  <c r="G137" i="1"/>
  <c r="O137" i="1"/>
  <c r="R137" i="1"/>
  <c r="G138" i="1"/>
  <c r="O138" i="1"/>
  <c r="R138" i="1"/>
  <c r="G139" i="1"/>
  <c r="O139" i="1"/>
  <c r="R139" i="1"/>
  <c r="G140" i="1"/>
  <c r="O140" i="1"/>
  <c r="R140" i="1"/>
  <c r="G141" i="1"/>
  <c r="O141" i="1"/>
  <c r="R141" i="1"/>
  <c r="G142" i="1"/>
  <c r="O142" i="1"/>
  <c r="R142" i="1"/>
  <c r="G143" i="1"/>
  <c r="O143" i="1"/>
  <c r="R143" i="1"/>
  <c r="G144" i="1"/>
  <c r="O144" i="1"/>
  <c r="R144" i="1"/>
  <c r="G145" i="1"/>
  <c r="O145" i="1"/>
  <c r="R145" i="1"/>
  <c r="G146" i="1"/>
  <c r="O146" i="1"/>
  <c r="R146" i="1"/>
  <c r="G147" i="1"/>
  <c r="O147" i="1"/>
  <c r="R147" i="1"/>
  <c r="G148" i="1"/>
  <c r="O148" i="1"/>
  <c r="R148" i="1"/>
  <c r="G149" i="1"/>
  <c r="O149" i="1"/>
  <c r="R149" i="1"/>
  <c r="G150" i="1"/>
  <c r="O150" i="1"/>
  <c r="R150" i="1"/>
  <c r="G151" i="1"/>
  <c r="O151" i="1"/>
  <c r="R151" i="1"/>
  <c r="G152" i="1"/>
  <c r="O152" i="1"/>
  <c r="R152" i="1"/>
  <c r="G153" i="1"/>
  <c r="O153" i="1"/>
  <c r="R153" i="1"/>
  <c r="G154" i="1"/>
  <c r="O154" i="1"/>
  <c r="R154" i="1"/>
  <c r="G155" i="1"/>
  <c r="O155" i="1"/>
  <c r="R155" i="1"/>
  <c r="G156" i="1"/>
  <c r="O156" i="1"/>
  <c r="R156" i="1"/>
  <c r="G157" i="1"/>
  <c r="O157" i="1"/>
  <c r="R157" i="1"/>
  <c r="G158" i="1"/>
  <c r="O158" i="1"/>
  <c r="R158" i="1"/>
  <c r="G159" i="1"/>
  <c r="R159" i="1"/>
  <c r="G160" i="1"/>
  <c r="R160" i="1"/>
  <c r="G161" i="1"/>
  <c r="R161" i="1"/>
  <c r="G162" i="1"/>
  <c r="R162" i="1"/>
  <c r="G163" i="1"/>
  <c r="R163" i="1"/>
  <c r="G164" i="1"/>
  <c r="R164" i="1"/>
  <c r="G165" i="1"/>
  <c r="R165" i="1"/>
  <c r="G166" i="1"/>
  <c r="R166" i="1"/>
  <c r="G167" i="1"/>
  <c r="R167" i="1"/>
  <c r="G168" i="1"/>
  <c r="R168" i="1"/>
  <c r="G169" i="1"/>
  <c r="R169" i="1"/>
  <c r="G170" i="1"/>
  <c r="R170" i="1"/>
  <c r="G171" i="1"/>
  <c r="R171" i="1"/>
  <c r="G172" i="1"/>
  <c r="R172" i="1"/>
  <c r="G173" i="1"/>
  <c r="R173" i="1"/>
  <c r="G174" i="1"/>
  <c r="R174" i="1"/>
  <c r="G175" i="1"/>
  <c r="R175" i="1"/>
  <c r="G176" i="1"/>
  <c r="R176" i="1"/>
  <c r="G177" i="1"/>
  <c r="R177" i="1"/>
  <c r="G178" i="1"/>
  <c r="R178" i="1"/>
  <c r="G179" i="1"/>
  <c r="R179" i="1"/>
  <c r="G180" i="1"/>
  <c r="R180" i="1"/>
  <c r="G181" i="1"/>
  <c r="R181" i="1"/>
  <c r="G182" i="1"/>
  <c r="R182" i="1"/>
  <c r="G183" i="1"/>
  <c r="R183" i="1"/>
  <c r="G184" i="1"/>
  <c r="R184" i="1"/>
  <c r="G185" i="1"/>
  <c r="R185" i="1"/>
  <c r="G186" i="1"/>
  <c r="R186" i="1"/>
  <c r="R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16" i="1"/>
  <c r="P116"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16" i="1"/>
  <c r="N116" i="1"/>
  <c r="H179" i="1"/>
  <c r="I179" i="1"/>
  <c r="J179" i="1"/>
  <c r="K179" i="1"/>
  <c r="L179" i="1"/>
  <c r="M179" i="1"/>
  <c r="N179" i="1"/>
  <c r="P179" i="1"/>
  <c r="S179" i="1"/>
  <c r="H180" i="1"/>
  <c r="I180" i="1"/>
  <c r="J180" i="1"/>
  <c r="K180" i="1"/>
  <c r="L180" i="1"/>
  <c r="M180" i="1"/>
  <c r="N180" i="1"/>
  <c r="P180" i="1"/>
  <c r="S180" i="1"/>
  <c r="H181" i="1"/>
  <c r="I181" i="1"/>
  <c r="J181" i="1"/>
  <c r="K181" i="1"/>
  <c r="L181" i="1"/>
  <c r="M181" i="1"/>
  <c r="N181" i="1"/>
  <c r="P181" i="1"/>
  <c r="S181" i="1"/>
  <c r="H182" i="1"/>
  <c r="I182" i="1"/>
  <c r="J182" i="1"/>
  <c r="K182" i="1"/>
  <c r="L182" i="1"/>
  <c r="M182" i="1"/>
  <c r="N182" i="1"/>
  <c r="P182" i="1"/>
  <c r="S182" i="1"/>
  <c r="H183" i="1"/>
  <c r="I183" i="1"/>
  <c r="J183" i="1"/>
  <c r="K183" i="1"/>
  <c r="L183" i="1"/>
  <c r="M183" i="1"/>
  <c r="N183" i="1"/>
  <c r="P183" i="1"/>
  <c r="S183" i="1"/>
  <c r="H184" i="1"/>
  <c r="I184" i="1"/>
  <c r="J184" i="1"/>
  <c r="K184" i="1"/>
  <c r="L184" i="1"/>
  <c r="M184" i="1"/>
  <c r="N184" i="1"/>
  <c r="P184" i="1"/>
  <c r="S184" i="1"/>
  <c r="H185" i="1"/>
  <c r="I185" i="1"/>
  <c r="J185" i="1"/>
  <c r="K185" i="1"/>
  <c r="L185" i="1"/>
  <c r="M185" i="1"/>
  <c r="N185" i="1"/>
  <c r="P185" i="1"/>
  <c r="S185" i="1"/>
  <c r="H186" i="1"/>
  <c r="I186" i="1"/>
  <c r="J186" i="1"/>
  <c r="K186" i="1"/>
  <c r="L186" i="1"/>
  <c r="M186" i="1"/>
  <c r="N186" i="1"/>
  <c r="P186" i="1"/>
  <c r="S186" i="1"/>
  <c r="M109" i="1"/>
  <c r="H308" i="1"/>
  <c r="I308" i="1"/>
  <c r="J308" i="1"/>
  <c r="K308" i="1"/>
  <c r="L308" i="1"/>
  <c r="M308" i="1"/>
  <c r="N308" i="1"/>
  <c r="O308" i="1"/>
  <c r="P308" i="1"/>
  <c r="H309" i="1"/>
  <c r="I309" i="1"/>
  <c r="J309" i="1"/>
  <c r="K309" i="1"/>
  <c r="L309" i="1"/>
  <c r="M309" i="1"/>
  <c r="N309" i="1"/>
  <c r="O309" i="1"/>
  <c r="P309" i="1"/>
  <c r="H310" i="1"/>
  <c r="I310" i="1"/>
  <c r="J310" i="1"/>
  <c r="K310" i="1"/>
  <c r="L310" i="1"/>
  <c r="M310" i="1"/>
  <c r="N310" i="1"/>
  <c r="O310" i="1"/>
  <c r="P310" i="1"/>
  <c r="H311" i="1"/>
  <c r="I311" i="1"/>
  <c r="J311" i="1"/>
  <c r="K311" i="1"/>
  <c r="L311" i="1"/>
  <c r="M311" i="1"/>
  <c r="N311" i="1"/>
  <c r="O311" i="1"/>
  <c r="P311" i="1"/>
  <c r="H312" i="1"/>
  <c r="I312" i="1"/>
  <c r="J312" i="1"/>
  <c r="K312" i="1"/>
  <c r="L312" i="1"/>
  <c r="M312" i="1"/>
  <c r="N312" i="1"/>
  <c r="O312" i="1"/>
  <c r="P312" i="1"/>
  <c r="H313" i="1"/>
  <c r="I313" i="1"/>
  <c r="J313" i="1"/>
  <c r="K313" i="1"/>
  <c r="L313" i="1"/>
  <c r="M313" i="1"/>
  <c r="N313" i="1"/>
  <c r="O313" i="1"/>
  <c r="P313" i="1"/>
  <c r="H314" i="1"/>
  <c r="I314" i="1"/>
  <c r="J314" i="1"/>
  <c r="K314" i="1"/>
  <c r="L314" i="1"/>
  <c r="M314" i="1"/>
  <c r="N314" i="1"/>
  <c r="O314" i="1"/>
  <c r="P314" i="1"/>
  <c r="H315" i="1"/>
  <c r="I315" i="1"/>
  <c r="J315" i="1"/>
  <c r="K315" i="1"/>
  <c r="L315" i="1"/>
  <c r="M315" i="1"/>
  <c r="N315" i="1"/>
  <c r="O315" i="1"/>
  <c r="P315" i="1"/>
  <c r="H316" i="1"/>
  <c r="I316" i="1"/>
  <c r="J316" i="1"/>
  <c r="K316" i="1"/>
  <c r="L316" i="1"/>
  <c r="M316" i="1"/>
  <c r="N316" i="1"/>
  <c r="O316" i="1"/>
  <c r="P316" i="1"/>
  <c r="H317" i="1"/>
  <c r="I317" i="1"/>
  <c r="J317" i="1"/>
  <c r="K317" i="1"/>
  <c r="L317" i="1"/>
  <c r="M317" i="1"/>
  <c r="N317" i="1"/>
  <c r="O317" i="1"/>
  <c r="P317" i="1"/>
  <c r="H318" i="1"/>
  <c r="I318" i="1"/>
  <c r="J318" i="1"/>
  <c r="K318" i="1"/>
  <c r="L318" i="1"/>
  <c r="M318" i="1"/>
  <c r="N318" i="1"/>
  <c r="O318" i="1"/>
  <c r="P318" i="1"/>
  <c r="H319" i="1"/>
  <c r="I319" i="1"/>
  <c r="J319" i="1"/>
  <c r="K319" i="1"/>
  <c r="L319" i="1"/>
  <c r="M319" i="1"/>
  <c r="N319" i="1"/>
  <c r="O319" i="1"/>
  <c r="P319" i="1"/>
  <c r="H320" i="1"/>
  <c r="I320" i="1"/>
  <c r="J320" i="1"/>
  <c r="K320" i="1"/>
  <c r="L320" i="1"/>
  <c r="M320" i="1"/>
  <c r="N320" i="1"/>
  <c r="O320" i="1"/>
  <c r="P320" i="1"/>
  <c r="H321" i="1"/>
  <c r="I321" i="1"/>
  <c r="J321" i="1"/>
  <c r="K321" i="1"/>
  <c r="L321" i="1"/>
  <c r="M321" i="1"/>
  <c r="N321" i="1"/>
  <c r="O321" i="1"/>
  <c r="P321" i="1"/>
  <c r="H322" i="1"/>
  <c r="I322" i="1"/>
  <c r="J322" i="1"/>
  <c r="K322" i="1"/>
  <c r="L322" i="1"/>
  <c r="M322" i="1"/>
  <c r="N322" i="1"/>
  <c r="O322" i="1"/>
  <c r="P322" i="1"/>
  <c r="H323" i="1"/>
  <c r="I323" i="1"/>
  <c r="J323" i="1"/>
  <c r="K323" i="1"/>
  <c r="L323" i="1"/>
  <c r="M323" i="1"/>
  <c r="N323" i="1"/>
  <c r="O323" i="1"/>
  <c r="P323" i="1"/>
  <c r="H324" i="1"/>
  <c r="I324" i="1"/>
  <c r="J324" i="1"/>
  <c r="K324" i="1"/>
  <c r="L324" i="1"/>
  <c r="M324" i="1"/>
  <c r="N324" i="1"/>
  <c r="O324" i="1"/>
  <c r="P324" i="1"/>
  <c r="H325" i="1"/>
  <c r="I325" i="1"/>
  <c r="J325" i="1"/>
  <c r="K325" i="1"/>
  <c r="L325" i="1"/>
  <c r="M325" i="1"/>
  <c r="N325" i="1"/>
  <c r="O325" i="1"/>
  <c r="P325" i="1"/>
  <c r="H326" i="1"/>
  <c r="I326" i="1"/>
  <c r="J326" i="1"/>
  <c r="K326" i="1"/>
  <c r="L326" i="1"/>
  <c r="M326" i="1"/>
  <c r="N326" i="1"/>
  <c r="O326" i="1"/>
  <c r="P326" i="1"/>
  <c r="H327" i="1"/>
  <c r="I327" i="1"/>
  <c r="J327" i="1"/>
  <c r="K327" i="1"/>
  <c r="L327" i="1"/>
  <c r="M327" i="1"/>
  <c r="N327" i="1"/>
  <c r="O327" i="1"/>
  <c r="P327" i="1"/>
  <c r="H328" i="1"/>
  <c r="I328" i="1"/>
  <c r="J328" i="1"/>
  <c r="K328" i="1"/>
  <c r="L328" i="1"/>
  <c r="M328" i="1"/>
  <c r="N328" i="1"/>
  <c r="O328" i="1"/>
  <c r="P328" i="1"/>
  <c r="H329" i="1"/>
  <c r="I329" i="1"/>
  <c r="J329" i="1"/>
  <c r="K329" i="1"/>
  <c r="L329" i="1"/>
  <c r="M329" i="1"/>
  <c r="N329" i="1"/>
  <c r="O329" i="1"/>
  <c r="P329" i="1"/>
  <c r="H330" i="1"/>
  <c r="I330" i="1"/>
  <c r="J330" i="1"/>
  <c r="K330" i="1"/>
  <c r="L330" i="1"/>
  <c r="M330" i="1"/>
  <c r="N330" i="1"/>
  <c r="O330" i="1"/>
  <c r="P330" i="1"/>
  <c r="H331" i="1"/>
  <c r="I331" i="1"/>
  <c r="J331" i="1"/>
  <c r="K331" i="1"/>
  <c r="L331" i="1"/>
  <c r="M331" i="1"/>
  <c r="N331" i="1"/>
  <c r="O331" i="1"/>
  <c r="P331" i="1"/>
  <c r="H332" i="1"/>
  <c r="I332" i="1"/>
  <c r="J332" i="1"/>
  <c r="K332" i="1"/>
  <c r="L332" i="1"/>
  <c r="M332" i="1"/>
  <c r="N332" i="1"/>
  <c r="O332" i="1"/>
  <c r="P332" i="1"/>
  <c r="H333" i="1"/>
  <c r="I333" i="1"/>
  <c r="J333" i="1"/>
  <c r="K333" i="1"/>
  <c r="L333" i="1"/>
  <c r="M333" i="1"/>
  <c r="N333" i="1"/>
  <c r="O333" i="1"/>
  <c r="P333" i="1"/>
  <c r="H334" i="1"/>
  <c r="I334" i="1"/>
  <c r="J334" i="1"/>
  <c r="K334" i="1"/>
  <c r="L334" i="1"/>
  <c r="M334" i="1"/>
  <c r="N334" i="1"/>
  <c r="O334" i="1"/>
  <c r="P334" i="1"/>
  <c r="H335" i="1"/>
  <c r="I335" i="1"/>
  <c r="J335" i="1"/>
  <c r="K335" i="1"/>
  <c r="L335" i="1"/>
  <c r="M335" i="1"/>
  <c r="N335" i="1"/>
  <c r="O335" i="1"/>
  <c r="P335" i="1"/>
  <c r="H336" i="1"/>
  <c r="I336" i="1"/>
  <c r="J336" i="1"/>
  <c r="K336" i="1"/>
  <c r="L336" i="1"/>
  <c r="M336" i="1"/>
  <c r="N336" i="1"/>
  <c r="O336" i="1"/>
  <c r="P336" i="1"/>
  <c r="H337" i="1"/>
  <c r="I337" i="1"/>
  <c r="J337" i="1"/>
  <c r="K337" i="1"/>
  <c r="L337" i="1"/>
  <c r="M337" i="1"/>
  <c r="N337" i="1"/>
  <c r="O337" i="1"/>
  <c r="P337" i="1"/>
  <c r="H338" i="1"/>
  <c r="I338" i="1"/>
  <c r="J338" i="1"/>
  <c r="K338" i="1"/>
  <c r="L338" i="1"/>
  <c r="M338" i="1"/>
  <c r="N338" i="1"/>
  <c r="O338" i="1"/>
  <c r="P338" i="1"/>
  <c r="H339" i="1"/>
  <c r="I339" i="1"/>
  <c r="J339" i="1"/>
  <c r="K339" i="1"/>
  <c r="L339" i="1"/>
  <c r="M339" i="1"/>
  <c r="N339" i="1"/>
  <c r="O339" i="1"/>
  <c r="P339" i="1"/>
  <c r="H340" i="1"/>
  <c r="I340" i="1"/>
  <c r="J340" i="1"/>
  <c r="K340" i="1"/>
  <c r="L340" i="1"/>
  <c r="M340" i="1"/>
  <c r="N340" i="1"/>
  <c r="O340" i="1"/>
  <c r="P340" i="1"/>
  <c r="H341" i="1"/>
  <c r="I341" i="1"/>
  <c r="J341" i="1"/>
  <c r="K341" i="1"/>
  <c r="L341" i="1"/>
  <c r="M341" i="1"/>
  <c r="N341" i="1"/>
  <c r="O341" i="1"/>
  <c r="P341" i="1"/>
  <c r="H342" i="1"/>
  <c r="I342" i="1"/>
  <c r="J342" i="1"/>
  <c r="K342" i="1"/>
  <c r="L342" i="1"/>
  <c r="M342" i="1"/>
  <c r="N342" i="1"/>
  <c r="O342" i="1"/>
  <c r="P342" i="1"/>
  <c r="H343" i="1"/>
  <c r="I343" i="1"/>
  <c r="J343" i="1"/>
  <c r="K343" i="1"/>
  <c r="L343" i="1"/>
  <c r="M343" i="1"/>
  <c r="N343" i="1"/>
  <c r="O343" i="1"/>
  <c r="P343" i="1"/>
  <c r="H344" i="1"/>
  <c r="I344" i="1"/>
  <c r="J344" i="1"/>
  <c r="K344" i="1"/>
  <c r="L344" i="1"/>
  <c r="M344" i="1"/>
  <c r="N344" i="1"/>
  <c r="O344" i="1"/>
  <c r="P344" i="1"/>
  <c r="H345" i="1"/>
  <c r="I345" i="1"/>
  <c r="J345" i="1"/>
  <c r="K345" i="1"/>
  <c r="L345" i="1"/>
  <c r="M345" i="1"/>
  <c r="N345" i="1"/>
  <c r="O345" i="1"/>
  <c r="P345" i="1"/>
  <c r="G494" i="1" a="1"/>
  <c r="G496" i="1"/>
  <c r="G274" i="1" a="1"/>
  <c r="G274" i="1"/>
  <c r="G353" i="1" a="1"/>
  <c r="G355" i="1"/>
  <c r="X354" i="1"/>
  <c r="Y354" i="1"/>
  <c r="X355" i="1"/>
  <c r="Y355" i="1"/>
  <c r="X356" i="1"/>
  <c r="Y356" i="1"/>
  <c r="X357" i="1"/>
  <c r="Y357" i="1"/>
  <c r="X358" i="1"/>
  <c r="Y358" i="1"/>
  <c r="X359" i="1"/>
  <c r="Y359" i="1"/>
  <c r="X360" i="1"/>
  <c r="Y360" i="1"/>
  <c r="X361" i="1"/>
  <c r="Y361" i="1"/>
  <c r="X362" i="1"/>
  <c r="Y362" i="1"/>
  <c r="X363" i="1"/>
  <c r="Y363" i="1"/>
  <c r="X364" i="1"/>
  <c r="Y364" i="1"/>
  <c r="X365" i="1"/>
  <c r="Y365" i="1"/>
  <c r="X366" i="1"/>
  <c r="Y366" i="1"/>
  <c r="X367" i="1"/>
  <c r="Y367" i="1"/>
  <c r="X368" i="1"/>
  <c r="Y368" i="1"/>
  <c r="X369" i="1"/>
  <c r="Y369" i="1"/>
  <c r="X370" i="1"/>
  <c r="Y370" i="1"/>
  <c r="X371" i="1"/>
  <c r="Y371" i="1"/>
  <c r="X372" i="1"/>
  <c r="Y372" i="1"/>
  <c r="X373" i="1"/>
  <c r="Y373" i="1"/>
  <c r="X374" i="1"/>
  <c r="Y374" i="1"/>
  <c r="X375" i="1"/>
  <c r="Y375" i="1"/>
  <c r="X376" i="1"/>
  <c r="Y376" i="1"/>
  <c r="X377" i="1"/>
  <c r="Y377" i="1"/>
  <c r="X378" i="1"/>
  <c r="Y378" i="1"/>
  <c r="X379" i="1"/>
  <c r="Y379" i="1"/>
  <c r="X380" i="1"/>
  <c r="Y380" i="1"/>
  <c r="X381" i="1"/>
  <c r="Y381" i="1"/>
  <c r="X382" i="1"/>
  <c r="Y382" i="1"/>
  <c r="X383" i="1"/>
  <c r="Y383" i="1"/>
  <c r="X384" i="1"/>
  <c r="Y384" i="1"/>
  <c r="X385" i="1"/>
  <c r="Y385" i="1"/>
  <c r="X386" i="1"/>
  <c r="Y386" i="1"/>
  <c r="X387" i="1"/>
  <c r="Y387" i="1"/>
  <c r="X388" i="1"/>
  <c r="Y388" i="1"/>
  <c r="X389" i="1"/>
  <c r="Y389" i="1"/>
  <c r="X390" i="1"/>
  <c r="Y390" i="1"/>
  <c r="X391" i="1"/>
  <c r="Y391" i="1"/>
  <c r="X392" i="1"/>
  <c r="Y392" i="1"/>
  <c r="X393" i="1"/>
  <c r="Y393" i="1"/>
  <c r="X394" i="1"/>
  <c r="Y394" i="1"/>
  <c r="X395" i="1"/>
  <c r="Y395" i="1"/>
  <c r="X396" i="1"/>
  <c r="Y396" i="1"/>
  <c r="X397" i="1"/>
  <c r="Y397" i="1"/>
  <c r="X398" i="1"/>
  <c r="Y398" i="1"/>
  <c r="X399" i="1"/>
  <c r="Y399" i="1"/>
  <c r="X400" i="1"/>
  <c r="Y400" i="1"/>
  <c r="X401" i="1"/>
  <c r="Y401" i="1"/>
  <c r="X402" i="1"/>
  <c r="Y402" i="1"/>
  <c r="X403" i="1"/>
  <c r="Y403" i="1"/>
  <c r="X404" i="1"/>
  <c r="Y404" i="1"/>
  <c r="X405" i="1"/>
  <c r="Y405" i="1"/>
  <c r="X406" i="1"/>
  <c r="Y406" i="1"/>
  <c r="X407" i="1"/>
  <c r="Y407" i="1"/>
  <c r="X408" i="1"/>
  <c r="Y408" i="1"/>
  <c r="X409" i="1"/>
  <c r="Y409" i="1"/>
  <c r="X410" i="1"/>
  <c r="Y410" i="1"/>
  <c r="X411" i="1"/>
  <c r="Y411" i="1"/>
  <c r="X412" i="1"/>
  <c r="Y412" i="1"/>
  <c r="X413" i="1"/>
  <c r="Y413" i="1"/>
  <c r="X414" i="1"/>
  <c r="Y414" i="1"/>
  <c r="X415" i="1"/>
  <c r="Y415" i="1"/>
  <c r="X416" i="1"/>
  <c r="Y416" i="1"/>
  <c r="X417" i="1"/>
  <c r="Y417" i="1"/>
  <c r="X418" i="1"/>
  <c r="Y418" i="1"/>
  <c r="X419" i="1"/>
  <c r="Y419" i="1"/>
  <c r="X420" i="1"/>
  <c r="Y420" i="1"/>
  <c r="X421" i="1"/>
  <c r="Y421" i="1"/>
  <c r="X422" i="1"/>
  <c r="Y422" i="1"/>
  <c r="X423" i="1"/>
  <c r="Y423" i="1"/>
  <c r="G197" i="1" a="1"/>
  <c r="G197" i="1"/>
  <c r="G542" i="1"/>
  <c r="G509" i="1"/>
  <c r="G565" i="1"/>
  <c r="G525" i="1"/>
  <c r="G517" i="1"/>
  <c r="G550" i="1"/>
  <c r="G511" i="1"/>
  <c r="G534" i="1"/>
  <c r="G566" i="1"/>
  <c r="G526" i="1"/>
  <c r="G551" i="1"/>
  <c r="G549" i="1"/>
  <c r="G510" i="1"/>
  <c r="G535" i="1"/>
  <c r="G501" i="1"/>
  <c r="G558" i="1"/>
  <c r="G533" i="1"/>
  <c r="G503" i="1"/>
  <c r="G557" i="1"/>
  <c r="G527" i="1"/>
  <c r="G502" i="1"/>
  <c r="G543" i="1"/>
  <c r="G519" i="1"/>
  <c r="G494" i="1"/>
  <c r="G559" i="1"/>
  <c r="G541" i="1"/>
  <c r="G518" i="1"/>
  <c r="G495" i="1"/>
  <c r="G564" i="1"/>
  <c r="G556" i="1"/>
  <c r="G548" i="1"/>
  <c r="G540" i="1"/>
  <c r="G532" i="1"/>
  <c r="G524" i="1"/>
  <c r="G516" i="1"/>
  <c r="G508" i="1"/>
  <c r="G500" i="1"/>
  <c r="G563" i="1"/>
  <c r="G555" i="1"/>
  <c r="G547" i="1"/>
  <c r="G539" i="1"/>
  <c r="G531" i="1"/>
  <c r="G523" i="1"/>
  <c r="G515" i="1"/>
  <c r="G507" i="1"/>
  <c r="G499" i="1"/>
  <c r="G562" i="1"/>
  <c r="G554" i="1"/>
  <c r="G546" i="1"/>
  <c r="G538" i="1"/>
  <c r="G530" i="1"/>
  <c r="G522" i="1"/>
  <c r="G514" i="1"/>
  <c r="G506" i="1"/>
  <c r="G498" i="1"/>
  <c r="G561" i="1"/>
  <c r="G553" i="1"/>
  <c r="G545" i="1"/>
  <c r="G537" i="1"/>
  <c r="G529" i="1"/>
  <c r="G521" i="1"/>
  <c r="G513" i="1"/>
  <c r="G505" i="1"/>
  <c r="Q505" i="1"/>
  <c r="G497" i="1"/>
  <c r="G281" i="1"/>
  <c r="G560" i="1"/>
  <c r="G552" i="1"/>
  <c r="G544" i="1"/>
  <c r="G536" i="1"/>
  <c r="G528" i="1"/>
  <c r="G520" i="1"/>
  <c r="G512" i="1"/>
  <c r="G504" i="1"/>
  <c r="G305" i="1"/>
  <c r="G304" i="1"/>
  <c r="G297" i="1"/>
  <c r="G296" i="1"/>
  <c r="G288" i="1"/>
  <c r="G289" i="1"/>
  <c r="G280" i="1"/>
  <c r="G300" i="1"/>
  <c r="G292" i="1"/>
  <c r="G284" i="1"/>
  <c r="G276" i="1"/>
  <c r="G303" i="1"/>
  <c r="G295" i="1"/>
  <c r="G287" i="1"/>
  <c r="G279" i="1"/>
  <c r="G302" i="1"/>
  <c r="G294" i="1"/>
  <c r="G286" i="1"/>
  <c r="G278" i="1"/>
  <c r="G301" i="1"/>
  <c r="G293" i="1"/>
  <c r="G285" i="1"/>
  <c r="G277" i="1"/>
  <c r="N277" i="1"/>
  <c r="G307" i="1"/>
  <c r="G299" i="1"/>
  <c r="G291" i="1"/>
  <c r="G283" i="1"/>
  <c r="G275" i="1"/>
  <c r="G306" i="1"/>
  <c r="G298" i="1"/>
  <c r="G290" i="1"/>
  <c r="G282" i="1"/>
  <c r="G408" i="1"/>
  <c r="G398" i="1"/>
  <c r="G386" i="1"/>
  <c r="G376" i="1"/>
  <c r="G366" i="1"/>
  <c r="G354" i="1"/>
  <c r="G418" i="1"/>
  <c r="G417" i="1"/>
  <c r="G407" i="1"/>
  <c r="G397" i="1"/>
  <c r="G385" i="1"/>
  <c r="G375" i="1"/>
  <c r="G365" i="1"/>
  <c r="G353" i="1"/>
  <c r="G406" i="1"/>
  <c r="G384" i="1"/>
  <c r="G362" i="1"/>
  <c r="G405" i="1"/>
  <c r="G383" i="1"/>
  <c r="G361" i="1"/>
  <c r="G402" i="1"/>
  <c r="G382" i="1"/>
  <c r="G360" i="1"/>
  <c r="G423" i="1"/>
  <c r="G401" i="1"/>
  <c r="G381" i="1"/>
  <c r="G359" i="1"/>
  <c r="G422" i="1"/>
  <c r="G410" i="1"/>
  <c r="G400" i="1"/>
  <c r="G390" i="1"/>
  <c r="G378" i="1"/>
  <c r="G368" i="1"/>
  <c r="G358" i="1"/>
  <c r="G416" i="1"/>
  <c r="G394" i="1"/>
  <c r="G374" i="1"/>
  <c r="G415" i="1"/>
  <c r="G393" i="1"/>
  <c r="G373" i="1"/>
  <c r="G414" i="1"/>
  <c r="G392" i="1"/>
  <c r="G370" i="1"/>
  <c r="G413" i="1"/>
  <c r="G391" i="1"/>
  <c r="G369" i="1"/>
  <c r="G421" i="1"/>
  <c r="G409" i="1"/>
  <c r="G399" i="1"/>
  <c r="G389" i="1"/>
  <c r="G377" i="1"/>
  <c r="G367" i="1"/>
  <c r="G357" i="1"/>
  <c r="G420" i="1"/>
  <c r="G412" i="1"/>
  <c r="G404" i="1"/>
  <c r="G396" i="1"/>
  <c r="G388" i="1"/>
  <c r="G380" i="1"/>
  <c r="G372" i="1"/>
  <c r="G364" i="1"/>
  <c r="G356" i="1"/>
  <c r="G419" i="1"/>
  <c r="G411" i="1"/>
  <c r="G403" i="1"/>
  <c r="G395" i="1"/>
  <c r="G387" i="1"/>
  <c r="G379" i="1"/>
  <c r="G371" i="1"/>
  <c r="G363" i="1"/>
  <c r="N178" i="1"/>
  <c r="L177" i="1"/>
  <c r="M172" i="1"/>
  <c r="J171" i="1"/>
  <c r="P170" i="1"/>
  <c r="L169" i="1"/>
  <c r="G268" i="1"/>
  <c r="G260" i="1"/>
  <c r="G252" i="1"/>
  <c r="G244" i="1"/>
  <c r="X244" i="1"/>
  <c r="G236" i="1"/>
  <c r="X236" i="1"/>
  <c r="G228" i="1"/>
  <c r="G220" i="1"/>
  <c r="G212" i="1"/>
  <c r="G204" i="1"/>
  <c r="G267" i="1"/>
  <c r="G259" i="1"/>
  <c r="G251" i="1"/>
  <c r="G243" i="1"/>
  <c r="X243" i="1"/>
  <c r="G235" i="1"/>
  <c r="X235" i="1"/>
  <c r="G227" i="1"/>
  <c r="G219" i="1"/>
  <c r="G211" i="1"/>
  <c r="G203" i="1"/>
  <c r="G266" i="1"/>
  <c r="G258" i="1"/>
  <c r="G250" i="1"/>
  <c r="G242" i="1"/>
  <c r="X242" i="1"/>
  <c r="G234" i="1"/>
  <c r="X234" i="1"/>
  <c r="G226" i="1"/>
  <c r="G218" i="1"/>
  <c r="G210" i="1"/>
  <c r="G202" i="1"/>
  <c r="G265" i="1"/>
  <c r="G257" i="1"/>
  <c r="G249" i="1"/>
  <c r="G241" i="1"/>
  <c r="X241" i="1"/>
  <c r="G233" i="1"/>
  <c r="X233" i="1"/>
  <c r="G225" i="1"/>
  <c r="G217" i="1"/>
  <c r="G209" i="1"/>
  <c r="G201" i="1"/>
  <c r="G264" i="1"/>
  <c r="G256" i="1"/>
  <c r="G248" i="1"/>
  <c r="G240" i="1"/>
  <c r="X240" i="1"/>
  <c r="G232" i="1"/>
  <c r="X232" i="1"/>
  <c r="G224" i="1"/>
  <c r="G216" i="1"/>
  <c r="G208" i="1"/>
  <c r="G200" i="1"/>
  <c r="G263" i="1"/>
  <c r="G255" i="1"/>
  <c r="G247" i="1"/>
  <c r="G239" i="1"/>
  <c r="X239" i="1"/>
  <c r="G231" i="1"/>
  <c r="X231" i="1"/>
  <c r="G223" i="1"/>
  <c r="G215" i="1"/>
  <c r="G207" i="1"/>
  <c r="G199" i="1"/>
  <c r="G262" i="1"/>
  <c r="G254" i="1"/>
  <c r="G246" i="1"/>
  <c r="G238" i="1"/>
  <c r="X238" i="1"/>
  <c r="G230" i="1"/>
  <c r="G222" i="1"/>
  <c r="G214" i="1"/>
  <c r="G206" i="1"/>
  <c r="G198" i="1"/>
  <c r="G261" i="1"/>
  <c r="G253" i="1"/>
  <c r="G245" i="1"/>
  <c r="G237" i="1"/>
  <c r="X237" i="1"/>
  <c r="G229" i="1"/>
  <c r="G221" i="1"/>
  <c r="G213" i="1"/>
  <c r="G205" i="1"/>
  <c r="E449" i="1" a="1"/>
  <c r="E459" i="1"/>
  <c r="H459" i="1"/>
  <c r="O36" i="1"/>
  <c r="O35" i="1"/>
  <c r="O34" i="1"/>
  <c r="O33" i="1"/>
  <c r="O32" i="1"/>
  <c r="M36" i="1"/>
  <c r="M35" i="1"/>
  <c r="M34" i="1"/>
  <c r="M33" i="1"/>
  <c r="M32" i="1"/>
  <c r="M24" i="1"/>
  <c r="M23" i="1"/>
  <c r="M22" i="1"/>
  <c r="M21" i="1"/>
  <c r="M20" i="1"/>
  <c r="O24" i="1"/>
  <c r="O23" i="1"/>
  <c r="O22" i="1"/>
  <c r="O21" i="1"/>
  <c r="O20" i="1"/>
  <c r="Q36" i="1"/>
  <c r="Q35" i="1"/>
  <c r="Q34" i="1"/>
  <c r="Q33" i="1"/>
  <c r="Q32" i="1"/>
  <c r="Q24" i="1"/>
  <c r="Q23" i="1"/>
  <c r="Q22" i="1"/>
  <c r="Q21" i="1"/>
  <c r="Q20" i="1"/>
  <c r="C2" i="1"/>
  <c r="H37" i="1"/>
  <c r="H31" i="1"/>
  <c r="H32" i="1"/>
  <c r="H33" i="1"/>
  <c r="H34" i="1"/>
  <c r="H35" i="1"/>
  <c r="H36" i="1"/>
  <c r="H24" i="1"/>
  <c r="G12" i="1"/>
  <c r="I38" i="1"/>
  <c r="I25" i="1"/>
  <c r="S117" i="1"/>
  <c r="G24" i="1"/>
  <c r="H19" i="4"/>
  <c r="T440" i="1"/>
  <c r="S440" i="1"/>
  <c r="R440" i="1"/>
  <c r="Q440" i="1"/>
  <c r="P440" i="1"/>
  <c r="T439" i="1"/>
  <c r="S439" i="1"/>
  <c r="R439" i="1"/>
  <c r="Q439" i="1"/>
  <c r="P439" i="1"/>
  <c r="T435" i="1"/>
  <c r="S435" i="1"/>
  <c r="R435" i="1"/>
  <c r="Q435" i="1"/>
  <c r="P435" i="1"/>
  <c r="T434" i="1"/>
  <c r="S434" i="1"/>
  <c r="R434" i="1"/>
  <c r="Q434" i="1"/>
  <c r="P434" i="1"/>
  <c r="T433" i="1"/>
  <c r="S433" i="1"/>
  <c r="R433" i="1"/>
  <c r="Q433" i="1"/>
  <c r="P433" i="1"/>
  <c r="T432" i="1"/>
  <c r="S432" i="1"/>
  <c r="R432" i="1"/>
  <c r="Q432" i="1"/>
  <c r="P432" i="1"/>
  <c r="Q487" i="1"/>
  <c r="Q486" i="1"/>
  <c r="Q485" i="1"/>
  <c r="Q484" i="1"/>
  <c r="Q483" i="1"/>
  <c r="S487" i="1"/>
  <c r="S486" i="1"/>
  <c r="S485" i="1"/>
  <c r="S484" i="1"/>
  <c r="S483" i="1"/>
  <c r="AK21" i="4" a="1"/>
  <c r="AK27" i="4"/>
  <c r="AJ19" i="4"/>
  <c r="AH21" i="4"/>
  <c r="AJ22" i="4"/>
  <c r="AJ23" i="4"/>
  <c r="AJ24" i="4"/>
  <c r="AJ25" i="4"/>
  <c r="AJ26" i="4"/>
  <c r="AJ27" i="4"/>
  <c r="AJ28" i="4"/>
  <c r="AJ29" i="4"/>
  <c r="AJ30" i="4"/>
  <c r="AJ31" i="4"/>
  <c r="AJ32" i="4"/>
  <c r="AJ33" i="4"/>
  <c r="AJ34" i="4"/>
  <c r="AJ35" i="4"/>
  <c r="AJ36" i="4"/>
  <c r="AJ37" i="4"/>
  <c r="AJ38" i="4"/>
  <c r="AJ39" i="4"/>
  <c r="AJ40" i="4"/>
  <c r="AJ41" i="4"/>
  <c r="AJ42" i="4"/>
  <c r="AJ43" i="4"/>
  <c r="AJ44" i="4"/>
  <c r="AJ45" i="4"/>
  <c r="AJ46" i="4"/>
  <c r="AJ47" i="4"/>
  <c r="AJ48" i="4"/>
  <c r="AJ49" i="4"/>
  <c r="AJ50" i="4"/>
  <c r="AJ51" i="4"/>
  <c r="AJ52" i="4"/>
  <c r="AJ53" i="4"/>
  <c r="AJ54" i="4"/>
  <c r="AJ55" i="4"/>
  <c r="AJ56" i="4"/>
  <c r="AL55" i="4"/>
  <c r="AL21" i="4"/>
  <c r="AL22" i="4"/>
  <c r="AL23" i="4"/>
  <c r="AL24" i="4"/>
  <c r="AL25" i="4"/>
  <c r="AL26" i="4"/>
  <c r="AL27" i="4"/>
  <c r="AL28" i="4"/>
  <c r="AL29" i="4"/>
  <c r="AL30" i="4"/>
  <c r="AL31" i="4"/>
  <c r="AL32" i="4"/>
  <c r="AL33" i="4"/>
  <c r="AL34" i="4"/>
  <c r="AL35" i="4"/>
  <c r="AL36" i="4"/>
  <c r="AL37" i="4"/>
  <c r="AL38" i="4"/>
  <c r="AL39" i="4"/>
  <c r="AL40" i="4"/>
  <c r="AL41" i="4"/>
  <c r="AL42" i="4"/>
  <c r="AL43" i="4"/>
  <c r="AL44" i="4"/>
  <c r="AL45" i="4"/>
  <c r="AL46" i="4"/>
  <c r="AL47" i="4"/>
  <c r="AL48" i="4"/>
  <c r="AL49" i="4"/>
  <c r="AL50" i="4"/>
  <c r="AL51" i="4"/>
  <c r="AL52" i="4"/>
  <c r="AL53" i="4"/>
  <c r="AL54" i="4"/>
  <c r="AO55" i="4"/>
  <c r="AP55" i="4"/>
  <c r="AM55" i="4"/>
  <c r="AL56" i="4"/>
  <c r="AM56" i="4"/>
  <c r="AJ57" i="4"/>
  <c r="AO22" i="4"/>
  <c r="AO23" i="4"/>
  <c r="AO24" i="4"/>
  <c r="AO25" i="4"/>
  <c r="AO26" i="4"/>
  <c r="AO27" i="4"/>
  <c r="AO28" i="4"/>
  <c r="AO29" i="4"/>
  <c r="AO30" i="4"/>
  <c r="AO31" i="4"/>
  <c r="AO32" i="4"/>
  <c r="AO33" i="4"/>
  <c r="AO34" i="4"/>
  <c r="AO35" i="4"/>
  <c r="AO36" i="4"/>
  <c r="AO37" i="4"/>
  <c r="AO38" i="4"/>
  <c r="AO39" i="4"/>
  <c r="AO40" i="4"/>
  <c r="AO41" i="4"/>
  <c r="AO42" i="4"/>
  <c r="AO43" i="4"/>
  <c r="AO44" i="4"/>
  <c r="AO45" i="4"/>
  <c r="AO46" i="4"/>
  <c r="AO47" i="4"/>
  <c r="AO48" i="4"/>
  <c r="AO49" i="4"/>
  <c r="AO50" i="4"/>
  <c r="AO51" i="4"/>
  <c r="AO52" i="4"/>
  <c r="AO53" i="4"/>
  <c r="AO54" i="4"/>
  <c r="AO56" i="4"/>
  <c r="AP21" i="4"/>
  <c r="AP22" i="4"/>
  <c r="AP23" i="4"/>
  <c r="AP25" i="4"/>
  <c r="AP26" i="4"/>
  <c r="AP27" i="4"/>
  <c r="AP28" i="4"/>
  <c r="AP29" i="4"/>
  <c r="AP30" i="4"/>
  <c r="AP31" i="4"/>
  <c r="AP33" i="4"/>
  <c r="AP34" i="4"/>
  <c r="AP35" i="4"/>
  <c r="AP36" i="4"/>
  <c r="AP39" i="4"/>
  <c r="AP40" i="4"/>
  <c r="AP42" i="4"/>
  <c r="AP43" i="4"/>
  <c r="AP44" i="4"/>
  <c r="AP45" i="4"/>
  <c r="AP46" i="4"/>
  <c r="AP47" i="4"/>
  <c r="AP48" i="4"/>
  <c r="AP49" i="4"/>
  <c r="AP52" i="4"/>
  <c r="AP53" i="4"/>
  <c r="AL57" i="4"/>
  <c r="AM57" i="4"/>
  <c r="AJ58" i="4"/>
  <c r="AO57" i="4"/>
  <c r="AL58" i="4"/>
  <c r="AO58" i="4"/>
  <c r="AM58" i="4"/>
  <c r="AJ59" i="4"/>
  <c r="AP58" i="4"/>
  <c r="AL59" i="4"/>
  <c r="AO59" i="4"/>
  <c r="AJ60" i="4"/>
  <c r="AM59" i="4"/>
  <c r="AL60" i="4"/>
  <c r="AO60" i="4"/>
  <c r="AP60" i="4"/>
  <c r="AM60" i="4"/>
  <c r="AJ61" i="4"/>
  <c r="AL61" i="4"/>
  <c r="AO61" i="4"/>
  <c r="AJ62" i="4"/>
  <c r="AM61" i="4"/>
  <c r="AJ63" i="4"/>
  <c r="AL62" i="4"/>
  <c r="AO62" i="4"/>
  <c r="AM62" i="4"/>
  <c r="AJ64" i="4"/>
  <c r="AL63" i="4"/>
  <c r="AO63" i="4"/>
  <c r="AP63" i="4"/>
  <c r="AM63" i="4"/>
  <c r="AM64" i="4"/>
  <c r="AJ65" i="4"/>
  <c r="AN64" i="4"/>
  <c r="AO64" i="4"/>
  <c r="AP64" i="4"/>
  <c r="AN65" i="4"/>
  <c r="AM65" i="4"/>
  <c r="AJ66" i="4"/>
  <c r="AP65" i="4"/>
  <c r="AO65" i="4"/>
  <c r="AO66" i="4"/>
  <c r="AN66" i="4"/>
  <c r="AM66" i="4"/>
  <c r="AJ67" i="4"/>
  <c r="AP66" i="4"/>
  <c r="AP67" i="4"/>
  <c r="AO67" i="4"/>
  <c r="AN67" i="4"/>
  <c r="AJ68" i="4"/>
  <c r="AM67" i="4"/>
  <c r="AP68" i="4"/>
  <c r="AO68" i="4"/>
  <c r="AN68" i="4"/>
  <c r="AM68" i="4"/>
  <c r="AJ69" i="4"/>
  <c r="AP69" i="4"/>
  <c r="AN69" i="4"/>
  <c r="AJ70" i="4"/>
  <c r="AM69" i="4"/>
  <c r="AO69" i="4"/>
  <c r="AJ71" i="4"/>
  <c r="AM70" i="4"/>
  <c r="AO70" i="4"/>
  <c r="AN70" i="4"/>
  <c r="AP70" i="4"/>
  <c r="AJ72" i="4"/>
  <c r="AP71" i="4"/>
  <c r="AO71" i="4"/>
  <c r="AN71" i="4"/>
  <c r="AM71" i="4"/>
  <c r="AM72" i="4"/>
  <c r="AJ73" i="4"/>
  <c r="AO72" i="4"/>
  <c r="AN72" i="4"/>
  <c r="AP72" i="4"/>
  <c r="AN73" i="4"/>
  <c r="AM73" i="4"/>
  <c r="AJ74" i="4"/>
  <c r="AP73" i="4"/>
  <c r="AO73" i="4"/>
  <c r="AO74" i="4"/>
  <c r="AN74" i="4"/>
  <c r="AM74" i="4"/>
  <c r="AJ75" i="4"/>
  <c r="AP74" i="4"/>
  <c r="AP75" i="4"/>
  <c r="AO75" i="4"/>
  <c r="AN75" i="4"/>
  <c r="AJ76" i="4"/>
  <c r="AM75" i="4"/>
  <c r="AP76" i="4"/>
  <c r="AO76" i="4"/>
  <c r="AN76" i="4"/>
  <c r="AJ77" i="4"/>
  <c r="AM76" i="4"/>
  <c r="AJ78" i="4"/>
  <c r="AP77" i="4"/>
  <c r="AO77" i="4"/>
  <c r="AM77" i="4"/>
  <c r="AN77" i="4"/>
  <c r="AO78" i="4"/>
  <c r="AJ79" i="4"/>
  <c r="AP78" i="4"/>
  <c r="AN78" i="4"/>
  <c r="AM78" i="4"/>
  <c r="AJ80" i="4"/>
  <c r="AP79" i="4"/>
  <c r="AM79" i="4"/>
  <c r="AO79" i="4"/>
  <c r="AN79" i="4"/>
  <c r="AJ81" i="4"/>
  <c r="AN80" i="4"/>
  <c r="AO80" i="4"/>
  <c r="AM80" i="4"/>
  <c r="AP80" i="4"/>
  <c r="AM81" i="4"/>
  <c r="AO81" i="4"/>
  <c r="AP81" i="4"/>
  <c r="AN81" i="4"/>
  <c r="AJ82" i="4"/>
  <c r="AN82" i="4"/>
  <c r="AM82" i="4"/>
  <c r="AJ83" i="4"/>
  <c r="AP82" i="4"/>
  <c r="AO82" i="4"/>
  <c r="AO83" i="4"/>
  <c r="AN83" i="4"/>
  <c r="AP83" i="4"/>
  <c r="AM83" i="4"/>
  <c r="AJ84" i="4"/>
  <c r="AP84" i="4"/>
  <c r="AO84" i="4"/>
  <c r="AM84" i="4"/>
  <c r="AN84" i="4"/>
  <c r="AJ85" i="4"/>
  <c r="AP85" i="4"/>
  <c r="AN85" i="4"/>
  <c r="AJ86" i="4"/>
  <c r="AO85" i="4"/>
  <c r="AM85" i="4"/>
  <c r="AO86" i="4"/>
  <c r="AP86" i="4"/>
  <c r="AM86" i="4"/>
  <c r="AJ87" i="4"/>
  <c r="AN86" i="4"/>
  <c r="AJ88" i="4"/>
  <c r="AP87" i="4"/>
  <c r="AM87" i="4"/>
  <c r="AN87" i="4"/>
  <c r="AO87" i="4"/>
  <c r="AJ89" i="4"/>
  <c r="AN88" i="4"/>
  <c r="AP88" i="4"/>
  <c r="AO88" i="4"/>
  <c r="AM88" i="4"/>
  <c r="AO89" i="4"/>
  <c r="AM89" i="4"/>
  <c r="AP89" i="4"/>
  <c r="AJ90" i="4"/>
  <c r="AN89" i="4"/>
  <c r="AP90" i="4"/>
  <c r="AO90" i="4"/>
  <c r="AM90" i="4"/>
  <c r="AJ91" i="4"/>
  <c r="AN90" i="4"/>
  <c r="AP91" i="4"/>
  <c r="AM91" i="4"/>
  <c r="AN91" i="4"/>
  <c r="AJ92" i="4"/>
  <c r="AO91" i="4"/>
  <c r="AN92" i="4"/>
  <c r="AM92" i="4"/>
  <c r="AP92" i="4"/>
  <c r="AO92" i="4"/>
  <c r="AJ93" i="4"/>
  <c r="AJ94" i="4"/>
  <c r="AP93" i="4"/>
  <c r="AN93" i="4"/>
  <c r="AO93" i="4"/>
  <c r="AM93" i="4"/>
  <c r="AN94" i="4"/>
  <c r="AO94" i="4"/>
  <c r="AM94" i="4"/>
  <c r="AJ95" i="4"/>
  <c r="AP94" i="4"/>
  <c r="AM95" i="4"/>
  <c r="AO95" i="4"/>
  <c r="AN95" i="4"/>
  <c r="AJ96" i="4"/>
  <c r="AP95" i="4"/>
  <c r="AN96" i="4"/>
  <c r="AJ97" i="4"/>
  <c r="AO96" i="4"/>
  <c r="AP96" i="4"/>
  <c r="AM96" i="4"/>
  <c r="AO97" i="4"/>
  <c r="AJ98" i="4"/>
  <c r="AN97" i="4"/>
  <c r="AP97" i="4"/>
  <c r="AM97" i="4"/>
  <c r="AP98" i="4"/>
  <c r="AO98" i="4"/>
  <c r="AN98" i="4"/>
  <c r="AJ99" i="4"/>
  <c r="AM98" i="4"/>
  <c r="AJ100" i="4"/>
  <c r="AO99" i="4"/>
  <c r="AP99" i="4"/>
  <c r="AM99" i="4"/>
  <c r="AN99" i="4"/>
  <c r="AM100" i="4"/>
  <c r="AO100" i="4"/>
  <c r="AN100" i="4"/>
  <c r="AJ101" i="4"/>
  <c r="AP100" i="4"/>
  <c r="AJ102" i="4"/>
  <c r="AP101" i="4"/>
  <c r="AO101" i="4"/>
  <c r="AM101" i="4"/>
  <c r="AN101" i="4"/>
  <c r="AN102" i="4"/>
  <c r="AJ103" i="4"/>
  <c r="AO102" i="4"/>
  <c r="AP102" i="4"/>
  <c r="AM102" i="4"/>
  <c r="AJ104" i="4"/>
  <c r="AO103" i="4"/>
  <c r="AM103" i="4"/>
  <c r="AP103" i="4"/>
  <c r="AN103" i="4"/>
  <c r="AP104" i="4"/>
  <c r="AN104" i="4"/>
  <c r="AJ105" i="4"/>
  <c r="AO104" i="4"/>
  <c r="AM104" i="4"/>
  <c r="AM105" i="4"/>
  <c r="AO105" i="4"/>
  <c r="AP105" i="4"/>
  <c r="AN105" i="4"/>
  <c r="AJ106" i="4"/>
  <c r="AN106" i="4"/>
  <c r="AP106" i="4"/>
  <c r="AO106" i="4"/>
  <c r="AJ107" i="4"/>
  <c r="AM106" i="4"/>
  <c r="AO107" i="4"/>
  <c r="AJ108" i="4"/>
  <c r="AM107" i="4"/>
  <c r="AP107" i="4"/>
  <c r="AN107" i="4"/>
  <c r="AP108" i="4"/>
  <c r="AN108" i="4"/>
  <c r="AJ109" i="4"/>
  <c r="AM108" i="4"/>
  <c r="AO108" i="4"/>
  <c r="AP109" i="4"/>
  <c r="AM109" i="4"/>
  <c r="AJ110" i="4"/>
  <c r="AN109" i="4"/>
  <c r="AO109" i="4"/>
  <c r="AN110" i="4"/>
  <c r="AJ111" i="4"/>
  <c r="AO110" i="4"/>
  <c r="AP110" i="4"/>
  <c r="AM110" i="4"/>
  <c r="AJ112" i="4"/>
  <c r="AO111" i="4"/>
  <c r="AM111" i="4"/>
  <c r="AP111" i="4"/>
  <c r="AN111" i="4"/>
  <c r="AJ113" i="4"/>
  <c r="AP112" i="4"/>
  <c r="AN112" i="4"/>
  <c r="AM112" i="4"/>
  <c r="AO112" i="4"/>
  <c r="AO113" i="4"/>
  <c r="AN113" i="4"/>
  <c r="AP113" i="4"/>
  <c r="AM113" i="4"/>
  <c r="AJ114" i="4"/>
  <c r="AM114" i="4"/>
  <c r="AJ115" i="4"/>
  <c r="AN114" i="4"/>
  <c r="AP114" i="4"/>
  <c r="AO114" i="4"/>
  <c r="AN115" i="4"/>
  <c r="AO115" i="4"/>
  <c r="AP115" i="4"/>
  <c r="AJ116" i="4"/>
  <c r="AM115" i="4"/>
  <c r="AO116" i="4"/>
  <c r="AP116" i="4"/>
  <c r="AN116" i="4"/>
  <c r="AJ117" i="4"/>
  <c r="AM116" i="4"/>
  <c r="AP117" i="4"/>
  <c r="AJ118" i="4"/>
  <c r="AN117" i="4"/>
  <c r="AO117" i="4"/>
  <c r="AM117" i="4"/>
  <c r="AM118" i="4"/>
  <c r="AJ119" i="4"/>
  <c r="AO118" i="4"/>
  <c r="AN118" i="4"/>
  <c r="AP118" i="4"/>
  <c r="AP119" i="4"/>
  <c r="AO119" i="4"/>
  <c r="AN119" i="4"/>
  <c r="AJ120" i="4"/>
  <c r="AM119" i="4"/>
  <c r="AJ121" i="4"/>
  <c r="AO120" i="4"/>
  <c r="AM120" i="4"/>
  <c r="AN120" i="4"/>
  <c r="AP120" i="4"/>
  <c r="AN121" i="4"/>
  <c r="AM121" i="4"/>
  <c r="AJ122" i="4"/>
  <c r="AP121" i="4"/>
  <c r="AO121" i="4"/>
  <c r="AM122" i="4"/>
  <c r="AP122" i="4"/>
  <c r="AJ123" i="4"/>
  <c r="AN122" i="4"/>
  <c r="AO122" i="4"/>
  <c r="AN123" i="4"/>
  <c r="AP123" i="4"/>
  <c r="AM123" i="4"/>
  <c r="AJ124" i="4"/>
  <c r="AO123" i="4"/>
  <c r="AO124" i="4"/>
  <c r="AN124" i="4"/>
  <c r="AM124" i="4"/>
  <c r="AP124" i="4"/>
  <c r="AJ125" i="4"/>
  <c r="AP125" i="4"/>
  <c r="AJ126" i="4"/>
  <c r="AM125" i="4"/>
  <c r="AO125" i="4"/>
  <c r="AN125" i="4"/>
  <c r="AM126" i="4"/>
  <c r="AO126" i="4"/>
  <c r="AJ127" i="4"/>
  <c r="AP126" i="4"/>
  <c r="AN126" i="4"/>
  <c r="AP127" i="4"/>
  <c r="AN127" i="4"/>
  <c r="AM127" i="4"/>
  <c r="AJ128" i="4"/>
  <c r="AO127" i="4"/>
  <c r="AO128" i="4"/>
  <c r="AN128" i="4"/>
  <c r="AJ129" i="4"/>
  <c r="AP128" i="4"/>
  <c r="AM128" i="4"/>
  <c r="AP129" i="4"/>
  <c r="AO129" i="4"/>
  <c r="AM129" i="4"/>
  <c r="AJ130" i="4"/>
  <c r="AN129" i="4"/>
  <c r="AJ131" i="4"/>
  <c r="AP130" i="4"/>
  <c r="AM130" i="4"/>
  <c r="AN130" i="4"/>
  <c r="AO130" i="4"/>
  <c r="AN131" i="4"/>
  <c r="AO131" i="4"/>
  <c r="AM131" i="4"/>
  <c r="AP131" i="4"/>
  <c r="AJ132" i="4"/>
  <c r="AM132" i="4"/>
  <c r="AO132" i="4"/>
  <c r="AP132" i="4"/>
  <c r="AN132" i="4"/>
  <c r="G618" i="1" a="1"/>
  <c r="A204" i="2"/>
  <c r="A381" i="2"/>
  <c r="R10" i="1"/>
  <c r="R9" i="1"/>
  <c r="S9" i="1"/>
  <c r="N612" i="1"/>
  <c r="O612" i="1"/>
  <c r="N611" i="1"/>
  <c r="O611" i="1"/>
  <c r="N610" i="1"/>
  <c r="O610" i="1"/>
  <c r="N609" i="1"/>
  <c r="O609" i="1"/>
  <c r="N608" i="1"/>
  <c r="O608" i="1"/>
  <c r="N607" i="1"/>
  <c r="O607" i="1"/>
  <c r="N606" i="1"/>
  <c r="O606" i="1"/>
  <c r="H111" i="1"/>
  <c r="I111" i="1"/>
  <c r="H110" i="1"/>
  <c r="I110" i="1"/>
  <c r="H109" i="1"/>
  <c r="I109" i="1"/>
  <c r="F110" i="1"/>
  <c r="G110" i="1"/>
  <c r="F109" i="1"/>
  <c r="K10" i="1"/>
  <c r="L10" i="1"/>
  <c r="K81" i="1"/>
  <c r="K72" i="1"/>
  <c r="L72" i="1"/>
  <c r="F593" i="1"/>
  <c r="G593" i="1"/>
  <c r="H593" i="1"/>
  <c r="F592" i="1"/>
  <c r="G592" i="1"/>
  <c r="H592" i="1"/>
  <c r="F591" i="1"/>
  <c r="G591" i="1"/>
  <c r="H591" i="1"/>
  <c r="F590" i="1"/>
  <c r="G590" i="1"/>
  <c r="H590" i="1"/>
  <c r="F589" i="1"/>
  <c r="G589" i="1"/>
  <c r="H589" i="1"/>
  <c r="F588" i="1"/>
  <c r="G588" i="1"/>
  <c r="H588" i="1"/>
  <c r="X353" i="1"/>
  <c r="Y353" i="1"/>
  <c r="K9" i="1"/>
  <c r="L9" i="1"/>
  <c r="E432" i="1" a="1"/>
  <c r="E434" i="1"/>
  <c r="K580" i="1"/>
  <c r="J580" i="1"/>
  <c r="I580" i="1"/>
  <c r="H580" i="1"/>
  <c r="G580" i="1"/>
  <c r="F580" i="1"/>
  <c r="K579" i="1"/>
  <c r="J579" i="1"/>
  <c r="I579" i="1"/>
  <c r="H579" i="1"/>
  <c r="G579" i="1"/>
  <c r="F579" i="1"/>
  <c r="K578" i="1"/>
  <c r="J578" i="1"/>
  <c r="I578" i="1"/>
  <c r="H578" i="1"/>
  <c r="G578" i="1"/>
  <c r="F578" i="1"/>
  <c r="K577" i="1"/>
  <c r="J577" i="1"/>
  <c r="I577" i="1"/>
  <c r="H577" i="1"/>
  <c r="G577" i="1"/>
  <c r="F577" i="1"/>
  <c r="K576" i="1"/>
  <c r="J576" i="1"/>
  <c r="I576" i="1"/>
  <c r="H576" i="1"/>
  <c r="G576" i="1"/>
  <c r="F576" i="1"/>
  <c r="K575" i="1"/>
  <c r="J575" i="1"/>
  <c r="I575" i="1"/>
  <c r="H575" i="1"/>
  <c r="G575" i="1"/>
  <c r="F575" i="1"/>
  <c r="H115" i="1" a="1"/>
  <c r="H115" i="1"/>
  <c r="E467" i="1" a="1"/>
  <c r="E473" i="1"/>
  <c r="L473" i="1"/>
  <c r="F81" i="1"/>
  <c r="G81" i="1"/>
  <c r="K99" i="1"/>
  <c r="J99" i="1"/>
  <c r="I99" i="1"/>
  <c r="H99" i="1"/>
  <c r="G99" i="1"/>
  <c r="F99" i="1"/>
  <c r="K98" i="1"/>
  <c r="J98" i="1"/>
  <c r="I98" i="1"/>
  <c r="H98" i="1"/>
  <c r="G98" i="1"/>
  <c r="F98" i="1"/>
  <c r="K97" i="1"/>
  <c r="J97" i="1"/>
  <c r="I97" i="1"/>
  <c r="H97" i="1"/>
  <c r="G97" i="1"/>
  <c r="F97" i="1"/>
  <c r="K96" i="1"/>
  <c r="J96" i="1"/>
  <c r="I96" i="1"/>
  <c r="H96" i="1"/>
  <c r="G96" i="1"/>
  <c r="F96" i="1"/>
  <c r="K95" i="1"/>
  <c r="J95" i="1"/>
  <c r="I95" i="1"/>
  <c r="H95" i="1"/>
  <c r="G95" i="1"/>
  <c r="F95" i="1"/>
  <c r="K94" i="1"/>
  <c r="J94" i="1"/>
  <c r="H94" i="1"/>
  <c r="G94" i="1"/>
  <c r="F72" i="1"/>
  <c r="G72" i="1"/>
  <c r="X20" i="1"/>
  <c r="I20" i="1"/>
  <c r="X21" i="1"/>
  <c r="G21" i="1"/>
  <c r="X22" i="1"/>
  <c r="G22" i="1"/>
  <c r="I22" i="1"/>
  <c r="X23" i="1"/>
  <c r="H23" i="1"/>
  <c r="X19" i="1"/>
  <c r="G19" i="1"/>
  <c r="I24" i="1"/>
  <c r="F24" i="1"/>
  <c r="F9" i="1"/>
  <c r="G9" i="1"/>
  <c r="I94" i="1"/>
  <c r="F94" i="1"/>
  <c r="R483" i="1"/>
  <c r="R484" i="1"/>
  <c r="R485" i="1"/>
  <c r="R486" i="1"/>
  <c r="R487" i="1"/>
  <c r="O9" i="1"/>
  <c r="O10" i="1"/>
  <c r="P10" i="1"/>
  <c r="O11" i="1"/>
  <c r="P11" i="1"/>
  <c r="H81" i="1"/>
  <c r="H72" i="1"/>
  <c r="X82" i="1"/>
  <c r="H82" i="1"/>
  <c r="X78" i="1"/>
  <c r="X79" i="1"/>
  <c r="H79" i="1"/>
  <c r="X80" i="1"/>
  <c r="F80" i="1"/>
  <c r="G80" i="1"/>
  <c r="X83" i="1"/>
  <c r="K83" i="1"/>
  <c r="L83" i="1"/>
  <c r="X77" i="1"/>
  <c r="F77" i="1"/>
  <c r="G77" i="1"/>
  <c r="F78" i="1"/>
  <c r="G78" i="1"/>
  <c r="F79" i="1"/>
  <c r="G79" i="1"/>
  <c r="F82" i="1"/>
  <c r="G82" i="1"/>
  <c r="F83" i="1"/>
  <c r="G83" i="1"/>
  <c r="G84" i="1"/>
  <c r="X68" i="1"/>
  <c r="X69" i="1"/>
  <c r="K69" i="1"/>
  <c r="K12" i="1"/>
  <c r="L12" i="1"/>
  <c r="X70" i="1"/>
  <c r="X71" i="1"/>
  <c r="X67" i="1"/>
  <c r="K67" i="1"/>
  <c r="L67" i="1"/>
  <c r="K68" i="1"/>
  <c r="L68" i="1"/>
  <c r="L69" i="1"/>
  <c r="K70" i="1"/>
  <c r="L70" i="1"/>
  <c r="K71" i="1"/>
  <c r="L71" i="1"/>
  <c r="L73" i="1"/>
  <c r="R108" i="1"/>
  <c r="S108" i="1"/>
  <c r="S611" i="1"/>
  <c r="T611" i="1"/>
  <c r="R605" i="1" a="1"/>
  <c r="T5" i="1"/>
  <c r="T4" i="1"/>
  <c r="F10" i="1"/>
  <c r="G10" i="1"/>
  <c r="H604" i="1" a="1"/>
  <c r="L604" i="1"/>
  <c r="L612" i="1"/>
  <c r="F5" i="1"/>
  <c r="Q674" i="1"/>
  <c r="L672" i="1"/>
  <c r="H657" i="1"/>
  <c r="P487" i="1"/>
  <c r="O487" i="1"/>
  <c r="N487" i="1"/>
  <c r="M487" i="1"/>
  <c r="L487" i="1"/>
  <c r="K487" i="1"/>
  <c r="G487" i="1"/>
  <c r="H487" i="1"/>
  <c r="I487" i="1"/>
  <c r="J487" i="1"/>
  <c r="P486" i="1"/>
  <c r="O486" i="1"/>
  <c r="N486" i="1"/>
  <c r="M486" i="1"/>
  <c r="L486" i="1"/>
  <c r="K486" i="1"/>
  <c r="J486" i="1"/>
  <c r="I486" i="1"/>
  <c r="H486" i="1"/>
  <c r="G486" i="1"/>
  <c r="P485" i="1"/>
  <c r="P483" i="1"/>
  <c r="P484" i="1"/>
  <c r="O485" i="1"/>
  <c r="N485" i="1"/>
  <c r="M485" i="1"/>
  <c r="L485" i="1"/>
  <c r="K485" i="1"/>
  <c r="J485" i="1"/>
  <c r="I485" i="1"/>
  <c r="H485" i="1"/>
  <c r="G485" i="1"/>
  <c r="O484" i="1"/>
  <c r="N484" i="1"/>
  <c r="M484" i="1"/>
  <c r="L484" i="1"/>
  <c r="K484" i="1"/>
  <c r="J484" i="1"/>
  <c r="I484" i="1"/>
  <c r="I483" i="1"/>
  <c r="H484" i="1"/>
  <c r="G484" i="1"/>
  <c r="O483" i="1"/>
  <c r="N483" i="1"/>
  <c r="M483" i="1"/>
  <c r="L483" i="1"/>
  <c r="K483" i="1"/>
  <c r="J483" i="1"/>
  <c r="H483" i="1"/>
  <c r="G483" i="1"/>
  <c r="S36" i="1"/>
  <c r="S35" i="1"/>
  <c r="S34" i="1"/>
  <c r="S32" i="1"/>
  <c r="S33" i="1"/>
  <c r="S24" i="1"/>
  <c r="S23" i="1"/>
  <c r="S22" i="1"/>
  <c r="S21" i="1"/>
  <c r="S20" i="1"/>
  <c r="I37" i="1"/>
  <c r="G37" i="1"/>
  <c r="F37" i="1"/>
  <c r="I36" i="1"/>
  <c r="G36" i="1"/>
  <c r="F36" i="1"/>
  <c r="I35" i="1"/>
  <c r="G35" i="1"/>
  <c r="F35" i="1"/>
  <c r="I34" i="1"/>
  <c r="G34" i="1"/>
  <c r="F34" i="1"/>
  <c r="I33" i="1"/>
  <c r="G33" i="1"/>
  <c r="F33" i="1"/>
  <c r="I32" i="1"/>
  <c r="G32" i="1"/>
  <c r="F32" i="1"/>
  <c r="I31" i="1"/>
  <c r="G31" i="1"/>
  <c r="F31" i="1"/>
  <c r="E4" i="1"/>
  <c r="M675" i="1"/>
  <c r="L675" i="1"/>
  <c r="K675" i="1"/>
  <c r="J675" i="1"/>
  <c r="I675" i="1"/>
  <c r="H675" i="1"/>
  <c r="G675" i="1"/>
  <c r="M674" i="1"/>
  <c r="L674" i="1"/>
  <c r="K674" i="1"/>
  <c r="J674" i="1"/>
  <c r="I674" i="1"/>
  <c r="H674" i="1"/>
  <c r="G674" i="1"/>
  <c r="M673" i="1"/>
  <c r="L673" i="1"/>
  <c r="K673" i="1"/>
  <c r="J673" i="1"/>
  <c r="I673" i="1"/>
  <c r="H673" i="1"/>
  <c r="G673" i="1"/>
  <c r="M672" i="1"/>
  <c r="K672" i="1"/>
  <c r="J672" i="1"/>
  <c r="I672" i="1"/>
  <c r="H672" i="1"/>
  <c r="G672" i="1"/>
  <c r="M671" i="1"/>
  <c r="L671" i="1"/>
  <c r="K671" i="1"/>
  <c r="J671" i="1"/>
  <c r="I671" i="1"/>
  <c r="H671" i="1"/>
  <c r="G671" i="1"/>
  <c r="M670" i="1"/>
  <c r="L670" i="1"/>
  <c r="K670" i="1"/>
  <c r="J670" i="1"/>
  <c r="I670" i="1"/>
  <c r="H670" i="1"/>
  <c r="G670" i="1"/>
  <c r="M669" i="1"/>
  <c r="L669" i="1"/>
  <c r="K669" i="1"/>
  <c r="J669" i="1"/>
  <c r="I669" i="1"/>
  <c r="H669" i="1"/>
  <c r="G669" i="1"/>
  <c r="M668" i="1"/>
  <c r="L668" i="1"/>
  <c r="K668" i="1"/>
  <c r="J668" i="1"/>
  <c r="I668" i="1"/>
  <c r="H668" i="1"/>
  <c r="G668" i="1"/>
  <c r="M667" i="1"/>
  <c r="L667" i="1"/>
  <c r="K667" i="1"/>
  <c r="J667" i="1"/>
  <c r="I667" i="1"/>
  <c r="H667" i="1"/>
  <c r="G667" i="1"/>
  <c r="M666" i="1"/>
  <c r="L666" i="1"/>
  <c r="K666" i="1"/>
  <c r="J666" i="1"/>
  <c r="I666" i="1"/>
  <c r="H666" i="1"/>
  <c r="G666" i="1"/>
  <c r="M665" i="1"/>
  <c r="L665" i="1"/>
  <c r="K665" i="1"/>
  <c r="J665" i="1"/>
  <c r="I665" i="1"/>
  <c r="H665" i="1"/>
  <c r="G665" i="1"/>
  <c r="M664" i="1"/>
  <c r="L664" i="1"/>
  <c r="K664" i="1"/>
  <c r="J664" i="1"/>
  <c r="I664" i="1"/>
  <c r="H664" i="1"/>
  <c r="G664" i="1"/>
  <c r="M663" i="1"/>
  <c r="L663" i="1"/>
  <c r="K663" i="1"/>
  <c r="J663" i="1"/>
  <c r="I663" i="1"/>
  <c r="H663" i="1"/>
  <c r="G663" i="1"/>
  <c r="M662" i="1"/>
  <c r="L662" i="1"/>
  <c r="K662" i="1"/>
  <c r="J662" i="1"/>
  <c r="I662" i="1"/>
  <c r="H662" i="1"/>
  <c r="G662" i="1"/>
  <c r="M661" i="1"/>
  <c r="L661" i="1"/>
  <c r="K661" i="1"/>
  <c r="J661" i="1"/>
  <c r="I661" i="1"/>
  <c r="H661" i="1"/>
  <c r="G661" i="1"/>
  <c r="M660" i="1"/>
  <c r="L660" i="1"/>
  <c r="K660" i="1"/>
  <c r="J660" i="1"/>
  <c r="I660" i="1"/>
  <c r="H660" i="1"/>
  <c r="G660" i="1"/>
  <c r="M659" i="1"/>
  <c r="L659" i="1"/>
  <c r="K659" i="1"/>
  <c r="J659" i="1"/>
  <c r="I659" i="1"/>
  <c r="H659" i="1"/>
  <c r="G659" i="1"/>
  <c r="M658" i="1"/>
  <c r="L658" i="1"/>
  <c r="K658" i="1"/>
  <c r="J658" i="1"/>
  <c r="I658" i="1"/>
  <c r="H658" i="1"/>
  <c r="G658" i="1"/>
  <c r="M657" i="1"/>
  <c r="L657" i="1"/>
  <c r="K657" i="1"/>
  <c r="J657" i="1"/>
  <c r="I657" i="1"/>
  <c r="G657" i="1"/>
  <c r="M656" i="1"/>
  <c r="L656" i="1"/>
  <c r="K656" i="1"/>
  <c r="J656" i="1"/>
  <c r="I656" i="1"/>
  <c r="H656" i="1"/>
  <c r="G656" i="1"/>
  <c r="M655" i="1"/>
  <c r="L655" i="1"/>
  <c r="K655" i="1"/>
  <c r="J655" i="1"/>
  <c r="I655" i="1"/>
  <c r="H655" i="1"/>
  <c r="G655" i="1"/>
  <c r="M654" i="1"/>
  <c r="L654" i="1"/>
  <c r="K654" i="1"/>
  <c r="J654" i="1"/>
  <c r="I654" i="1"/>
  <c r="H654" i="1"/>
  <c r="G654" i="1"/>
  <c r="M653" i="1"/>
  <c r="L653" i="1"/>
  <c r="K653" i="1"/>
  <c r="J653" i="1"/>
  <c r="I653" i="1"/>
  <c r="H653" i="1"/>
  <c r="G653" i="1"/>
  <c r="M652" i="1"/>
  <c r="L652" i="1"/>
  <c r="K652" i="1"/>
  <c r="J652" i="1"/>
  <c r="I652" i="1"/>
  <c r="H652" i="1"/>
  <c r="G652" i="1"/>
  <c r="M651" i="1"/>
  <c r="L651" i="1"/>
  <c r="K651" i="1"/>
  <c r="J651" i="1"/>
  <c r="I651" i="1"/>
  <c r="H651" i="1"/>
  <c r="G651" i="1"/>
  <c r="M650" i="1"/>
  <c r="L650" i="1"/>
  <c r="K650" i="1"/>
  <c r="J650" i="1"/>
  <c r="I650" i="1"/>
  <c r="H650" i="1"/>
  <c r="G650" i="1"/>
  <c r="M649" i="1"/>
  <c r="L649" i="1"/>
  <c r="K649" i="1"/>
  <c r="J649" i="1"/>
  <c r="I649" i="1"/>
  <c r="H649" i="1"/>
  <c r="G649" i="1"/>
  <c r="M648" i="1"/>
  <c r="L648" i="1"/>
  <c r="K648" i="1"/>
  <c r="J648" i="1"/>
  <c r="I648" i="1"/>
  <c r="H648" i="1"/>
  <c r="G648" i="1"/>
  <c r="M647" i="1"/>
  <c r="L647" i="1"/>
  <c r="K647" i="1"/>
  <c r="J647" i="1"/>
  <c r="I647" i="1"/>
  <c r="H647" i="1"/>
  <c r="G647" i="1"/>
  <c r="M646" i="1"/>
  <c r="L646" i="1"/>
  <c r="K646" i="1"/>
  <c r="J646" i="1"/>
  <c r="I646" i="1"/>
  <c r="H646" i="1"/>
  <c r="G646" i="1"/>
  <c r="M645" i="1"/>
  <c r="L645" i="1"/>
  <c r="K645" i="1"/>
  <c r="J645" i="1"/>
  <c r="I645" i="1"/>
  <c r="H645" i="1"/>
  <c r="G645" i="1"/>
  <c r="M644" i="1"/>
  <c r="L644" i="1"/>
  <c r="K644" i="1"/>
  <c r="J644" i="1"/>
  <c r="I644" i="1"/>
  <c r="H644" i="1"/>
  <c r="G644" i="1"/>
  <c r="M643" i="1"/>
  <c r="L643" i="1"/>
  <c r="K643" i="1"/>
  <c r="J643" i="1"/>
  <c r="I643" i="1"/>
  <c r="H643" i="1"/>
  <c r="G643" i="1"/>
  <c r="M642" i="1"/>
  <c r="L642" i="1"/>
  <c r="K642" i="1"/>
  <c r="J642" i="1"/>
  <c r="I642" i="1"/>
  <c r="H642" i="1"/>
  <c r="G642" i="1"/>
  <c r="M641" i="1"/>
  <c r="L641" i="1"/>
  <c r="K641" i="1"/>
  <c r="J641" i="1"/>
  <c r="I641" i="1"/>
  <c r="H641" i="1"/>
  <c r="G641" i="1"/>
  <c r="M640" i="1"/>
  <c r="L640" i="1"/>
  <c r="K640" i="1"/>
  <c r="J640" i="1"/>
  <c r="I640" i="1"/>
  <c r="H640" i="1"/>
  <c r="G640" i="1"/>
  <c r="M639" i="1"/>
  <c r="L639" i="1"/>
  <c r="K639" i="1"/>
  <c r="J639" i="1"/>
  <c r="I639" i="1"/>
  <c r="H639" i="1"/>
  <c r="G639" i="1"/>
  <c r="M638" i="1"/>
  <c r="L638" i="1"/>
  <c r="K638" i="1"/>
  <c r="J638" i="1"/>
  <c r="I638" i="1"/>
  <c r="H638" i="1"/>
  <c r="G638" i="1"/>
  <c r="M637" i="1"/>
  <c r="L637" i="1"/>
  <c r="K637" i="1"/>
  <c r="J637" i="1"/>
  <c r="I637" i="1"/>
  <c r="H637" i="1"/>
  <c r="G637" i="1"/>
  <c r="T636" i="1"/>
  <c r="S636" i="1"/>
  <c r="R636" i="1"/>
  <c r="Q636" i="1"/>
  <c r="P636" i="1"/>
  <c r="O636" i="1"/>
  <c r="M636" i="1"/>
  <c r="L636" i="1"/>
  <c r="K636" i="1"/>
  <c r="J636" i="1"/>
  <c r="I636" i="1"/>
  <c r="H636" i="1"/>
  <c r="M635" i="1"/>
  <c r="T635" i="1"/>
  <c r="L635" i="1"/>
  <c r="S635" i="1"/>
  <c r="K635" i="1"/>
  <c r="R635" i="1"/>
  <c r="J635" i="1"/>
  <c r="Q635" i="1"/>
  <c r="I635" i="1"/>
  <c r="P635" i="1"/>
  <c r="H635" i="1"/>
  <c r="O635" i="1"/>
  <c r="I21" i="1"/>
  <c r="I19" i="1"/>
  <c r="H67" i="1"/>
  <c r="AA622" i="1"/>
  <c r="AA623" i="1"/>
  <c r="AA620" i="1"/>
  <c r="AA619" i="1"/>
  <c r="AA624" i="1"/>
  <c r="AA621" i="1"/>
  <c r="H419" i="1"/>
  <c r="P419" i="1"/>
  <c r="I419" i="1"/>
  <c r="M419" i="1"/>
  <c r="J419" i="1"/>
  <c r="K419" i="1"/>
  <c r="N419" i="1"/>
  <c r="O419" i="1"/>
  <c r="L419" i="1"/>
  <c r="O412" i="1"/>
  <c r="H412" i="1"/>
  <c r="P412" i="1"/>
  <c r="L412" i="1"/>
  <c r="I412" i="1"/>
  <c r="J412" i="1"/>
  <c r="M412" i="1"/>
  <c r="N412" i="1"/>
  <c r="K412" i="1"/>
  <c r="N421" i="1"/>
  <c r="O421" i="1"/>
  <c r="K421" i="1"/>
  <c r="M421" i="1"/>
  <c r="H421" i="1"/>
  <c r="P421" i="1"/>
  <c r="I421" i="1"/>
  <c r="J421" i="1"/>
  <c r="L421" i="1"/>
  <c r="K393" i="1"/>
  <c r="L393" i="1"/>
  <c r="M393" i="1"/>
  <c r="N393" i="1"/>
  <c r="O393" i="1"/>
  <c r="P393" i="1"/>
  <c r="J393" i="1"/>
  <c r="I393"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4" i="1"/>
  <c r="K395" i="1"/>
  <c r="K396" i="1"/>
  <c r="K397" i="1"/>
  <c r="K398" i="1"/>
  <c r="K399" i="1"/>
  <c r="K400" i="1"/>
  <c r="K401" i="1"/>
  <c r="K402" i="1"/>
  <c r="K403" i="1"/>
  <c r="K404" i="1"/>
  <c r="K405" i="1"/>
  <c r="K406" i="1"/>
  <c r="K407" i="1"/>
  <c r="K408" i="1"/>
  <c r="K409" i="1"/>
  <c r="K410" i="1"/>
  <c r="K411" i="1"/>
  <c r="K413" i="1"/>
  <c r="K414" i="1"/>
  <c r="K415" i="1"/>
  <c r="K416" i="1"/>
  <c r="K417" i="1"/>
  <c r="K418" i="1"/>
  <c r="K420" i="1"/>
  <c r="K422" i="1"/>
  <c r="K423" i="1"/>
  <c r="K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4" i="1"/>
  <c r="L395" i="1"/>
  <c r="L396" i="1"/>
  <c r="L397" i="1"/>
  <c r="L398" i="1"/>
  <c r="L399" i="1"/>
  <c r="L400" i="1"/>
  <c r="L401" i="1"/>
  <c r="L402" i="1"/>
  <c r="L403" i="1"/>
  <c r="L404" i="1"/>
  <c r="L405" i="1"/>
  <c r="L406" i="1"/>
  <c r="L407" i="1"/>
  <c r="L408" i="1"/>
  <c r="L409" i="1"/>
  <c r="L410" i="1"/>
  <c r="L411" i="1"/>
  <c r="L413" i="1"/>
  <c r="L414" i="1"/>
  <c r="L415" i="1"/>
  <c r="L416" i="1"/>
  <c r="L417" i="1"/>
  <c r="L418" i="1"/>
  <c r="L420" i="1"/>
  <c r="L422" i="1"/>
  <c r="L423" i="1"/>
  <c r="L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4" i="1"/>
  <c r="M395" i="1"/>
  <c r="M396" i="1"/>
  <c r="M397" i="1"/>
  <c r="M398" i="1"/>
  <c r="M399" i="1"/>
  <c r="M400" i="1"/>
  <c r="M401" i="1"/>
  <c r="M402" i="1"/>
  <c r="M403" i="1"/>
  <c r="M404" i="1"/>
  <c r="M405" i="1"/>
  <c r="M406" i="1"/>
  <c r="M407" i="1"/>
  <c r="M408" i="1"/>
  <c r="M409" i="1"/>
  <c r="M410" i="1"/>
  <c r="M411" i="1"/>
  <c r="M413" i="1"/>
  <c r="M414" i="1"/>
  <c r="M415" i="1"/>
  <c r="M416" i="1"/>
  <c r="M417" i="1"/>
  <c r="M418" i="1"/>
  <c r="M420" i="1"/>
  <c r="M422" i="1"/>
  <c r="M423" i="1"/>
  <c r="M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4" i="1"/>
  <c r="N395" i="1"/>
  <c r="N396" i="1"/>
  <c r="N397" i="1"/>
  <c r="N398" i="1"/>
  <c r="N399" i="1"/>
  <c r="N400" i="1"/>
  <c r="N401" i="1"/>
  <c r="N402" i="1"/>
  <c r="N403" i="1"/>
  <c r="N404" i="1"/>
  <c r="N405" i="1"/>
  <c r="N406" i="1"/>
  <c r="N407" i="1"/>
  <c r="N408" i="1"/>
  <c r="N409" i="1"/>
  <c r="N410" i="1"/>
  <c r="N411" i="1"/>
  <c r="N413" i="1"/>
  <c r="N414" i="1"/>
  <c r="N415" i="1"/>
  <c r="N416" i="1"/>
  <c r="N417" i="1"/>
  <c r="N418" i="1"/>
  <c r="N420" i="1"/>
  <c r="N422" i="1"/>
  <c r="N423" i="1"/>
  <c r="N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4" i="1"/>
  <c r="O395" i="1"/>
  <c r="O396" i="1"/>
  <c r="O397" i="1"/>
  <c r="O398" i="1"/>
  <c r="O399" i="1"/>
  <c r="O400" i="1"/>
  <c r="O401" i="1"/>
  <c r="O402" i="1"/>
  <c r="O403" i="1"/>
  <c r="O404" i="1"/>
  <c r="O405" i="1"/>
  <c r="O406" i="1"/>
  <c r="O407" i="1"/>
  <c r="O408" i="1"/>
  <c r="O409" i="1"/>
  <c r="O410" i="1"/>
  <c r="O411" i="1"/>
  <c r="O413" i="1"/>
  <c r="O414" i="1"/>
  <c r="O415" i="1"/>
  <c r="O416" i="1"/>
  <c r="O417" i="1"/>
  <c r="O418" i="1"/>
  <c r="O420" i="1"/>
  <c r="O422" i="1"/>
  <c r="O423" i="1"/>
  <c r="O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4" i="1"/>
  <c r="P395" i="1"/>
  <c r="P396" i="1"/>
  <c r="P397" i="1"/>
  <c r="P398" i="1"/>
  <c r="P399" i="1"/>
  <c r="P400" i="1"/>
  <c r="P401" i="1"/>
  <c r="P402" i="1"/>
  <c r="P403" i="1"/>
  <c r="P404" i="1"/>
  <c r="P405" i="1"/>
  <c r="P406" i="1"/>
  <c r="P407" i="1"/>
  <c r="P408" i="1"/>
  <c r="P409" i="1"/>
  <c r="P410" i="1"/>
  <c r="P411" i="1"/>
  <c r="P413" i="1"/>
  <c r="P414" i="1"/>
  <c r="P415" i="1"/>
  <c r="P416" i="1"/>
  <c r="P417" i="1"/>
  <c r="P418" i="1"/>
  <c r="P420" i="1"/>
  <c r="P422" i="1"/>
  <c r="P423" i="1"/>
  <c r="P352" i="1"/>
  <c r="J352" i="1"/>
  <c r="I352" i="1"/>
  <c r="H393" i="1"/>
  <c r="J390" i="1"/>
  <c r="I390" i="1"/>
  <c r="H390" i="1"/>
  <c r="J406" i="1"/>
  <c r="H406" i="1"/>
  <c r="I406" i="1"/>
  <c r="I418" i="1"/>
  <c r="J418" i="1"/>
  <c r="H418" i="1"/>
  <c r="H420" i="1"/>
  <c r="J420" i="1"/>
  <c r="I420" i="1"/>
  <c r="I415" i="1"/>
  <c r="J415" i="1"/>
  <c r="H415" i="1"/>
  <c r="H400" i="1"/>
  <c r="I400" i="1"/>
  <c r="J400" i="1"/>
  <c r="J382" i="1"/>
  <c r="I382" i="1"/>
  <c r="H382" i="1"/>
  <c r="J391" i="1"/>
  <c r="I391" i="1"/>
  <c r="H391" i="1"/>
  <c r="I410" i="1"/>
  <c r="J410" i="1"/>
  <c r="H410" i="1"/>
  <c r="I402" i="1"/>
  <c r="J402" i="1"/>
  <c r="H402" i="1"/>
  <c r="J379" i="1"/>
  <c r="I379" i="1"/>
  <c r="H379" i="1"/>
  <c r="I413" i="1"/>
  <c r="J413" i="1"/>
  <c r="H413" i="1"/>
  <c r="J394" i="1"/>
  <c r="I394" i="1"/>
  <c r="H394" i="1"/>
  <c r="J422" i="1"/>
  <c r="H422" i="1"/>
  <c r="I422" i="1"/>
  <c r="J387" i="1"/>
  <c r="I387" i="1"/>
  <c r="H387" i="1"/>
  <c r="J380" i="1"/>
  <c r="I380" i="1"/>
  <c r="H380" i="1"/>
  <c r="H416" i="1"/>
  <c r="J416" i="1"/>
  <c r="I416" i="1"/>
  <c r="J383" i="1"/>
  <c r="I383" i="1"/>
  <c r="H383" i="1"/>
  <c r="J385" i="1"/>
  <c r="I385" i="1"/>
  <c r="H385" i="1"/>
  <c r="J386" i="1"/>
  <c r="I386" i="1"/>
  <c r="H386" i="1"/>
  <c r="H395" i="1"/>
  <c r="J395" i="1"/>
  <c r="I395" i="1"/>
  <c r="J388" i="1"/>
  <c r="I388" i="1"/>
  <c r="H388" i="1"/>
  <c r="J392" i="1"/>
  <c r="I392" i="1"/>
  <c r="H392" i="1"/>
  <c r="J381" i="1"/>
  <c r="I381" i="1"/>
  <c r="H381" i="1"/>
  <c r="H397" i="1"/>
  <c r="I397" i="1"/>
  <c r="J397" i="1"/>
  <c r="J398" i="1"/>
  <c r="I398" i="1"/>
  <c r="H398" i="1"/>
  <c r="H403" i="1"/>
  <c r="I403" i="1"/>
  <c r="J403" i="1"/>
  <c r="H396" i="1"/>
  <c r="I396" i="1"/>
  <c r="J396" i="1"/>
  <c r="I399" i="1"/>
  <c r="J399" i="1"/>
  <c r="H399" i="1"/>
  <c r="J414" i="1"/>
  <c r="H414" i="1"/>
  <c r="I414" i="1"/>
  <c r="J401" i="1"/>
  <c r="H401" i="1"/>
  <c r="I401" i="1"/>
  <c r="I407" i="1"/>
  <c r="J407" i="1"/>
  <c r="H407" i="1"/>
  <c r="H408" i="1"/>
  <c r="I408" i="1"/>
  <c r="J408" i="1"/>
  <c r="J389" i="1"/>
  <c r="I389" i="1"/>
  <c r="H389" i="1"/>
  <c r="H405" i="1"/>
  <c r="J405" i="1"/>
  <c r="I405" i="1"/>
  <c r="H411" i="1"/>
  <c r="I411" i="1"/>
  <c r="J411" i="1"/>
  <c r="H404" i="1"/>
  <c r="I404" i="1"/>
  <c r="J404" i="1"/>
  <c r="J409" i="1"/>
  <c r="H409" i="1"/>
  <c r="I409" i="1"/>
  <c r="I423" i="1"/>
  <c r="H423" i="1"/>
  <c r="J423" i="1"/>
  <c r="J384" i="1"/>
  <c r="I384" i="1"/>
  <c r="H384" i="1"/>
  <c r="J417" i="1"/>
  <c r="H417" i="1"/>
  <c r="I417" i="1"/>
  <c r="J540" i="1"/>
  <c r="R540" i="1"/>
  <c r="K540" i="1"/>
  <c r="S540" i="1"/>
  <c r="L540" i="1"/>
  <c r="T540" i="1"/>
  <c r="M540" i="1"/>
  <c r="I540" i="1"/>
  <c r="N540" i="1"/>
  <c r="O540" i="1"/>
  <c r="P540" i="1"/>
  <c r="H540" i="1"/>
  <c r="Q540" i="1"/>
  <c r="J548" i="1"/>
  <c r="R548" i="1"/>
  <c r="K548" i="1"/>
  <c r="S548" i="1"/>
  <c r="L548" i="1"/>
  <c r="T548" i="1"/>
  <c r="M548" i="1"/>
  <c r="N548" i="1"/>
  <c r="O548" i="1"/>
  <c r="P548" i="1"/>
  <c r="Q548" i="1"/>
  <c r="I548" i="1"/>
  <c r="H548" i="1"/>
  <c r="N528" i="1"/>
  <c r="O528" i="1"/>
  <c r="I528" i="1"/>
  <c r="J528" i="1"/>
  <c r="K528" i="1"/>
  <c r="L528" i="1"/>
  <c r="M528" i="1"/>
  <c r="P528" i="1"/>
  <c r="H528" i="1"/>
  <c r="Q528" i="1"/>
  <c r="R528" i="1"/>
  <c r="S528" i="1"/>
  <c r="T528" i="1"/>
  <c r="I513" i="1"/>
  <c r="Q513" i="1"/>
  <c r="J513" i="1"/>
  <c r="R513" i="1"/>
  <c r="K513" i="1"/>
  <c r="S513" i="1"/>
  <c r="L513" i="1"/>
  <c r="T513" i="1"/>
  <c r="M513" i="1"/>
  <c r="N513" i="1"/>
  <c r="O513" i="1"/>
  <c r="P513" i="1"/>
  <c r="H513" i="1"/>
  <c r="M563" i="1"/>
  <c r="N563" i="1"/>
  <c r="O563" i="1"/>
  <c r="I563" i="1"/>
  <c r="Q563" i="1"/>
  <c r="T563" i="1"/>
  <c r="H563" i="1"/>
  <c r="K563" i="1"/>
  <c r="S563" i="1"/>
  <c r="J563" i="1"/>
  <c r="L563" i="1"/>
  <c r="P563" i="1"/>
  <c r="R563" i="1"/>
  <c r="J556" i="1"/>
  <c r="R556" i="1"/>
  <c r="K556" i="1"/>
  <c r="S556" i="1"/>
  <c r="M556" i="1"/>
  <c r="H556" i="1"/>
  <c r="I556" i="1"/>
  <c r="L556" i="1"/>
  <c r="O556" i="1"/>
  <c r="N556" i="1"/>
  <c r="P556" i="1"/>
  <c r="Q556" i="1"/>
  <c r="T556" i="1"/>
  <c r="K543" i="1"/>
  <c r="S543" i="1"/>
  <c r="L543" i="1"/>
  <c r="T543" i="1"/>
  <c r="M543" i="1"/>
  <c r="N543" i="1"/>
  <c r="O543" i="1"/>
  <c r="P543" i="1"/>
  <c r="Q543" i="1"/>
  <c r="I543" i="1"/>
  <c r="J543" i="1"/>
  <c r="H543" i="1"/>
  <c r="R543" i="1"/>
  <c r="K535" i="1"/>
  <c r="S535" i="1"/>
  <c r="L535" i="1"/>
  <c r="T535" i="1"/>
  <c r="M535" i="1"/>
  <c r="N535" i="1"/>
  <c r="I535" i="1"/>
  <c r="J535" i="1"/>
  <c r="O535" i="1"/>
  <c r="P535" i="1"/>
  <c r="H535" i="1"/>
  <c r="Q535" i="1"/>
  <c r="R535" i="1"/>
  <c r="H550" i="1"/>
  <c r="P550" i="1"/>
  <c r="I550" i="1"/>
  <c r="Q550" i="1"/>
  <c r="J550" i="1"/>
  <c r="R550" i="1"/>
  <c r="K550" i="1"/>
  <c r="S550" i="1"/>
  <c r="T550" i="1"/>
  <c r="L550" i="1"/>
  <c r="M550" i="1"/>
  <c r="N550" i="1"/>
  <c r="O550" i="1"/>
  <c r="N536" i="1"/>
  <c r="O536" i="1"/>
  <c r="I536" i="1"/>
  <c r="J536" i="1"/>
  <c r="K536" i="1"/>
  <c r="L536" i="1"/>
  <c r="M536" i="1"/>
  <c r="P536" i="1"/>
  <c r="H536" i="1"/>
  <c r="Q536" i="1"/>
  <c r="R536" i="1"/>
  <c r="S536" i="1"/>
  <c r="T536" i="1"/>
  <c r="I521" i="1"/>
  <c r="Q521" i="1"/>
  <c r="J521" i="1"/>
  <c r="R521" i="1"/>
  <c r="K521" i="1"/>
  <c r="S521" i="1"/>
  <c r="L521" i="1"/>
  <c r="T521" i="1"/>
  <c r="M521" i="1"/>
  <c r="N521" i="1"/>
  <c r="O521" i="1"/>
  <c r="P521" i="1"/>
  <c r="H521" i="1"/>
  <c r="L514" i="1"/>
  <c r="S514" i="1"/>
  <c r="T514" i="1"/>
  <c r="M514" i="1"/>
  <c r="N514" i="1"/>
  <c r="O514" i="1"/>
  <c r="I514" i="1"/>
  <c r="J514" i="1"/>
  <c r="K514" i="1"/>
  <c r="P514" i="1"/>
  <c r="H514" i="1"/>
  <c r="Q514" i="1"/>
  <c r="R514" i="1"/>
  <c r="H564" i="1"/>
  <c r="P564" i="1"/>
  <c r="I564" i="1"/>
  <c r="Q564" i="1"/>
  <c r="J564" i="1"/>
  <c r="R564" i="1"/>
  <c r="L564" i="1"/>
  <c r="T564" i="1"/>
  <c r="N564" i="1"/>
  <c r="K564" i="1"/>
  <c r="M564" i="1"/>
  <c r="O564" i="1"/>
  <c r="S564" i="1"/>
  <c r="I510" i="1"/>
  <c r="J510" i="1"/>
  <c r="K510" i="1"/>
  <c r="L510" i="1"/>
  <c r="M510" i="1"/>
  <c r="N510" i="1"/>
  <c r="O510" i="1"/>
  <c r="P510" i="1"/>
  <c r="H510" i="1"/>
  <c r="Q510" i="1"/>
  <c r="R510" i="1"/>
  <c r="S510" i="1"/>
  <c r="T510" i="1"/>
  <c r="M517" i="1"/>
  <c r="N517" i="1"/>
  <c r="O517" i="1"/>
  <c r="I517" i="1"/>
  <c r="J517" i="1"/>
  <c r="K517" i="1"/>
  <c r="L517" i="1"/>
  <c r="P517" i="1"/>
  <c r="H517" i="1"/>
  <c r="Q517" i="1"/>
  <c r="R517" i="1"/>
  <c r="S517" i="1"/>
  <c r="T517" i="1"/>
  <c r="N512" i="1"/>
  <c r="O512" i="1"/>
  <c r="I512" i="1"/>
  <c r="J512" i="1"/>
  <c r="K512" i="1"/>
  <c r="L512" i="1"/>
  <c r="M512" i="1"/>
  <c r="P512" i="1"/>
  <c r="H512" i="1"/>
  <c r="Q512" i="1"/>
  <c r="R512" i="1"/>
  <c r="S512" i="1"/>
  <c r="T512" i="1"/>
  <c r="L554" i="1"/>
  <c r="T554" i="1"/>
  <c r="M554" i="1"/>
  <c r="O554" i="1"/>
  <c r="I554" i="1"/>
  <c r="J554" i="1"/>
  <c r="K554" i="1"/>
  <c r="P554" i="1"/>
  <c r="H554" i="1"/>
  <c r="N554" i="1"/>
  <c r="R554" i="1"/>
  <c r="Q554" i="1"/>
  <c r="S554" i="1"/>
  <c r="H558" i="1"/>
  <c r="P558" i="1"/>
  <c r="I558" i="1"/>
  <c r="Q558" i="1"/>
  <c r="K558" i="1"/>
  <c r="S558" i="1"/>
  <c r="J558" i="1"/>
  <c r="L558" i="1"/>
  <c r="N558" i="1"/>
  <c r="R558" i="1"/>
  <c r="M558" i="1"/>
  <c r="O558" i="1"/>
  <c r="T558" i="1"/>
  <c r="K519" i="1"/>
  <c r="S519" i="1"/>
  <c r="L519" i="1"/>
  <c r="T519" i="1"/>
  <c r="M519" i="1"/>
  <c r="N519" i="1"/>
  <c r="I519" i="1"/>
  <c r="J519" i="1"/>
  <c r="O519" i="1"/>
  <c r="P519" i="1"/>
  <c r="H519" i="1"/>
  <c r="Q519" i="1"/>
  <c r="R519" i="1"/>
  <c r="N552" i="1"/>
  <c r="O552" i="1"/>
  <c r="H552" i="1"/>
  <c r="I552" i="1"/>
  <c r="Q552" i="1"/>
  <c r="J552" i="1"/>
  <c r="K552" i="1"/>
  <c r="L552" i="1"/>
  <c r="P552" i="1"/>
  <c r="S552" i="1"/>
  <c r="M552" i="1"/>
  <c r="R552" i="1"/>
  <c r="T552" i="1"/>
  <c r="I537" i="1"/>
  <c r="Q537" i="1"/>
  <c r="J537" i="1"/>
  <c r="R537" i="1"/>
  <c r="K537" i="1"/>
  <c r="S537" i="1"/>
  <c r="L537" i="1"/>
  <c r="T537" i="1"/>
  <c r="M537" i="1"/>
  <c r="N537" i="1"/>
  <c r="O537" i="1"/>
  <c r="P537" i="1"/>
  <c r="H537" i="1"/>
  <c r="L530" i="1"/>
  <c r="S530" i="1"/>
  <c r="T530" i="1"/>
  <c r="M530" i="1"/>
  <c r="N530" i="1"/>
  <c r="O530" i="1"/>
  <c r="I530" i="1"/>
  <c r="J530" i="1"/>
  <c r="K530" i="1"/>
  <c r="P530" i="1"/>
  <c r="H530" i="1"/>
  <c r="Q530" i="1"/>
  <c r="R530" i="1"/>
  <c r="O523" i="1"/>
  <c r="I523" i="1"/>
  <c r="J523" i="1"/>
  <c r="K523" i="1"/>
  <c r="L523" i="1"/>
  <c r="M523" i="1"/>
  <c r="N523" i="1"/>
  <c r="P523" i="1"/>
  <c r="H523" i="1"/>
  <c r="Q523" i="1"/>
  <c r="R523" i="1"/>
  <c r="S523" i="1"/>
  <c r="T523" i="1"/>
  <c r="J516" i="1"/>
  <c r="R516" i="1"/>
  <c r="K516" i="1"/>
  <c r="S516" i="1"/>
  <c r="L516" i="1"/>
  <c r="T516" i="1"/>
  <c r="M516" i="1"/>
  <c r="N516" i="1"/>
  <c r="O516" i="1"/>
  <c r="P516" i="1"/>
  <c r="I516" i="1"/>
  <c r="H516" i="1"/>
  <c r="Q516" i="1"/>
  <c r="I518" i="1"/>
  <c r="J518" i="1"/>
  <c r="K518" i="1"/>
  <c r="L518" i="1"/>
  <c r="M518" i="1"/>
  <c r="N518" i="1"/>
  <c r="O518" i="1"/>
  <c r="P518" i="1"/>
  <c r="H518" i="1"/>
  <c r="Q518" i="1"/>
  <c r="R518" i="1"/>
  <c r="S518" i="1"/>
  <c r="T518" i="1"/>
  <c r="M557" i="1"/>
  <c r="N557" i="1"/>
  <c r="H557" i="1"/>
  <c r="P557" i="1"/>
  <c r="I557" i="1"/>
  <c r="T557" i="1"/>
  <c r="J557" i="1"/>
  <c r="K557" i="1"/>
  <c r="O557" i="1"/>
  <c r="S557" i="1"/>
  <c r="L557" i="1"/>
  <c r="Q557" i="1"/>
  <c r="R557" i="1"/>
  <c r="K551" i="1"/>
  <c r="S551" i="1"/>
  <c r="L551" i="1"/>
  <c r="T551" i="1"/>
  <c r="M551" i="1"/>
  <c r="N551" i="1"/>
  <c r="H551" i="1"/>
  <c r="I551" i="1"/>
  <c r="O551" i="1"/>
  <c r="P551" i="1"/>
  <c r="R551" i="1"/>
  <c r="J551" i="1"/>
  <c r="Q551" i="1"/>
  <c r="K565" i="1"/>
  <c r="S565" i="1"/>
  <c r="L565" i="1"/>
  <c r="T565" i="1"/>
  <c r="M565" i="1"/>
  <c r="O565" i="1"/>
  <c r="J565" i="1"/>
  <c r="N565" i="1"/>
  <c r="P565" i="1"/>
  <c r="Q565" i="1"/>
  <c r="R565" i="1"/>
  <c r="H565" i="1"/>
  <c r="I565" i="1"/>
  <c r="I561" i="1"/>
  <c r="Q561" i="1"/>
  <c r="J561" i="1"/>
  <c r="N561" i="1"/>
  <c r="O561" i="1"/>
  <c r="P561" i="1"/>
  <c r="H561" i="1"/>
  <c r="S561" i="1"/>
  <c r="M561" i="1"/>
  <c r="L561" i="1"/>
  <c r="R561" i="1"/>
  <c r="T561" i="1"/>
  <c r="K561" i="1"/>
  <c r="O547" i="1"/>
  <c r="I547" i="1"/>
  <c r="J547" i="1"/>
  <c r="K547" i="1"/>
  <c r="L547" i="1"/>
  <c r="M547" i="1"/>
  <c r="N547" i="1"/>
  <c r="P547" i="1"/>
  <c r="H547" i="1"/>
  <c r="Q547" i="1"/>
  <c r="R547" i="1"/>
  <c r="S547" i="1"/>
  <c r="T547" i="1"/>
  <c r="O555" i="1"/>
  <c r="H555" i="1"/>
  <c r="P555" i="1"/>
  <c r="J555" i="1"/>
  <c r="R555" i="1"/>
  <c r="I555" i="1"/>
  <c r="K555" i="1"/>
  <c r="L555" i="1"/>
  <c r="N555" i="1"/>
  <c r="T555" i="1"/>
  <c r="M555" i="1"/>
  <c r="Q555" i="1"/>
  <c r="S555" i="1"/>
  <c r="N544" i="1"/>
  <c r="O544" i="1"/>
  <c r="I544" i="1"/>
  <c r="J544" i="1"/>
  <c r="K544" i="1"/>
  <c r="L544" i="1"/>
  <c r="M544" i="1"/>
  <c r="P544" i="1"/>
  <c r="H544" i="1"/>
  <c r="Q544" i="1"/>
  <c r="R544" i="1"/>
  <c r="S544" i="1"/>
  <c r="T544" i="1"/>
  <c r="I529" i="1"/>
  <c r="Q529" i="1"/>
  <c r="J529" i="1"/>
  <c r="R529" i="1"/>
  <c r="K529" i="1"/>
  <c r="S529" i="1"/>
  <c r="L529" i="1"/>
  <c r="T529" i="1"/>
  <c r="M529" i="1"/>
  <c r="N529" i="1"/>
  <c r="O529" i="1"/>
  <c r="P529" i="1"/>
  <c r="H529" i="1"/>
  <c r="L522" i="1"/>
  <c r="S522" i="1"/>
  <c r="T522" i="1"/>
  <c r="M522" i="1"/>
  <c r="N522" i="1"/>
  <c r="O522" i="1"/>
  <c r="P522" i="1"/>
  <c r="Q522" i="1"/>
  <c r="R522" i="1"/>
  <c r="I522" i="1"/>
  <c r="J522" i="1"/>
  <c r="K522" i="1"/>
  <c r="H522" i="1"/>
  <c r="O515" i="1"/>
  <c r="I515" i="1"/>
  <c r="J515" i="1"/>
  <c r="K515" i="1"/>
  <c r="L515" i="1"/>
  <c r="M515" i="1"/>
  <c r="N515" i="1"/>
  <c r="P515" i="1"/>
  <c r="H515" i="1"/>
  <c r="Q515" i="1"/>
  <c r="R515" i="1"/>
  <c r="S515" i="1"/>
  <c r="T515" i="1"/>
  <c r="K527" i="1"/>
  <c r="S527" i="1"/>
  <c r="L527" i="1"/>
  <c r="T527" i="1"/>
  <c r="M527" i="1"/>
  <c r="N527" i="1"/>
  <c r="O527" i="1"/>
  <c r="P527" i="1"/>
  <c r="Q527" i="1"/>
  <c r="I527" i="1"/>
  <c r="J527" i="1"/>
  <c r="H527" i="1"/>
  <c r="R527" i="1"/>
  <c r="M525" i="1"/>
  <c r="N525" i="1"/>
  <c r="O525" i="1"/>
  <c r="I525" i="1"/>
  <c r="J525" i="1"/>
  <c r="K525" i="1"/>
  <c r="L525" i="1"/>
  <c r="P525" i="1"/>
  <c r="H525" i="1"/>
  <c r="Q525" i="1"/>
  <c r="R525" i="1"/>
  <c r="S525" i="1"/>
  <c r="T525" i="1"/>
  <c r="N560" i="1"/>
  <c r="O560" i="1"/>
  <c r="Q560" i="1"/>
  <c r="H560" i="1"/>
  <c r="R560" i="1"/>
  <c r="I560" i="1"/>
  <c r="S560" i="1"/>
  <c r="K560" i="1"/>
  <c r="M560" i="1"/>
  <c r="J560" i="1"/>
  <c r="L560" i="1"/>
  <c r="P560" i="1"/>
  <c r="T560" i="1"/>
  <c r="I545" i="1"/>
  <c r="Q545" i="1"/>
  <c r="J545" i="1"/>
  <c r="R545" i="1"/>
  <c r="K545" i="1"/>
  <c r="S545" i="1"/>
  <c r="L545" i="1"/>
  <c r="T545" i="1"/>
  <c r="M545" i="1"/>
  <c r="N545" i="1"/>
  <c r="O545" i="1"/>
  <c r="P545" i="1"/>
  <c r="H545" i="1"/>
  <c r="L538" i="1"/>
  <c r="S538" i="1"/>
  <c r="T538" i="1"/>
  <c r="M538" i="1"/>
  <c r="N538" i="1"/>
  <c r="O538" i="1"/>
  <c r="P538" i="1"/>
  <c r="Q538" i="1"/>
  <c r="R538" i="1"/>
  <c r="I538" i="1"/>
  <c r="J538" i="1"/>
  <c r="K538" i="1"/>
  <c r="H538" i="1"/>
  <c r="O531" i="1"/>
  <c r="I531" i="1"/>
  <c r="J531" i="1"/>
  <c r="K531" i="1"/>
  <c r="L531" i="1"/>
  <c r="M531" i="1"/>
  <c r="N531" i="1"/>
  <c r="P531" i="1"/>
  <c r="H531" i="1"/>
  <c r="Q531" i="1"/>
  <c r="R531" i="1"/>
  <c r="S531" i="1"/>
  <c r="T531" i="1"/>
  <c r="J524" i="1"/>
  <c r="R524" i="1"/>
  <c r="K524" i="1"/>
  <c r="S524" i="1"/>
  <c r="L524" i="1"/>
  <c r="T524" i="1"/>
  <c r="M524" i="1"/>
  <c r="I524" i="1"/>
  <c r="N524" i="1"/>
  <c r="O524" i="1"/>
  <c r="P524" i="1"/>
  <c r="H524" i="1"/>
  <c r="Q524" i="1"/>
  <c r="M541" i="1"/>
  <c r="N541" i="1"/>
  <c r="O541" i="1"/>
  <c r="I541" i="1"/>
  <c r="J541" i="1"/>
  <c r="K541" i="1"/>
  <c r="L541" i="1"/>
  <c r="P541" i="1"/>
  <c r="H541" i="1"/>
  <c r="Q541" i="1"/>
  <c r="R541" i="1"/>
  <c r="S541" i="1"/>
  <c r="T541" i="1"/>
  <c r="I526" i="1"/>
  <c r="J526" i="1"/>
  <c r="K526" i="1"/>
  <c r="L526" i="1"/>
  <c r="M526" i="1"/>
  <c r="N526" i="1"/>
  <c r="O526" i="1"/>
  <c r="P526" i="1"/>
  <c r="H526" i="1"/>
  <c r="Q526" i="1"/>
  <c r="R526" i="1"/>
  <c r="S526" i="1"/>
  <c r="T526" i="1"/>
  <c r="I534" i="1"/>
  <c r="J534" i="1"/>
  <c r="K534" i="1"/>
  <c r="L534" i="1"/>
  <c r="M534" i="1"/>
  <c r="N534" i="1"/>
  <c r="O534" i="1"/>
  <c r="P534" i="1"/>
  <c r="H534" i="1"/>
  <c r="Q534" i="1"/>
  <c r="R534" i="1"/>
  <c r="S534" i="1"/>
  <c r="T534" i="1"/>
  <c r="N520" i="1"/>
  <c r="O520" i="1"/>
  <c r="I520" i="1"/>
  <c r="J520" i="1"/>
  <c r="K520" i="1"/>
  <c r="L520" i="1"/>
  <c r="M520" i="1"/>
  <c r="P520" i="1"/>
  <c r="H520" i="1"/>
  <c r="Q520" i="1"/>
  <c r="R520" i="1"/>
  <c r="S520" i="1"/>
  <c r="T520" i="1"/>
  <c r="J562" i="1"/>
  <c r="R562" i="1"/>
  <c r="K562" i="1"/>
  <c r="S562" i="1"/>
  <c r="L562" i="1"/>
  <c r="T562" i="1"/>
  <c r="N562" i="1"/>
  <c r="Q562" i="1"/>
  <c r="H562" i="1"/>
  <c r="P562" i="1"/>
  <c r="I562" i="1"/>
  <c r="M562" i="1"/>
  <c r="O562" i="1"/>
  <c r="K511" i="1"/>
  <c r="S511" i="1"/>
  <c r="L511" i="1"/>
  <c r="T511" i="1"/>
  <c r="M511" i="1"/>
  <c r="N511" i="1"/>
  <c r="O511" i="1"/>
  <c r="P511" i="1"/>
  <c r="R511" i="1"/>
  <c r="Q511" i="1"/>
  <c r="I511" i="1"/>
  <c r="J511" i="1"/>
  <c r="H511" i="1"/>
  <c r="M549" i="1"/>
  <c r="N549" i="1"/>
  <c r="O549" i="1"/>
  <c r="H549" i="1"/>
  <c r="P549" i="1"/>
  <c r="Q549" i="1"/>
  <c r="R549" i="1"/>
  <c r="S549" i="1"/>
  <c r="I549" i="1"/>
  <c r="J549" i="1"/>
  <c r="T549" i="1"/>
  <c r="K549" i="1"/>
  <c r="L549" i="1"/>
  <c r="I553" i="1"/>
  <c r="Q553" i="1"/>
  <c r="J553" i="1"/>
  <c r="R553" i="1"/>
  <c r="L553" i="1"/>
  <c r="T553" i="1"/>
  <c r="H553" i="1"/>
  <c r="K553" i="1"/>
  <c r="M553" i="1"/>
  <c r="O553" i="1"/>
  <c r="N553" i="1"/>
  <c r="P553" i="1"/>
  <c r="S553" i="1"/>
  <c r="L546" i="1"/>
  <c r="S546" i="1"/>
  <c r="T546" i="1"/>
  <c r="M546" i="1"/>
  <c r="N546" i="1"/>
  <c r="O546" i="1"/>
  <c r="I546" i="1"/>
  <c r="J546" i="1"/>
  <c r="K546" i="1"/>
  <c r="P546" i="1"/>
  <c r="H546" i="1"/>
  <c r="Q546" i="1"/>
  <c r="R546" i="1"/>
  <c r="O539" i="1"/>
  <c r="I539" i="1"/>
  <c r="J539" i="1"/>
  <c r="K539" i="1"/>
  <c r="L539" i="1"/>
  <c r="M539" i="1"/>
  <c r="N539" i="1"/>
  <c r="P539" i="1"/>
  <c r="H539" i="1"/>
  <c r="Q539" i="1"/>
  <c r="R539" i="1"/>
  <c r="S539" i="1"/>
  <c r="T539" i="1"/>
  <c r="J532" i="1"/>
  <c r="R532" i="1"/>
  <c r="K532" i="1"/>
  <c r="S532" i="1"/>
  <c r="L532" i="1"/>
  <c r="T532" i="1"/>
  <c r="M532" i="1"/>
  <c r="N532" i="1"/>
  <c r="O532" i="1"/>
  <c r="P532" i="1"/>
  <c r="I532" i="1"/>
  <c r="Q532" i="1"/>
  <c r="H532" i="1"/>
  <c r="K559" i="1"/>
  <c r="S559" i="1"/>
  <c r="L559" i="1"/>
  <c r="T559" i="1"/>
  <c r="H559" i="1"/>
  <c r="R559" i="1"/>
  <c r="I559" i="1"/>
  <c r="J559" i="1"/>
  <c r="N559" i="1"/>
  <c r="Q559" i="1"/>
  <c r="M559" i="1"/>
  <c r="O559" i="1"/>
  <c r="P559" i="1"/>
  <c r="M533" i="1"/>
  <c r="N533" i="1"/>
  <c r="O533" i="1"/>
  <c r="I533" i="1"/>
  <c r="J533" i="1"/>
  <c r="K533" i="1"/>
  <c r="L533" i="1"/>
  <c r="P533" i="1"/>
  <c r="H533" i="1"/>
  <c r="Q533" i="1"/>
  <c r="R533" i="1"/>
  <c r="S533" i="1"/>
  <c r="T533" i="1"/>
  <c r="I542" i="1"/>
  <c r="J542" i="1"/>
  <c r="K542" i="1"/>
  <c r="L542" i="1"/>
  <c r="M542" i="1"/>
  <c r="N542" i="1"/>
  <c r="O542" i="1"/>
  <c r="P542" i="1"/>
  <c r="H542" i="1"/>
  <c r="Q542" i="1"/>
  <c r="R542" i="1"/>
  <c r="S542" i="1"/>
  <c r="T542" i="1"/>
  <c r="O290" i="1"/>
  <c r="I290" i="1"/>
  <c r="H290" i="1"/>
  <c r="N290" i="1"/>
  <c r="P290" i="1"/>
  <c r="L290" i="1"/>
  <c r="J290" i="1"/>
  <c r="K290" i="1"/>
  <c r="M290" i="1"/>
  <c r="O306" i="1"/>
  <c r="H306" i="1"/>
  <c r="P306" i="1"/>
  <c r="I306" i="1"/>
  <c r="L306" i="1"/>
  <c r="J306" i="1"/>
  <c r="K306" i="1"/>
  <c r="M306" i="1"/>
  <c r="N306" i="1"/>
  <c r="H297" i="1"/>
  <c r="P297" i="1"/>
  <c r="I297" i="1"/>
  <c r="J297" i="1"/>
  <c r="M297" i="1"/>
  <c r="K297" i="1"/>
  <c r="L297" i="1"/>
  <c r="N297" i="1"/>
  <c r="O297" i="1"/>
  <c r="N291" i="1"/>
  <c r="O291" i="1"/>
  <c r="P291" i="1"/>
  <c r="H291" i="1"/>
  <c r="I291" i="1"/>
  <c r="J291" i="1"/>
  <c r="K291" i="1"/>
  <c r="L291" i="1"/>
  <c r="M291" i="1"/>
  <c r="I304" i="1"/>
  <c r="J304" i="1"/>
  <c r="K304" i="1"/>
  <c r="N304" i="1"/>
  <c r="L304" i="1"/>
  <c r="M304" i="1"/>
  <c r="O304" i="1"/>
  <c r="H304" i="1"/>
  <c r="P304" i="1"/>
  <c r="J295" i="1"/>
  <c r="K295" i="1"/>
  <c r="L295" i="1"/>
  <c r="O295" i="1"/>
  <c r="M295" i="1"/>
  <c r="N295" i="1"/>
  <c r="H295" i="1"/>
  <c r="P295" i="1"/>
  <c r="I295" i="1"/>
  <c r="J303" i="1"/>
  <c r="L303" i="1"/>
  <c r="O303" i="1"/>
  <c r="K303" i="1"/>
  <c r="M303" i="1"/>
  <c r="N303" i="1"/>
  <c r="H303" i="1"/>
  <c r="P303" i="1"/>
  <c r="I303" i="1"/>
  <c r="I296" i="1"/>
  <c r="K296" i="1"/>
  <c r="N296" i="1"/>
  <c r="J296" i="1"/>
  <c r="L296" i="1"/>
  <c r="M296" i="1"/>
  <c r="O296" i="1"/>
  <c r="H296" i="1"/>
  <c r="P296" i="1"/>
  <c r="N299" i="1"/>
  <c r="P299" i="1"/>
  <c r="K299" i="1"/>
  <c r="O299" i="1"/>
  <c r="H299" i="1"/>
  <c r="I299" i="1"/>
  <c r="J299" i="1"/>
  <c r="L299" i="1"/>
  <c r="M299" i="1"/>
  <c r="K294" i="1"/>
  <c r="N294" i="1"/>
  <c r="O294" i="1"/>
  <c r="P294" i="1"/>
  <c r="L294" i="1"/>
  <c r="M294" i="1"/>
  <c r="H294" i="1"/>
  <c r="I294" i="1"/>
  <c r="J294" i="1"/>
  <c r="M292" i="1"/>
  <c r="N292" i="1"/>
  <c r="O292" i="1"/>
  <c r="J292" i="1"/>
  <c r="H292" i="1"/>
  <c r="P292" i="1"/>
  <c r="I292" i="1"/>
  <c r="K292" i="1"/>
  <c r="L292" i="1"/>
  <c r="H305" i="1"/>
  <c r="P305" i="1"/>
  <c r="J305" i="1"/>
  <c r="I305" i="1"/>
  <c r="K305" i="1"/>
  <c r="L305" i="1"/>
  <c r="M305" i="1"/>
  <c r="N305" i="1"/>
  <c r="O305" i="1"/>
  <c r="O298" i="1"/>
  <c r="I298" i="1"/>
  <c r="H298" i="1"/>
  <c r="P298" i="1"/>
  <c r="J298" i="1"/>
  <c r="K298" i="1"/>
  <c r="L298" i="1"/>
  <c r="M298" i="1"/>
  <c r="N298" i="1"/>
  <c r="H289" i="1"/>
  <c r="N289" i="1"/>
  <c r="O289" i="1"/>
  <c r="P289" i="1"/>
  <c r="M289" i="1"/>
  <c r="I289" i="1"/>
  <c r="J289" i="1"/>
  <c r="K289" i="1"/>
  <c r="L289" i="1"/>
  <c r="L293" i="1"/>
  <c r="N293" i="1"/>
  <c r="I293" i="1"/>
  <c r="M293" i="1"/>
  <c r="O293" i="1"/>
  <c r="H293" i="1"/>
  <c r="P293" i="1"/>
  <c r="J293" i="1"/>
  <c r="K293" i="1"/>
  <c r="L301" i="1"/>
  <c r="N301" i="1"/>
  <c r="I301" i="1"/>
  <c r="M301" i="1"/>
  <c r="O301" i="1"/>
  <c r="H301" i="1"/>
  <c r="P301" i="1"/>
  <c r="J301" i="1"/>
  <c r="K301" i="1"/>
  <c r="N307" i="1"/>
  <c r="H307" i="1"/>
  <c r="K307" i="1"/>
  <c r="O307" i="1"/>
  <c r="P307" i="1"/>
  <c r="I307" i="1"/>
  <c r="J307" i="1"/>
  <c r="L307" i="1"/>
  <c r="M307" i="1"/>
  <c r="K302" i="1"/>
  <c r="L302" i="1"/>
  <c r="M302" i="1"/>
  <c r="H302" i="1"/>
  <c r="N302" i="1"/>
  <c r="O302" i="1"/>
  <c r="P302" i="1"/>
  <c r="I302" i="1"/>
  <c r="J302" i="1"/>
  <c r="M300" i="1"/>
  <c r="N300" i="1"/>
  <c r="O300" i="1"/>
  <c r="J300" i="1"/>
  <c r="H300" i="1"/>
  <c r="P300" i="1"/>
  <c r="I300" i="1"/>
  <c r="K300" i="1"/>
  <c r="L300" i="1"/>
  <c r="X261" i="1"/>
  <c r="H261" i="1"/>
  <c r="P261" i="1"/>
  <c r="J261" i="1"/>
  <c r="S261" i="1"/>
  <c r="I261" i="1"/>
  <c r="Q261" i="1"/>
  <c r="R261" i="1"/>
  <c r="K261" i="1"/>
  <c r="N261" i="1"/>
  <c r="O261" i="1"/>
  <c r="L261" i="1"/>
  <c r="T261" i="1"/>
  <c r="M261" i="1"/>
  <c r="X254" i="1"/>
  <c r="K254" i="1"/>
  <c r="S254" i="1"/>
  <c r="N254" i="1"/>
  <c r="L254" i="1"/>
  <c r="T254" i="1"/>
  <c r="M254" i="1"/>
  <c r="I254" i="1"/>
  <c r="Q254" i="1"/>
  <c r="J254" i="1"/>
  <c r="R254" i="1"/>
  <c r="P254" i="1"/>
  <c r="H254" i="1"/>
  <c r="O254" i="1"/>
  <c r="X247" i="1"/>
  <c r="N247" i="1"/>
  <c r="H247" i="1"/>
  <c r="I247" i="1"/>
  <c r="R247" i="1"/>
  <c r="O247" i="1"/>
  <c r="P247" i="1"/>
  <c r="Q247" i="1"/>
  <c r="J247" i="1"/>
  <c r="L247" i="1"/>
  <c r="T247" i="1"/>
  <c r="M247" i="1"/>
  <c r="K247" i="1"/>
  <c r="S247" i="1"/>
  <c r="X262" i="1"/>
  <c r="K262" i="1"/>
  <c r="S262" i="1"/>
  <c r="M262" i="1"/>
  <c r="L262" i="1"/>
  <c r="T262" i="1"/>
  <c r="N262" i="1"/>
  <c r="I262" i="1"/>
  <c r="Q262" i="1"/>
  <c r="J262" i="1"/>
  <c r="R262" i="1"/>
  <c r="H262" i="1"/>
  <c r="O262" i="1"/>
  <c r="P262" i="1"/>
  <c r="X255" i="1"/>
  <c r="N255" i="1"/>
  <c r="H255" i="1"/>
  <c r="Q255" i="1"/>
  <c r="O255" i="1"/>
  <c r="P255" i="1"/>
  <c r="I255" i="1"/>
  <c r="L255" i="1"/>
  <c r="T255" i="1"/>
  <c r="M255" i="1"/>
  <c r="S255" i="1"/>
  <c r="J255" i="1"/>
  <c r="K255" i="1"/>
  <c r="R255" i="1"/>
  <c r="X248" i="1"/>
  <c r="I248" i="1"/>
  <c r="Q248" i="1"/>
  <c r="L248" i="1"/>
  <c r="J248" i="1"/>
  <c r="R248" i="1"/>
  <c r="K248" i="1"/>
  <c r="S248" i="1"/>
  <c r="T248" i="1"/>
  <c r="O248" i="1"/>
  <c r="H248" i="1"/>
  <c r="P248" i="1"/>
  <c r="M248" i="1"/>
  <c r="N248" i="1"/>
  <c r="X245" i="1"/>
  <c r="H245" i="1"/>
  <c r="P245" i="1"/>
  <c r="S245" i="1"/>
  <c r="I245" i="1"/>
  <c r="Q245" i="1"/>
  <c r="J245" i="1"/>
  <c r="R245" i="1"/>
  <c r="K245" i="1"/>
  <c r="T245" i="1"/>
  <c r="N245" i="1"/>
  <c r="O245" i="1"/>
  <c r="L245" i="1"/>
  <c r="M245" i="1"/>
  <c r="X267" i="1"/>
  <c r="J267" i="1"/>
  <c r="R267" i="1"/>
  <c r="L267" i="1"/>
  <c r="M267" i="1"/>
  <c r="K267" i="1"/>
  <c r="S267" i="1"/>
  <c r="T267" i="1"/>
  <c r="H267" i="1"/>
  <c r="P267" i="1"/>
  <c r="I267" i="1"/>
  <c r="Q267" i="1"/>
  <c r="N267" i="1"/>
  <c r="O267" i="1"/>
  <c r="X260" i="1"/>
  <c r="M260" i="1"/>
  <c r="P260" i="1"/>
  <c r="N260" i="1"/>
  <c r="O260" i="1"/>
  <c r="H260" i="1"/>
  <c r="K260" i="1"/>
  <c r="S260" i="1"/>
  <c r="L260" i="1"/>
  <c r="T260" i="1"/>
  <c r="Q260" i="1"/>
  <c r="I260" i="1"/>
  <c r="J260" i="1"/>
  <c r="R260" i="1"/>
  <c r="X253" i="1"/>
  <c r="H253" i="1"/>
  <c r="P253" i="1"/>
  <c r="R253" i="1"/>
  <c r="K253" i="1"/>
  <c r="I253" i="1"/>
  <c r="Q253" i="1"/>
  <c r="J253" i="1"/>
  <c r="S253" i="1"/>
  <c r="N253" i="1"/>
  <c r="O253" i="1"/>
  <c r="T253" i="1"/>
  <c r="L253" i="1"/>
  <c r="M253" i="1"/>
  <c r="X246" i="1"/>
  <c r="K246" i="1"/>
  <c r="S246" i="1"/>
  <c r="O246" i="1"/>
  <c r="L246" i="1"/>
  <c r="T246" i="1"/>
  <c r="M246" i="1"/>
  <c r="N246" i="1"/>
  <c r="I246" i="1"/>
  <c r="Q246" i="1"/>
  <c r="J246" i="1"/>
  <c r="R246" i="1"/>
  <c r="P246" i="1"/>
  <c r="H246" i="1"/>
  <c r="X268" i="1"/>
  <c r="M268" i="1"/>
  <c r="O268" i="1"/>
  <c r="P268" i="1"/>
  <c r="N268" i="1"/>
  <c r="H268" i="1"/>
  <c r="K268" i="1"/>
  <c r="S268" i="1"/>
  <c r="L268" i="1"/>
  <c r="T268" i="1"/>
  <c r="Q268" i="1"/>
  <c r="R268" i="1"/>
  <c r="I268" i="1"/>
  <c r="J268" i="1"/>
  <c r="X265" i="1"/>
  <c r="L265" i="1"/>
  <c r="T265" i="1"/>
  <c r="O265" i="1"/>
  <c r="M265" i="1"/>
  <c r="N265" i="1"/>
  <c r="J265" i="1"/>
  <c r="R265" i="1"/>
  <c r="K265" i="1"/>
  <c r="S265" i="1"/>
  <c r="P265" i="1"/>
  <c r="Q265" i="1"/>
  <c r="H265" i="1"/>
  <c r="I265" i="1"/>
  <c r="X258" i="1"/>
  <c r="O258" i="1"/>
  <c r="Q258" i="1"/>
  <c r="J258" i="1"/>
  <c r="H258" i="1"/>
  <c r="P258" i="1"/>
  <c r="I258" i="1"/>
  <c r="R258" i="1"/>
  <c r="M258" i="1"/>
  <c r="N258" i="1"/>
  <c r="S258" i="1"/>
  <c r="K258" i="1"/>
  <c r="L258" i="1"/>
  <c r="T258" i="1"/>
  <c r="X251" i="1"/>
  <c r="J251" i="1"/>
  <c r="R251" i="1"/>
  <c r="L251" i="1"/>
  <c r="N251" i="1"/>
  <c r="K251" i="1"/>
  <c r="S251" i="1"/>
  <c r="T251" i="1"/>
  <c r="M251" i="1"/>
  <c r="H251" i="1"/>
  <c r="P251" i="1"/>
  <c r="I251" i="1"/>
  <c r="Q251" i="1"/>
  <c r="O251" i="1"/>
  <c r="X263" i="1"/>
  <c r="N263" i="1"/>
  <c r="P263" i="1"/>
  <c r="I263" i="1"/>
  <c r="O263" i="1"/>
  <c r="H263" i="1"/>
  <c r="Q263" i="1"/>
  <c r="L263" i="1"/>
  <c r="T263" i="1"/>
  <c r="M263" i="1"/>
  <c r="R263" i="1"/>
  <c r="K263" i="1"/>
  <c r="S263" i="1"/>
  <c r="J263" i="1"/>
  <c r="X256" i="1"/>
  <c r="I256" i="1"/>
  <c r="Q256" i="1"/>
  <c r="K256" i="1"/>
  <c r="T256" i="1"/>
  <c r="J256" i="1"/>
  <c r="R256" i="1"/>
  <c r="S256" i="1"/>
  <c r="L256" i="1"/>
  <c r="O256" i="1"/>
  <c r="H256" i="1"/>
  <c r="P256" i="1"/>
  <c r="M256" i="1"/>
  <c r="N256" i="1"/>
  <c r="X249" i="1"/>
  <c r="L249" i="1"/>
  <c r="T249" i="1"/>
  <c r="O249" i="1"/>
  <c r="P249" i="1"/>
  <c r="M249" i="1"/>
  <c r="N249" i="1"/>
  <c r="H249" i="1"/>
  <c r="J249" i="1"/>
  <c r="R249" i="1"/>
  <c r="K249" i="1"/>
  <c r="S249" i="1"/>
  <c r="Q249" i="1"/>
  <c r="I249" i="1"/>
  <c r="X264" i="1"/>
  <c r="I264" i="1"/>
  <c r="Q264" i="1"/>
  <c r="S264" i="1"/>
  <c r="L264" i="1"/>
  <c r="J264" i="1"/>
  <c r="R264" i="1"/>
  <c r="K264" i="1"/>
  <c r="T264" i="1"/>
  <c r="O264" i="1"/>
  <c r="H264" i="1"/>
  <c r="P264" i="1"/>
  <c r="N264" i="1"/>
  <c r="M264" i="1"/>
  <c r="X257" i="1"/>
  <c r="L257" i="1"/>
  <c r="T257" i="1"/>
  <c r="N257" i="1"/>
  <c r="M257" i="1"/>
  <c r="O257" i="1"/>
  <c r="J257" i="1"/>
  <c r="R257" i="1"/>
  <c r="K257" i="1"/>
  <c r="S257" i="1"/>
  <c r="H257" i="1"/>
  <c r="I257" i="1"/>
  <c r="P257" i="1"/>
  <c r="Q257" i="1"/>
  <c r="X250" i="1"/>
  <c r="O250" i="1"/>
  <c r="R250" i="1"/>
  <c r="H250" i="1"/>
  <c r="P250" i="1"/>
  <c r="I250" i="1"/>
  <c r="Q250" i="1"/>
  <c r="J250" i="1"/>
  <c r="S250" i="1"/>
  <c r="M250" i="1"/>
  <c r="N250" i="1"/>
  <c r="K250" i="1"/>
  <c r="L250" i="1"/>
  <c r="T250" i="1"/>
  <c r="X266" i="1"/>
  <c r="O266" i="1"/>
  <c r="I266" i="1"/>
  <c r="H266" i="1"/>
  <c r="P266" i="1"/>
  <c r="Q266" i="1"/>
  <c r="J266" i="1"/>
  <c r="M266" i="1"/>
  <c r="N266" i="1"/>
  <c r="R266" i="1"/>
  <c r="K266" i="1"/>
  <c r="S266" i="1"/>
  <c r="L266" i="1"/>
  <c r="T266" i="1"/>
  <c r="X259" i="1"/>
  <c r="J259" i="1"/>
  <c r="R259" i="1"/>
  <c r="T259" i="1"/>
  <c r="M259" i="1"/>
  <c r="K259" i="1"/>
  <c r="S259" i="1"/>
  <c r="L259" i="1"/>
  <c r="H259" i="1"/>
  <c r="P259" i="1"/>
  <c r="I259" i="1"/>
  <c r="Q259" i="1"/>
  <c r="O259" i="1"/>
  <c r="N259" i="1"/>
  <c r="X252" i="1"/>
  <c r="M252" i="1"/>
  <c r="O252" i="1"/>
  <c r="H252" i="1"/>
  <c r="N252" i="1"/>
  <c r="P252" i="1"/>
  <c r="K252" i="1"/>
  <c r="S252" i="1"/>
  <c r="L252" i="1"/>
  <c r="T252" i="1"/>
  <c r="I252" i="1"/>
  <c r="J252" i="1"/>
  <c r="Q252" i="1"/>
  <c r="R252" i="1"/>
  <c r="H22" i="1"/>
  <c r="K82" i="1"/>
  <c r="L82" i="1"/>
  <c r="S171" i="1"/>
  <c r="K171" i="1"/>
  <c r="P172" i="1"/>
  <c r="J177" i="1"/>
  <c r="S169" i="1"/>
  <c r="O671" i="1"/>
  <c r="I169" i="1"/>
  <c r="S178" i="1"/>
  <c r="K178" i="1"/>
  <c r="L178" i="1"/>
  <c r="M171" i="1"/>
  <c r="M170" i="1"/>
  <c r="J172" i="1"/>
  <c r="N171" i="1"/>
  <c r="N172" i="1"/>
  <c r="I177" i="1"/>
  <c r="N170" i="1"/>
  <c r="H172" i="1"/>
  <c r="I178" i="1"/>
  <c r="M169" i="1"/>
  <c r="N169" i="1"/>
  <c r="P169" i="1"/>
  <c r="H169" i="1"/>
  <c r="H171" i="1"/>
  <c r="P171" i="1"/>
  <c r="K169" i="1"/>
  <c r="J178" i="1"/>
  <c r="I171" i="1"/>
  <c r="P178" i="1"/>
  <c r="I172" i="1"/>
  <c r="K172" i="1"/>
  <c r="L172" i="1"/>
  <c r="H177" i="1"/>
  <c r="M177" i="1"/>
  <c r="N177" i="1"/>
  <c r="P177" i="1"/>
  <c r="S172" i="1"/>
  <c r="S177" i="1"/>
  <c r="H178" i="1"/>
  <c r="S170" i="1"/>
  <c r="I170" i="1"/>
  <c r="J170" i="1"/>
  <c r="K170" i="1"/>
  <c r="L170" i="1"/>
  <c r="M178" i="1"/>
  <c r="J169" i="1"/>
  <c r="H170" i="1"/>
  <c r="L171" i="1"/>
  <c r="K177" i="1"/>
  <c r="M176" i="1"/>
  <c r="N176" i="1"/>
  <c r="H176" i="1"/>
  <c r="P176" i="1"/>
  <c r="L176" i="1"/>
  <c r="S176" i="1"/>
  <c r="I176" i="1"/>
  <c r="J176" i="1"/>
  <c r="K176" i="1"/>
  <c r="I167" i="1"/>
  <c r="J167" i="1"/>
  <c r="K167" i="1"/>
  <c r="S167" i="1"/>
  <c r="L167" i="1"/>
  <c r="M167" i="1"/>
  <c r="N167" i="1"/>
  <c r="P167" i="1"/>
  <c r="H167" i="1"/>
  <c r="I173" i="1"/>
  <c r="J173" i="1"/>
  <c r="K173" i="1"/>
  <c r="S173" i="1"/>
  <c r="L173" i="1"/>
  <c r="H173" i="1"/>
  <c r="P173" i="1"/>
  <c r="M173" i="1"/>
  <c r="N173" i="1"/>
  <c r="M174" i="1"/>
  <c r="N174" i="1"/>
  <c r="H174" i="1"/>
  <c r="P174" i="1"/>
  <c r="I174" i="1"/>
  <c r="S174" i="1"/>
  <c r="J174" i="1"/>
  <c r="K174" i="1"/>
  <c r="L174" i="1"/>
  <c r="I175" i="1"/>
  <c r="J175" i="1"/>
  <c r="K175" i="1"/>
  <c r="S175" i="1"/>
  <c r="L175" i="1"/>
  <c r="M175" i="1"/>
  <c r="P175" i="1"/>
  <c r="N175" i="1"/>
  <c r="H175" i="1"/>
  <c r="M168" i="1"/>
  <c r="N168" i="1"/>
  <c r="H168" i="1"/>
  <c r="P168" i="1"/>
  <c r="S168" i="1"/>
  <c r="I168" i="1"/>
  <c r="J168" i="1"/>
  <c r="K168" i="1"/>
  <c r="L168" i="1"/>
  <c r="M500" i="1"/>
  <c r="J277" i="1"/>
  <c r="I501" i="1"/>
  <c r="J501" i="1"/>
  <c r="K501" i="1"/>
  <c r="L501" i="1"/>
  <c r="M501" i="1"/>
  <c r="N501" i="1"/>
  <c r="O501" i="1"/>
  <c r="P501" i="1"/>
  <c r="H501" i="1"/>
  <c r="S506" i="1"/>
  <c r="T506" i="1"/>
  <c r="M277" i="1"/>
  <c r="H277" i="1"/>
  <c r="P496" i="1"/>
  <c r="J502" i="1"/>
  <c r="F23" i="1"/>
  <c r="F19" i="1"/>
  <c r="H19" i="1"/>
  <c r="H21" i="1"/>
  <c r="F21" i="1"/>
  <c r="F67" i="1"/>
  <c r="G67" i="1"/>
  <c r="F68" i="1"/>
  <c r="G68" i="1"/>
  <c r="F69" i="1"/>
  <c r="G69" i="1"/>
  <c r="F70" i="1"/>
  <c r="G70" i="1"/>
  <c r="F71" i="1"/>
  <c r="G71" i="1"/>
  <c r="G73" i="1"/>
  <c r="AL130" i="4"/>
  <c r="AK117" i="4"/>
  <c r="I23" i="1"/>
  <c r="G20" i="1"/>
  <c r="E437" i="1"/>
  <c r="J437" i="1"/>
  <c r="K77" i="1"/>
  <c r="L77" i="1"/>
  <c r="K78" i="1"/>
  <c r="L78" i="1"/>
  <c r="K79" i="1"/>
  <c r="L79" i="1"/>
  <c r="K80" i="1"/>
  <c r="L80" i="1"/>
  <c r="L81" i="1"/>
  <c r="L84" i="1"/>
  <c r="P441" i="1"/>
  <c r="S441" i="1"/>
  <c r="H20" i="1"/>
  <c r="F20" i="1"/>
  <c r="K115" i="1"/>
  <c r="K133" i="1"/>
  <c r="R504" i="1"/>
  <c r="H77" i="1"/>
  <c r="G23" i="1"/>
  <c r="Q660" i="1"/>
  <c r="AK40" i="4"/>
  <c r="F22" i="1"/>
  <c r="AL101" i="4"/>
  <c r="P497" i="1"/>
  <c r="J498" i="1"/>
  <c r="H69" i="1"/>
  <c r="S509" i="1"/>
  <c r="T509" i="1"/>
  <c r="AK89" i="4"/>
  <c r="E441" i="1"/>
  <c r="G441" i="1"/>
  <c r="P642" i="1"/>
  <c r="E432" i="1"/>
  <c r="I432" i="1"/>
  <c r="E444" i="1"/>
  <c r="S639" i="1"/>
  <c r="R668" i="1"/>
  <c r="Q441" i="1"/>
  <c r="E443" i="1"/>
  <c r="K443" i="1"/>
  <c r="T643" i="1"/>
  <c r="E436" i="1"/>
  <c r="I436" i="1"/>
  <c r="Q671" i="1"/>
  <c r="E439" i="1"/>
  <c r="H439" i="1"/>
  <c r="P645" i="1"/>
  <c r="E438" i="1"/>
  <c r="E442" i="1"/>
  <c r="J442" i="1"/>
  <c r="E440" i="1"/>
  <c r="K440" i="1"/>
  <c r="R653" i="1"/>
  <c r="S652" i="1"/>
  <c r="P436" i="1"/>
  <c r="Q639" i="1"/>
  <c r="O654" i="1"/>
  <c r="O674" i="1"/>
  <c r="E435" i="1"/>
  <c r="G435" i="1"/>
  <c r="E433" i="1"/>
  <c r="L433" i="1"/>
  <c r="O642" i="1"/>
  <c r="S661" i="1"/>
  <c r="AK58" i="4"/>
  <c r="I503" i="1"/>
  <c r="I495" i="1"/>
  <c r="J495" i="1"/>
  <c r="K495" i="1"/>
  <c r="L495" i="1"/>
  <c r="M495" i="1"/>
  <c r="N495" i="1"/>
  <c r="O495" i="1"/>
  <c r="P495" i="1"/>
  <c r="H495" i="1"/>
  <c r="Q649" i="1"/>
  <c r="S671" i="1"/>
  <c r="S648" i="1"/>
  <c r="P675" i="1"/>
  <c r="R12" i="1"/>
  <c r="S12" i="1"/>
  <c r="T441" i="1"/>
  <c r="M604" i="1"/>
  <c r="M606" i="1"/>
  <c r="I494" i="1"/>
  <c r="T666" i="1"/>
  <c r="Q669" i="1"/>
  <c r="R658" i="1"/>
  <c r="Q640" i="1"/>
  <c r="I473" i="1"/>
  <c r="H83" i="1"/>
  <c r="P640" i="1"/>
  <c r="P669" i="1"/>
  <c r="S670" i="1"/>
  <c r="H38" i="1"/>
  <c r="J31" i="1"/>
  <c r="J32" i="1"/>
  <c r="J33" i="1"/>
  <c r="J34" i="1"/>
  <c r="J35" i="1"/>
  <c r="J36" i="1"/>
  <c r="J37" i="1"/>
  <c r="J38" i="1"/>
  <c r="AL84" i="4"/>
  <c r="AK23" i="4"/>
  <c r="AK94" i="4"/>
  <c r="AL78" i="4"/>
  <c r="AL108" i="4"/>
  <c r="AL94" i="4"/>
  <c r="AK36" i="4"/>
  <c r="AK108" i="4"/>
  <c r="J115" i="1"/>
  <c r="J117" i="1"/>
  <c r="H117" i="1"/>
  <c r="O25" i="1"/>
  <c r="O37" i="1"/>
  <c r="AK55" i="4"/>
  <c r="AK121" i="4"/>
  <c r="I115" i="1"/>
  <c r="T659" i="1"/>
  <c r="T645" i="1"/>
  <c r="P670" i="1"/>
  <c r="S655" i="1"/>
  <c r="F487" i="1"/>
  <c r="K566" i="1"/>
  <c r="L507" i="1"/>
  <c r="S508" i="1"/>
  <c r="T508" i="1"/>
  <c r="I499" i="1"/>
  <c r="K100" i="1"/>
  <c r="M115" i="1"/>
  <c r="M117" i="1"/>
  <c r="N149" i="1"/>
  <c r="AK112" i="4"/>
  <c r="H70" i="1"/>
  <c r="G109" i="1"/>
  <c r="F111" i="1"/>
  <c r="G111" i="1"/>
  <c r="AK84" i="4"/>
  <c r="AL106" i="4"/>
  <c r="L488" i="1"/>
  <c r="S667" i="1"/>
  <c r="P638" i="1"/>
  <c r="P667" i="1"/>
  <c r="T657" i="1"/>
  <c r="T640" i="1"/>
  <c r="S664" i="1"/>
  <c r="Q648" i="1"/>
  <c r="T651" i="1"/>
  <c r="Q664" i="1"/>
  <c r="T650" i="1"/>
  <c r="R665" i="1"/>
  <c r="R652" i="1"/>
  <c r="O670" i="1"/>
  <c r="O667" i="1"/>
  <c r="Q642" i="1"/>
  <c r="O657" i="1"/>
  <c r="S654" i="1"/>
  <c r="P666" i="1"/>
  <c r="S243" i="1"/>
  <c r="S207" i="1"/>
  <c r="T207" i="1"/>
  <c r="N117" i="1"/>
  <c r="AK60" i="4"/>
  <c r="AK102" i="4"/>
  <c r="Q657" i="1"/>
  <c r="R642" i="1"/>
  <c r="S659" i="1"/>
  <c r="Q661" i="1"/>
  <c r="M488" i="1"/>
  <c r="I604" i="1"/>
  <c r="H604" i="1"/>
  <c r="H611" i="1"/>
  <c r="H100" i="1"/>
  <c r="G581" i="1"/>
  <c r="I581" i="1"/>
  <c r="K581" i="1"/>
  <c r="G38" i="1"/>
  <c r="J488" i="1"/>
  <c r="I488" i="1"/>
  <c r="S436" i="1"/>
  <c r="O435" i="1"/>
  <c r="O440" i="1"/>
  <c r="S662" i="1"/>
  <c r="R656" i="1"/>
  <c r="R645" i="1"/>
  <c r="S675" i="1"/>
  <c r="P648" i="1"/>
  <c r="R643" i="1"/>
  <c r="O658" i="1"/>
  <c r="O672" i="1"/>
  <c r="R651" i="1"/>
  <c r="Q663" i="1"/>
  <c r="S637" i="1"/>
  <c r="R674" i="1"/>
  <c r="O432" i="1"/>
  <c r="G488" i="1"/>
  <c r="F485" i="1"/>
  <c r="R639" i="1"/>
  <c r="R640" i="1"/>
  <c r="S674" i="1"/>
  <c r="T637" i="1"/>
  <c r="P643" i="1"/>
  <c r="T641" i="1"/>
  <c r="O643" i="1"/>
  <c r="T672" i="1"/>
  <c r="T655" i="1"/>
  <c r="T670" i="1"/>
  <c r="S647" i="1"/>
  <c r="R670" i="1"/>
  <c r="T660" i="1"/>
  <c r="O675" i="1"/>
  <c r="F484" i="1"/>
  <c r="L609" i="1"/>
  <c r="L610" i="1"/>
  <c r="L611" i="1"/>
  <c r="S673" i="1"/>
  <c r="P663" i="1"/>
  <c r="T639" i="1"/>
  <c r="R662" i="1"/>
  <c r="P641" i="1"/>
  <c r="T658" i="1"/>
  <c r="O637" i="1"/>
  <c r="R646" i="1"/>
  <c r="O639" i="1"/>
  <c r="P655" i="1"/>
  <c r="P672" i="1"/>
  <c r="T638" i="1"/>
  <c r="P664" i="1"/>
  <c r="T647" i="1"/>
  <c r="O650" i="1"/>
  <c r="Q643" i="1"/>
  <c r="R649" i="1"/>
  <c r="T648" i="1"/>
  <c r="P661" i="1"/>
  <c r="O645" i="1"/>
  <c r="T649" i="1"/>
  <c r="O644" i="1"/>
  <c r="P651" i="1"/>
  <c r="R641" i="1"/>
  <c r="P668" i="1"/>
  <c r="R647" i="1"/>
  <c r="S644" i="1"/>
  <c r="T671" i="1"/>
  <c r="Q645" i="1"/>
  <c r="S668" i="1"/>
  <c r="P671" i="1"/>
  <c r="P673" i="1"/>
  <c r="P665" i="1"/>
  <c r="T653" i="1"/>
  <c r="S640" i="1"/>
  <c r="R648" i="1"/>
  <c r="O649" i="1"/>
  <c r="S638" i="1"/>
  <c r="R654" i="1"/>
  <c r="P674" i="1"/>
  <c r="O666" i="1"/>
  <c r="S646" i="1"/>
  <c r="Q655" i="1"/>
  <c r="S649" i="1"/>
  <c r="R660" i="1"/>
  <c r="T652" i="1"/>
  <c r="P660" i="1"/>
  <c r="O673" i="1"/>
  <c r="Q659" i="1"/>
  <c r="R673" i="1"/>
  <c r="S666" i="1"/>
  <c r="O640" i="1"/>
  <c r="S641" i="1"/>
  <c r="P639" i="1"/>
  <c r="O661" i="1"/>
  <c r="P644" i="1"/>
  <c r="S657" i="1"/>
  <c r="T644" i="1"/>
  <c r="S660" i="1"/>
  <c r="R666" i="1"/>
  <c r="O660" i="1"/>
  <c r="R655" i="1"/>
  <c r="T663" i="1"/>
  <c r="O665" i="1"/>
  <c r="R637" i="1"/>
  <c r="Q668" i="1"/>
  <c r="S643" i="1"/>
  <c r="O652" i="1"/>
  <c r="Q672" i="1"/>
  <c r="Q658" i="1"/>
  <c r="S665" i="1"/>
  <c r="T642" i="1"/>
  <c r="T661" i="1"/>
  <c r="P649" i="1"/>
  <c r="T667" i="1"/>
  <c r="R644" i="1"/>
  <c r="O646" i="1"/>
  <c r="O662" i="1"/>
  <c r="S653" i="1"/>
  <c r="Q673" i="1"/>
  <c r="S645" i="1"/>
  <c r="Q662" i="1"/>
  <c r="Q641" i="1"/>
  <c r="T656" i="1"/>
  <c r="Q638" i="1"/>
  <c r="S672" i="1"/>
  <c r="P650" i="1"/>
  <c r="P653" i="1"/>
  <c r="T654" i="1"/>
  <c r="Q650" i="1"/>
  <c r="P658" i="1"/>
  <c r="Q646" i="1"/>
  <c r="T675" i="1"/>
  <c r="Q666" i="1"/>
  <c r="R664" i="1"/>
  <c r="O648" i="1"/>
  <c r="T674" i="1"/>
  <c r="R638" i="1"/>
  <c r="O651" i="1"/>
  <c r="O668" i="1"/>
  <c r="R675" i="1"/>
  <c r="Q665" i="1"/>
  <c r="R661" i="1"/>
  <c r="R667" i="1"/>
  <c r="Q644" i="1"/>
  <c r="Q637" i="1"/>
  <c r="Q670" i="1"/>
  <c r="P659" i="1"/>
  <c r="P652" i="1"/>
  <c r="S656" i="1"/>
  <c r="O664" i="1"/>
  <c r="O647" i="1"/>
  <c r="Q654" i="1"/>
  <c r="Q656" i="1"/>
  <c r="S642" i="1"/>
  <c r="P637" i="1"/>
  <c r="Q652" i="1"/>
  <c r="R659" i="1"/>
  <c r="O653" i="1"/>
  <c r="P656" i="1"/>
  <c r="S669" i="1"/>
  <c r="T646" i="1"/>
  <c r="O659" i="1"/>
  <c r="R657" i="1"/>
  <c r="T664" i="1"/>
  <c r="P662" i="1"/>
  <c r="Q675" i="1"/>
  <c r="S650" i="1"/>
  <c r="R672" i="1"/>
  <c r="R669" i="1"/>
  <c r="L606" i="1"/>
  <c r="O669" i="1"/>
  <c r="R663" i="1"/>
  <c r="T669" i="1"/>
  <c r="O641" i="1"/>
  <c r="S663" i="1"/>
  <c r="O663" i="1"/>
  <c r="P647" i="1"/>
  <c r="S658" i="1"/>
  <c r="Q667" i="1"/>
  <c r="P657" i="1"/>
  <c r="T662" i="1"/>
  <c r="Q653" i="1"/>
  <c r="P646" i="1"/>
  <c r="E467" i="1"/>
  <c r="M467" i="1"/>
  <c r="E470" i="1"/>
  <c r="Q470" i="1"/>
  <c r="L607" i="1"/>
  <c r="M473" i="1"/>
  <c r="G473" i="1"/>
  <c r="R473" i="1"/>
  <c r="L608" i="1"/>
  <c r="O656" i="1"/>
  <c r="O638" i="1"/>
  <c r="T673" i="1"/>
  <c r="T668" i="1"/>
  <c r="T665" i="1"/>
  <c r="S651" i="1"/>
  <c r="Q647" i="1"/>
  <c r="Q651" i="1"/>
  <c r="O655" i="1"/>
  <c r="R671" i="1"/>
  <c r="R650" i="1"/>
  <c r="P654" i="1"/>
  <c r="N488" i="1"/>
  <c r="H68" i="1"/>
  <c r="I588" i="1"/>
  <c r="L94" i="1"/>
  <c r="I590" i="1"/>
  <c r="L96" i="1"/>
  <c r="J604" i="1"/>
  <c r="S37" i="1"/>
  <c r="P488" i="1"/>
  <c r="K604" i="1"/>
  <c r="K610" i="1"/>
  <c r="J581" i="1"/>
  <c r="H581" i="1"/>
  <c r="I592" i="1"/>
  <c r="L98" i="1"/>
  <c r="S488" i="1"/>
  <c r="Q488" i="1"/>
  <c r="O434" i="1"/>
  <c r="E452" i="1"/>
  <c r="G452" i="1"/>
  <c r="R436" i="1"/>
  <c r="J100" i="1"/>
  <c r="S473" i="1"/>
  <c r="AK115" i="4"/>
  <c r="AK31" i="4"/>
  <c r="O473" i="1"/>
  <c r="N473" i="1"/>
  <c r="P473" i="1"/>
  <c r="H473" i="1"/>
  <c r="AK48" i="4"/>
  <c r="AL83" i="4"/>
  <c r="AK130" i="4"/>
  <c r="AK80" i="4"/>
  <c r="AK120" i="4"/>
  <c r="AL82" i="4"/>
  <c r="AK118" i="4"/>
  <c r="AK92" i="4"/>
  <c r="AK122" i="4"/>
  <c r="AL65" i="4"/>
  <c r="AL70" i="4"/>
  <c r="AK82" i="4"/>
  <c r="AL110" i="4"/>
  <c r="AK104" i="4"/>
  <c r="AK114" i="4"/>
  <c r="AK81" i="4"/>
  <c r="AK21" i="4"/>
  <c r="AL103" i="4"/>
  <c r="AK95" i="4"/>
  <c r="AK91" i="4"/>
  <c r="AK88" i="4"/>
  <c r="AL69" i="4"/>
  <c r="AL93" i="4"/>
  <c r="AL112" i="4"/>
  <c r="AL79" i="4"/>
  <c r="AK103" i="4"/>
  <c r="AK53" i="4"/>
  <c r="AL121" i="4"/>
  <c r="AK76" i="4"/>
  <c r="AK46" i="4"/>
  <c r="AL92" i="4"/>
  <c r="AL116" i="4"/>
  <c r="AK126" i="4"/>
  <c r="AL68" i="4"/>
  <c r="AK43" i="4"/>
  <c r="AK75" i="4"/>
  <c r="AK59" i="4"/>
  <c r="AK68" i="4"/>
  <c r="AL109" i="4"/>
  <c r="AL104" i="4"/>
  <c r="AL71" i="4"/>
  <c r="AK25" i="4"/>
  <c r="AK41" i="4"/>
  <c r="AK56" i="4"/>
  <c r="AK63" i="4"/>
  <c r="AK42" i="4"/>
  <c r="AL80" i="4"/>
  <c r="AL85" i="4"/>
  <c r="AL87" i="4"/>
  <c r="AK57" i="4"/>
  <c r="AK109" i="4"/>
  <c r="AK52" i="4"/>
  <c r="AK87" i="4"/>
  <c r="AK106" i="4"/>
  <c r="AK113" i="4"/>
  <c r="AL120" i="4"/>
  <c r="AK128" i="4"/>
  <c r="AK98" i="4"/>
  <c r="AL131" i="4"/>
  <c r="AL125" i="4"/>
  <c r="AK33" i="4"/>
  <c r="AL86" i="4"/>
  <c r="AL107" i="4"/>
  <c r="AK105" i="4"/>
  <c r="AK96" i="4"/>
  <c r="AK65" i="4"/>
  <c r="AK67" i="4"/>
  <c r="AL128" i="4"/>
  <c r="AL95" i="4"/>
  <c r="AL113" i="4"/>
  <c r="AL117" i="4"/>
  <c r="AK72" i="4"/>
  <c r="AK132" i="4"/>
  <c r="AK101" i="4"/>
  <c r="AK99" i="4"/>
  <c r="AK51" i="4"/>
  <c r="AK26" i="4"/>
  <c r="AK97" i="4"/>
  <c r="AK111" i="4"/>
  <c r="AK39" i="4"/>
  <c r="AL99" i="4"/>
  <c r="AK74" i="4"/>
  <c r="AK83" i="4"/>
  <c r="AK77" i="4"/>
  <c r="AL98" i="4"/>
  <c r="AL76" i="4"/>
  <c r="AK69" i="4"/>
  <c r="AL122" i="4"/>
  <c r="AK32" i="4"/>
  <c r="AK79" i="4"/>
  <c r="AL64" i="4"/>
  <c r="AL81" i="4"/>
  <c r="AK85" i="4"/>
  <c r="AK116" i="4"/>
  <c r="AK129" i="4"/>
  <c r="AL115" i="4"/>
  <c r="AL90" i="4"/>
  <c r="AL88" i="4"/>
  <c r="AL102" i="4"/>
  <c r="AK44" i="4"/>
  <c r="AL119" i="4"/>
  <c r="AL123" i="4"/>
  <c r="AK37" i="4"/>
  <c r="AK73" i="4"/>
  <c r="AK28" i="4"/>
  <c r="AK62" i="4"/>
  <c r="AL100" i="4"/>
  <c r="AL77" i="4"/>
  <c r="AK127" i="4"/>
  <c r="AK47" i="4"/>
  <c r="AL89" i="4"/>
  <c r="AK131" i="4"/>
  <c r="AK71" i="4"/>
  <c r="AK100" i="4"/>
  <c r="AK29" i="4"/>
  <c r="AK119" i="4"/>
  <c r="AK30" i="4"/>
  <c r="AL111" i="4"/>
  <c r="AL124" i="4"/>
  <c r="AK50" i="4"/>
  <c r="AK49" i="4"/>
  <c r="AL66" i="4"/>
  <c r="AL126" i="4"/>
  <c r="AL67" i="4"/>
  <c r="AL74" i="4"/>
  <c r="AL75" i="4"/>
  <c r="AK110" i="4"/>
  <c r="AK90" i="4"/>
  <c r="AL91" i="4"/>
  <c r="AL97" i="4"/>
  <c r="AK22" i="4"/>
  <c r="AK125" i="4"/>
  <c r="AK124" i="4"/>
  <c r="AK35" i="4"/>
  <c r="AL114" i="4"/>
  <c r="AL96" i="4"/>
  <c r="AK54" i="4"/>
  <c r="AL73" i="4"/>
  <c r="AK107" i="4"/>
  <c r="AK70" i="4"/>
  <c r="AL129" i="4"/>
  <c r="AK38" i="4"/>
  <c r="AK24" i="4"/>
  <c r="AK66" i="4"/>
  <c r="AK123" i="4"/>
  <c r="AK34" i="4"/>
  <c r="AL132" i="4"/>
  <c r="AK78" i="4"/>
  <c r="AK93" i="4"/>
  <c r="AL127" i="4"/>
  <c r="AK45" i="4"/>
  <c r="K473" i="1"/>
  <c r="AL118" i="4"/>
  <c r="AK86" i="4"/>
  <c r="AK61" i="4"/>
  <c r="J473" i="1"/>
  <c r="AL105" i="4"/>
  <c r="AK64" i="4"/>
  <c r="Q473" i="1"/>
  <c r="I117" i="1"/>
  <c r="L115" i="1"/>
  <c r="L117" i="1"/>
  <c r="P117" i="1"/>
  <c r="K117" i="1"/>
  <c r="AL72" i="4"/>
  <c r="R607" i="1"/>
  <c r="S607" i="1"/>
  <c r="T607" i="1"/>
  <c r="R608" i="1"/>
  <c r="S608" i="1"/>
  <c r="T608" i="1"/>
  <c r="R609" i="1"/>
  <c r="S609" i="1"/>
  <c r="T609" i="1"/>
  <c r="P607" i="1"/>
  <c r="S231" i="1"/>
  <c r="T231" i="1"/>
  <c r="X216" i="1"/>
  <c r="N216" i="1"/>
  <c r="X230" i="1"/>
  <c r="S202" i="1"/>
  <c r="T202" i="1"/>
  <c r="P610" i="1"/>
  <c r="J119" i="1"/>
  <c r="H132" i="1"/>
  <c r="N150" i="1"/>
  <c r="P150" i="1"/>
  <c r="E476" i="1"/>
  <c r="E471" i="1"/>
  <c r="E474" i="1"/>
  <c r="E477" i="1"/>
  <c r="E468" i="1"/>
  <c r="E475" i="1"/>
  <c r="E469" i="1"/>
  <c r="I469" i="1"/>
  <c r="E472" i="1"/>
  <c r="H472" i="1"/>
  <c r="Q200" i="1"/>
  <c r="R200" i="1"/>
  <c r="N283" i="1"/>
  <c r="O283" i="1"/>
  <c r="P283" i="1"/>
  <c r="E449" i="1"/>
  <c r="R449" i="1"/>
  <c r="I593" i="1"/>
  <c r="L99" i="1"/>
  <c r="E454" i="1"/>
  <c r="G454" i="1"/>
  <c r="J362" i="1"/>
  <c r="I362" i="1"/>
  <c r="H362" i="1"/>
  <c r="G623" i="1"/>
  <c r="G619" i="1"/>
  <c r="G622" i="1"/>
  <c r="G621" i="1"/>
  <c r="G618" i="1"/>
  <c r="G624" i="1"/>
  <c r="I434" i="1"/>
  <c r="K434" i="1"/>
  <c r="J434" i="1"/>
  <c r="L434" i="1"/>
  <c r="H434" i="1"/>
  <c r="G620" i="1"/>
  <c r="G434" i="1"/>
  <c r="P606" i="1"/>
  <c r="P608" i="1"/>
  <c r="P609" i="1"/>
  <c r="P611" i="1"/>
  <c r="P612" i="1"/>
  <c r="P605" i="1"/>
  <c r="N605" i="1"/>
  <c r="O605" i="1"/>
  <c r="Q207" i="1"/>
  <c r="O277" i="1"/>
  <c r="P277" i="1"/>
  <c r="I277" i="1"/>
  <c r="L277" i="1"/>
  <c r="K277" i="1"/>
  <c r="M505" i="1"/>
  <c r="S505" i="1"/>
  <c r="T505" i="1"/>
  <c r="K505" i="1"/>
  <c r="H594" i="1"/>
  <c r="I591" i="1"/>
  <c r="L97" i="1"/>
  <c r="N131" i="1"/>
  <c r="P131" i="1"/>
  <c r="S128" i="1"/>
  <c r="I158" i="1"/>
  <c r="I136" i="1"/>
  <c r="I126" i="1"/>
  <c r="I505" i="1"/>
  <c r="J505" i="1"/>
  <c r="L505" i="1"/>
  <c r="N505" i="1"/>
  <c r="O505" i="1"/>
  <c r="P505" i="1"/>
  <c r="H505" i="1"/>
  <c r="X217" i="1"/>
  <c r="M217" i="1"/>
  <c r="L244" i="1"/>
  <c r="Q239" i="1"/>
  <c r="R239" i="1"/>
  <c r="F459" i="1"/>
  <c r="Q235" i="1"/>
  <c r="R235" i="1"/>
  <c r="E457" i="1"/>
  <c r="J457" i="1"/>
  <c r="H71" i="1"/>
  <c r="P9" i="1"/>
  <c r="O12" i="1"/>
  <c r="P12" i="1"/>
  <c r="I589" i="1"/>
  <c r="F594" i="1"/>
  <c r="S10" i="1"/>
  <c r="R11" i="1"/>
  <c r="S11" i="1"/>
  <c r="O433" i="1"/>
  <c r="Q436" i="1"/>
  <c r="R441" i="1"/>
  <c r="O439" i="1"/>
  <c r="R505" i="1"/>
  <c r="F38" i="1"/>
  <c r="H488" i="1"/>
  <c r="F483" i="1"/>
  <c r="O488" i="1"/>
  <c r="F486" i="1"/>
  <c r="G594" i="1"/>
  <c r="R605" i="1"/>
  <c r="S605" i="1"/>
  <c r="T605" i="1"/>
  <c r="R610" i="1"/>
  <c r="S610" i="1"/>
  <c r="T610" i="1"/>
  <c r="R606" i="1"/>
  <c r="S606" i="1"/>
  <c r="T606" i="1"/>
  <c r="R488" i="1"/>
  <c r="F581" i="1"/>
  <c r="H78" i="1"/>
  <c r="F100" i="1"/>
  <c r="G100" i="1"/>
  <c r="K488" i="1"/>
  <c r="I100" i="1"/>
  <c r="S25" i="1"/>
  <c r="H80" i="1"/>
  <c r="T436" i="1"/>
  <c r="M459" i="1"/>
  <c r="L459" i="1"/>
  <c r="S459" i="1"/>
  <c r="K459" i="1"/>
  <c r="G459" i="1"/>
  <c r="R459" i="1"/>
  <c r="J459" i="1"/>
  <c r="Q459" i="1"/>
  <c r="P459" i="1"/>
  <c r="O459" i="1"/>
  <c r="N459" i="1"/>
  <c r="E455" i="1"/>
  <c r="E450" i="1"/>
  <c r="E458" i="1"/>
  <c r="E453" i="1"/>
  <c r="E456" i="1"/>
  <c r="E451" i="1"/>
  <c r="R502" i="1"/>
  <c r="J500" i="1"/>
  <c r="S502" i="1"/>
  <c r="S500" i="1"/>
  <c r="T500" i="1"/>
  <c r="Q506" i="1"/>
  <c r="M506" i="1"/>
  <c r="I502" i="1"/>
  <c r="J496" i="1"/>
  <c r="K496" i="1"/>
  <c r="L500" i="1"/>
  <c r="R501" i="1"/>
  <c r="P498" i="1"/>
  <c r="O500" i="1"/>
  <c r="K500" i="1"/>
  <c r="L502" i="1"/>
  <c r="O502" i="1"/>
  <c r="Q496" i="1"/>
  <c r="P502" i="1"/>
  <c r="P500" i="1"/>
  <c r="T502" i="1"/>
  <c r="R506" i="1"/>
  <c r="O506" i="1"/>
  <c r="K502" i="1"/>
  <c r="N500" i="1"/>
  <c r="N502" i="1"/>
  <c r="Q502" i="1"/>
  <c r="M502" i="1"/>
  <c r="I500" i="1"/>
  <c r="H500" i="1"/>
  <c r="R500" i="1"/>
  <c r="H502" i="1"/>
  <c r="Q500" i="1"/>
  <c r="P506" i="1"/>
  <c r="O496" i="1"/>
  <c r="S501" i="1"/>
  <c r="T501" i="1"/>
  <c r="I506" i="1"/>
  <c r="L496" i="1"/>
  <c r="S496" i="1"/>
  <c r="K506" i="1"/>
  <c r="M496" i="1"/>
  <c r="R496" i="1"/>
  <c r="I496" i="1"/>
  <c r="N496" i="1"/>
  <c r="H496" i="1"/>
  <c r="L506" i="1"/>
  <c r="Q501" i="1"/>
  <c r="J506" i="1"/>
  <c r="T496" i="1"/>
  <c r="N506" i="1"/>
  <c r="H506" i="1"/>
  <c r="L441" i="1"/>
  <c r="I435" i="1"/>
  <c r="H133" i="1"/>
  <c r="R503" i="1"/>
  <c r="I133" i="1"/>
  <c r="H119" i="1"/>
  <c r="N494" i="1"/>
  <c r="K494" i="1"/>
  <c r="Q494" i="1"/>
  <c r="I497" i="1"/>
  <c r="J497" i="1"/>
  <c r="K497" i="1"/>
  <c r="L497" i="1"/>
  <c r="M497" i="1"/>
  <c r="N497" i="1"/>
  <c r="O497" i="1"/>
  <c r="H497" i="1"/>
  <c r="P509" i="1"/>
  <c r="L566" i="1"/>
  <c r="I441" i="1"/>
  <c r="S133" i="1"/>
  <c r="L498" i="1"/>
  <c r="F11" i="1"/>
  <c r="F12" i="1"/>
  <c r="N133" i="1"/>
  <c r="P133" i="1"/>
  <c r="F25" i="1"/>
  <c r="N566" i="1"/>
  <c r="G25" i="1"/>
  <c r="G11" i="1"/>
  <c r="J120" i="1"/>
  <c r="T566" i="1"/>
  <c r="I498" i="1"/>
  <c r="H118" i="1"/>
  <c r="J509" i="1"/>
  <c r="K608" i="1"/>
  <c r="I509" i="1"/>
  <c r="N509" i="1"/>
  <c r="S494" i="1"/>
  <c r="T494" i="1"/>
  <c r="L494" i="1"/>
  <c r="O509" i="1"/>
  <c r="S467" i="1"/>
  <c r="J432" i="1"/>
  <c r="J243" i="1"/>
  <c r="M498" i="1"/>
  <c r="J443" i="1"/>
  <c r="J441" i="1"/>
  <c r="M452" i="1"/>
  <c r="Q467" i="1"/>
  <c r="L509" i="1"/>
  <c r="G432" i="1"/>
  <c r="R566" i="1"/>
  <c r="H25" i="1"/>
  <c r="J19" i="1"/>
  <c r="J20" i="1"/>
  <c r="J21" i="1"/>
  <c r="J22" i="1"/>
  <c r="J23" i="1"/>
  <c r="J24" i="1"/>
  <c r="J25" i="1"/>
  <c r="I225" i="1"/>
  <c r="X225" i="1"/>
  <c r="N225" i="1"/>
  <c r="M237" i="1"/>
  <c r="L237" i="1"/>
  <c r="P237" i="1"/>
  <c r="S504" i="1"/>
  <c r="I504" i="1"/>
  <c r="T504" i="1"/>
  <c r="J504" i="1"/>
  <c r="K504" i="1"/>
  <c r="L504" i="1"/>
  <c r="M504" i="1"/>
  <c r="N504" i="1"/>
  <c r="O504" i="1"/>
  <c r="P504" i="1"/>
  <c r="H504" i="1"/>
  <c r="N120" i="1"/>
  <c r="L120" i="1"/>
  <c r="S120" i="1"/>
  <c r="I120" i="1"/>
  <c r="K120" i="1"/>
  <c r="X200" i="1"/>
  <c r="M200" i="1"/>
  <c r="M120" i="1"/>
  <c r="J438" i="1"/>
  <c r="L438" i="1"/>
  <c r="H438" i="1"/>
  <c r="G438" i="1"/>
  <c r="Q504" i="1"/>
  <c r="N498" i="1"/>
  <c r="S498" i="1"/>
  <c r="Q498" i="1"/>
  <c r="K498" i="1"/>
  <c r="T498" i="1"/>
  <c r="M133" i="1"/>
  <c r="O225" i="1"/>
  <c r="P120" i="1"/>
  <c r="L133" i="1"/>
  <c r="H120" i="1"/>
  <c r="H433" i="1"/>
  <c r="G433" i="1"/>
  <c r="I433" i="1"/>
  <c r="K433" i="1"/>
  <c r="H207" i="1"/>
  <c r="X207" i="1"/>
  <c r="N207" i="1"/>
  <c r="L207" i="1"/>
  <c r="I437" i="1"/>
  <c r="H437" i="1"/>
  <c r="K437" i="1"/>
  <c r="S225" i="1"/>
  <c r="T225" i="1"/>
  <c r="L234" i="1"/>
  <c r="H234" i="1"/>
  <c r="K241" i="1"/>
  <c r="Q241" i="1"/>
  <c r="K439" i="1"/>
  <c r="I439" i="1"/>
  <c r="L439" i="1"/>
  <c r="Q497" i="1"/>
  <c r="P457" i="1"/>
  <c r="G437" i="1"/>
  <c r="J608" i="1"/>
  <c r="J612" i="1"/>
  <c r="R498" i="1"/>
  <c r="O454" i="1"/>
  <c r="J439" i="1"/>
  <c r="J503" i="1"/>
  <c r="K503" i="1"/>
  <c r="L503" i="1"/>
  <c r="M503" i="1"/>
  <c r="N503" i="1"/>
  <c r="O503" i="1"/>
  <c r="P503" i="1"/>
  <c r="H503" i="1"/>
  <c r="L437" i="1"/>
  <c r="J133" i="1"/>
  <c r="M611" i="1"/>
  <c r="M610" i="1"/>
  <c r="O498" i="1"/>
  <c r="M608" i="1"/>
  <c r="K444" i="1"/>
  <c r="G444" i="1"/>
  <c r="H230" i="1"/>
  <c r="K509" i="1"/>
  <c r="J216" i="1"/>
  <c r="R509" i="1"/>
  <c r="L499" i="1"/>
  <c r="I440" i="1"/>
  <c r="F454" i="1"/>
  <c r="Q454" i="1"/>
  <c r="K432" i="1"/>
  <c r="S216" i="1"/>
  <c r="T216" i="1"/>
  <c r="Q509" i="1"/>
  <c r="G436" i="1"/>
  <c r="J440" i="1"/>
  <c r="M609" i="1"/>
  <c r="J435" i="1"/>
  <c r="H435" i="1"/>
  <c r="R495" i="1"/>
  <c r="R497" i="1"/>
  <c r="I444" i="1"/>
  <c r="R454" i="1"/>
  <c r="Q243" i="1"/>
  <c r="M509" i="1"/>
  <c r="H509" i="1"/>
  <c r="P200" i="1"/>
  <c r="H444" i="1"/>
  <c r="M607" i="1"/>
  <c r="S497" i="1"/>
  <c r="H498" i="1"/>
  <c r="H436" i="1"/>
  <c r="H432" i="1"/>
  <c r="O441" i="1"/>
  <c r="J444" i="1"/>
  <c r="M612" i="1"/>
  <c r="T497" i="1"/>
  <c r="G442" i="1"/>
  <c r="I443" i="1"/>
  <c r="H441" i="1"/>
  <c r="K441" i="1"/>
  <c r="Q457" i="1"/>
  <c r="M243" i="1"/>
  <c r="Q225" i="1"/>
  <c r="N119" i="1"/>
  <c r="N457" i="1"/>
  <c r="L432" i="1"/>
  <c r="I243" i="1"/>
  <c r="J436" i="1"/>
  <c r="J225" i="1"/>
  <c r="K119" i="1"/>
  <c r="L444" i="1"/>
  <c r="P494" i="1"/>
  <c r="I566" i="1"/>
  <c r="J566" i="1"/>
  <c r="L435" i="1"/>
  <c r="K435" i="1"/>
  <c r="K84" i="1"/>
  <c r="M77" i="1"/>
  <c r="M78" i="1"/>
  <c r="M79" i="1"/>
  <c r="M80" i="1"/>
  <c r="M81" i="1"/>
  <c r="M82" i="1"/>
  <c r="M83" i="1"/>
  <c r="M84" i="1"/>
  <c r="H608" i="1"/>
  <c r="R243" i="1"/>
  <c r="L442" i="1"/>
  <c r="H442" i="1"/>
  <c r="H467" i="1"/>
  <c r="L243" i="1"/>
  <c r="J494" i="1"/>
  <c r="K454" i="1"/>
  <c r="M457" i="1"/>
  <c r="O494" i="1"/>
  <c r="I467" i="1"/>
  <c r="G439" i="1"/>
  <c r="H243" i="1"/>
  <c r="L436" i="1"/>
  <c r="K225" i="1"/>
  <c r="I119" i="1"/>
  <c r="R494" i="1"/>
  <c r="Q566" i="1"/>
  <c r="J499" i="1"/>
  <c r="J433" i="1"/>
  <c r="K442" i="1"/>
  <c r="O457" i="1"/>
  <c r="P243" i="1"/>
  <c r="L440" i="1"/>
  <c r="Q503" i="1"/>
  <c r="S503" i="1"/>
  <c r="T503" i="1"/>
  <c r="Q230" i="1"/>
  <c r="R230" i="1"/>
  <c r="G440" i="1"/>
  <c r="M494" i="1"/>
  <c r="H136" i="1"/>
  <c r="O243" i="1"/>
  <c r="K436" i="1"/>
  <c r="H494" i="1"/>
  <c r="M499" i="1"/>
  <c r="H440" i="1"/>
  <c r="I442" i="1"/>
  <c r="K438" i="1"/>
  <c r="I438" i="1"/>
  <c r="G443" i="1"/>
  <c r="H443" i="1"/>
  <c r="L443" i="1"/>
  <c r="N158" i="1"/>
  <c r="H449" i="1"/>
  <c r="H237" i="1"/>
  <c r="L158" i="1"/>
  <c r="H149" i="1"/>
  <c r="M149" i="1"/>
  <c r="I237" i="1"/>
  <c r="H612" i="1"/>
  <c r="S131" i="1"/>
  <c r="H150" i="1"/>
  <c r="Q495" i="1"/>
  <c r="J149" i="1"/>
  <c r="AM26" i="4"/>
  <c r="N200" i="1"/>
  <c r="Q237" i="1"/>
  <c r="AM30" i="4"/>
  <c r="S495" i="1"/>
  <c r="T495" i="1"/>
  <c r="H607" i="1"/>
  <c r="O472" i="1"/>
  <c r="H606" i="1"/>
  <c r="Q472" i="1"/>
  <c r="H610" i="1"/>
  <c r="M131" i="1"/>
  <c r="N469" i="1"/>
  <c r="H469" i="1"/>
  <c r="H609" i="1"/>
  <c r="I612" i="1"/>
  <c r="I607" i="1"/>
  <c r="I611" i="1"/>
  <c r="I610" i="1"/>
  <c r="I609" i="1"/>
  <c r="Q202" i="1"/>
  <c r="R202" i="1"/>
  <c r="X202" i="1"/>
  <c r="M202" i="1"/>
  <c r="I202" i="1"/>
  <c r="I606" i="1"/>
  <c r="J508" i="1"/>
  <c r="K508" i="1"/>
  <c r="I508" i="1"/>
  <c r="N508" i="1"/>
  <c r="Q508" i="1"/>
  <c r="L508" i="1"/>
  <c r="M508" i="1"/>
  <c r="O508" i="1"/>
  <c r="P508" i="1"/>
  <c r="H508" i="1"/>
  <c r="R508" i="1"/>
  <c r="H474" i="1"/>
  <c r="Q474" i="1"/>
  <c r="G474" i="1"/>
  <c r="L474" i="1"/>
  <c r="K452" i="1"/>
  <c r="Q452" i="1"/>
  <c r="P452" i="1"/>
  <c r="R452" i="1"/>
  <c r="L452" i="1"/>
  <c r="I608" i="1"/>
  <c r="N130" i="1"/>
  <c r="M130" i="1"/>
  <c r="S163" i="1"/>
  <c r="I163" i="1"/>
  <c r="J452" i="1"/>
  <c r="Q227" i="1"/>
  <c r="X227" i="1"/>
  <c r="O227" i="1"/>
  <c r="K607" i="1"/>
  <c r="K611" i="1"/>
  <c r="K612" i="1"/>
  <c r="L233" i="1"/>
  <c r="S233" i="1"/>
  <c r="T233" i="1"/>
  <c r="M146" i="1"/>
  <c r="N146" i="1"/>
  <c r="P146" i="1"/>
  <c r="R499" i="1"/>
  <c r="K499" i="1"/>
  <c r="P499" i="1"/>
  <c r="K507" i="1"/>
  <c r="S507" i="1"/>
  <c r="T507" i="1"/>
  <c r="I507" i="1"/>
  <c r="J507" i="1"/>
  <c r="P507" i="1"/>
  <c r="M507" i="1"/>
  <c r="N507" i="1"/>
  <c r="O507" i="1"/>
  <c r="H507" i="1"/>
  <c r="Q507" i="1"/>
  <c r="R237" i="1"/>
  <c r="J164" i="1"/>
  <c r="N499" i="1"/>
  <c r="O499" i="1"/>
  <c r="H499" i="1"/>
  <c r="J454" i="1"/>
  <c r="J237" i="1"/>
  <c r="K164" i="1"/>
  <c r="H470" i="1"/>
  <c r="S566" i="1"/>
  <c r="I470" i="1"/>
  <c r="G467" i="1"/>
  <c r="AM54" i="4"/>
  <c r="O566" i="1"/>
  <c r="S499" i="1"/>
  <c r="K149" i="1"/>
  <c r="S149" i="1"/>
  <c r="I149" i="1"/>
  <c r="O470" i="1"/>
  <c r="S470" i="1"/>
  <c r="Q231" i="1"/>
  <c r="R231" i="1"/>
  <c r="N243" i="1"/>
  <c r="K237" i="1"/>
  <c r="S237" i="1"/>
  <c r="N467" i="1"/>
  <c r="K243" i="1"/>
  <c r="P164" i="1"/>
  <c r="K207" i="1"/>
  <c r="J132" i="1"/>
  <c r="P207" i="1"/>
  <c r="M566" i="1"/>
  <c r="K467" i="1"/>
  <c r="L149" i="1"/>
  <c r="P566" i="1"/>
  <c r="T237" i="1"/>
  <c r="O237" i="1"/>
  <c r="I132" i="1"/>
  <c r="N164" i="1"/>
  <c r="M207" i="1"/>
  <c r="L283" i="1"/>
  <c r="K132" i="1"/>
  <c r="J207" i="1"/>
  <c r="I207" i="1"/>
  <c r="Q499" i="1"/>
  <c r="P454" i="1"/>
  <c r="N237" i="1"/>
  <c r="R507" i="1"/>
  <c r="K230" i="1"/>
  <c r="T243" i="1"/>
  <c r="R207" i="1"/>
  <c r="O200" i="1"/>
  <c r="O207" i="1"/>
  <c r="T499" i="1"/>
  <c r="H566" i="1"/>
  <c r="L605" i="1"/>
  <c r="P149" i="1"/>
  <c r="M234" i="1"/>
  <c r="J607" i="1"/>
  <c r="J606" i="1"/>
  <c r="S241" i="1"/>
  <c r="K73" i="1"/>
  <c r="M69" i="1"/>
  <c r="K130" i="1"/>
  <c r="S230" i="1"/>
  <c r="J150" i="1"/>
  <c r="AM27" i="4"/>
  <c r="I164" i="1"/>
  <c r="J202" i="1"/>
  <c r="P227" i="1"/>
  <c r="J474" i="1"/>
  <c r="J611" i="1"/>
  <c r="O234" i="1"/>
  <c r="N452" i="1"/>
  <c r="N234" i="1"/>
  <c r="H241" i="1"/>
  <c r="N230" i="1"/>
  <c r="P163" i="1"/>
  <c r="L150" i="1"/>
  <c r="K606" i="1"/>
  <c r="Q216" i="1"/>
  <c r="R216" i="1"/>
  <c r="M164" i="1"/>
  <c r="R469" i="1"/>
  <c r="P225" i="1"/>
  <c r="H225" i="1"/>
  <c r="L472" i="1"/>
  <c r="S452" i="1"/>
  <c r="H202" i="1"/>
  <c r="J469" i="1"/>
  <c r="P119" i="1"/>
  <c r="AM46" i="4"/>
  <c r="P130" i="1"/>
  <c r="N163" i="1"/>
  <c r="L230" i="1"/>
  <c r="J609" i="1"/>
  <c r="F473" i="1"/>
  <c r="J610" i="1"/>
  <c r="S474" i="1"/>
  <c r="J130" i="1"/>
  <c r="F488" i="1"/>
  <c r="O230" i="1"/>
  <c r="L132" i="1"/>
  <c r="I244" i="1"/>
  <c r="I150" i="1"/>
  <c r="K609" i="1"/>
  <c r="AM49" i="4"/>
  <c r="L454" i="1"/>
  <c r="M132" i="1"/>
  <c r="F452" i="1"/>
  <c r="O202" i="1"/>
  <c r="J227" i="1"/>
  <c r="R474" i="1"/>
  <c r="G449" i="1"/>
  <c r="P470" i="1"/>
  <c r="L470" i="1"/>
  <c r="R470" i="1"/>
  <c r="G470" i="1"/>
  <c r="N470" i="1"/>
  <c r="J470" i="1"/>
  <c r="K470" i="1"/>
  <c r="M470" i="1"/>
  <c r="J234" i="1"/>
  <c r="P230" i="1"/>
  <c r="S150" i="1"/>
  <c r="P469" i="1"/>
  <c r="M230" i="1"/>
  <c r="I230" i="1"/>
  <c r="P244" i="1"/>
  <c r="K150" i="1"/>
  <c r="M449" i="1"/>
  <c r="J449" i="1"/>
  <c r="Q449" i="1"/>
  <c r="O452" i="1"/>
  <c r="N454" i="1"/>
  <c r="H454" i="1"/>
  <c r="M454" i="1"/>
  <c r="O436" i="1"/>
  <c r="T230" i="1"/>
  <c r="J230" i="1"/>
  <c r="N132" i="1"/>
  <c r="AM38" i="4"/>
  <c r="M150" i="1"/>
  <c r="S239" i="1"/>
  <c r="S454" i="1"/>
  <c r="L225" i="1"/>
  <c r="H452" i="1"/>
  <c r="N227" i="1"/>
  <c r="M474" i="1"/>
  <c r="K449" i="1"/>
  <c r="AM42" i="4"/>
  <c r="AM47" i="4"/>
  <c r="R467" i="1"/>
  <c r="J467" i="1"/>
  <c r="P467" i="1"/>
  <c r="O467" i="1"/>
  <c r="L467" i="1"/>
  <c r="N135" i="1"/>
  <c r="P135" i="1"/>
  <c r="K135" i="1"/>
  <c r="I135" i="1"/>
  <c r="J135" i="1"/>
  <c r="H135" i="1"/>
  <c r="S135" i="1"/>
  <c r="M135" i="1"/>
  <c r="L135" i="1"/>
  <c r="J231" i="1"/>
  <c r="P231" i="1"/>
  <c r="AM43" i="4"/>
  <c r="N136" i="1"/>
  <c r="T241" i="1"/>
  <c r="N241" i="1"/>
  <c r="AM51" i="4"/>
  <c r="H231" i="1"/>
  <c r="AM53" i="4"/>
  <c r="AM45" i="4"/>
  <c r="S234" i="1"/>
  <c r="T234" i="1"/>
  <c r="I154" i="1"/>
  <c r="J154" i="1"/>
  <c r="L154" i="1"/>
  <c r="N154" i="1"/>
  <c r="P154" i="1"/>
  <c r="M154" i="1"/>
  <c r="K154" i="1"/>
  <c r="S154" i="1"/>
  <c r="H154" i="1"/>
  <c r="J122" i="1"/>
  <c r="H122" i="1"/>
  <c r="M122" i="1"/>
  <c r="N122" i="1"/>
  <c r="P122" i="1"/>
  <c r="I122" i="1"/>
  <c r="K122" i="1"/>
  <c r="S122" i="1"/>
  <c r="L122" i="1"/>
  <c r="L241" i="1"/>
  <c r="I234" i="1"/>
  <c r="R241" i="1"/>
  <c r="O244" i="1"/>
  <c r="K158" i="1"/>
  <c r="L131" i="1"/>
  <c r="T239" i="1"/>
  <c r="I231" i="1"/>
  <c r="M469" i="1"/>
  <c r="K474" i="1"/>
  <c r="S449" i="1"/>
  <c r="P472" i="1"/>
  <c r="M283" i="1"/>
  <c r="H283" i="1"/>
  <c r="I283" i="1"/>
  <c r="J283" i="1"/>
  <c r="K283" i="1"/>
  <c r="S471" i="1"/>
  <c r="R471" i="1"/>
  <c r="H471" i="1"/>
  <c r="I471" i="1"/>
  <c r="O471" i="1"/>
  <c r="L471" i="1"/>
  <c r="J471" i="1"/>
  <c r="K471" i="1"/>
  <c r="G471" i="1"/>
  <c r="M471" i="1"/>
  <c r="Q471" i="1"/>
  <c r="N471" i="1"/>
  <c r="P471" i="1"/>
  <c r="S164" i="1"/>
  <c r="L164" i="1"/>
  <c r="H164" i="1"/>
  <c r="S132" i="1"/>
  <c r="P132" i="1"/>
  <c r="P202" i="1"/>
  <c r="K202" i="1"/>
  <c r="N202" i="1"/>
  <c r="L202" i="1"/>
  <c r="AM21" i="4"/>
  <c r="AM22" i="4"/>
  <c r="AM23" i="4"/>
  <c r="S208" i="1"/>
  <c r="I208" i="1"/>
  <c r="Q208" i="1"/>
  <c r="R208" i="1"/>
  <c r="X208" i="1"/>
  <c r="L208" i="1"/>
  <c r="K208" i="1"/>
  <c r="M208" i="1"/>
  <c r="P208" i="1"/>
  <c r="N208" i="1"/>
  <c r="J208" i="1"/>
  <c r="O208" i="1"/>
  <c r="T208" i="1"/>
  <c r="H208" i="1"/>
  <c r="O477" i="1"/>
  <c r="M477" i="1"/>
  <c r="H477" i="1"/>
  <c r="S477" i="1"/>
  <c r="L477" i="1"/>
  <c r="K477" i="1"/>
  <c r="J477" i="1"/>
  <c r="I477" i="1"/>
  <c r="N477" i="1"/>
  <c r="G477" i="1"/>
  <c r="P477" i="1"/>
  <c r="Q477" i="1"/>
  <c r="R477" i="1"/>
  <c r="K143" i="1"/>
  <c r="H143" i="1"/>
  <c r="M143" i="1"/>
  <c r="S143" i="1"/>
  <c r="N143" i="1"/>
  <c r="P143" i="1"/>
  <c r="I143" i="1"/>
  <c r="L143" i="1"/>
  <c r="J143" i="1"/>
  <c r="I165" i="1"/>
  <c r="M165" i="1"/>
  <c r="L165" i="1"/>
  <c r="P165" i="1"/>
  <c r="J165" i="1"/>
  <c r="K165" i="1"/>
  <c r="H165" i="1"/>
  <c r="S165" i="1"/>
  <c r="N165" i="1"/>
  <c r="L231" i="1"/>
  <c r="P234" i="1"/>
  <c r="I241" i="1"/>
  <c r="Q244" i="1"/>
  <c r="AM50" i="4"/>
  <c r="AM37" i="4"/>
  <c r="L136" i="1"/>
  <c r="S227" i="1"/>
  <c r="H227" i="1"/>
  <c r="R227" i="1"/>
  <c r="L227" i="1"/>
  <c r="AM44" i="4"/>
  <c r="O449" i="1"/>
  <c r="Q234" i="1"/>
  <c r="J241" i="1"/>
  <c r="O241" i="1"/>
  <c r="H244" i="1"/>
  <c r="AM32" i="4"/>
  <c r="AM36" i="4"/>
  <c r="AM31" i="4"/>
  <c r="AM25" i="4"/>
  <c r="S136" i="1"/>
  <c r="N231" i="1"/>
  <c r="F434" i="1"/>
  <c r="I227" i="1"/>
  <c r="T227" i="1"/>
  <c r="N474" i="1"/>
  <c r="F449" i="1"/>
  <c r="S200" i="1"/>
  <c r="K200" i="1"/>
  <c r="I200" i="1"/>
  <c r="L200" i="1"/>
  <c r="H200" i="1"/>
  <c r="J200" i="1"/>
  <c r="T200" i="1"/>
  <c r="M476" i="1"/>
  <c r="P476" i="1"/>
  <c r="J476" i="1"/>
  <c r="N476" i="1"/>
  <c r="G476" i="1"/>
  <c r="Q476" i="1"/>
  <c r="S476" i="1"/>
  <c r="L476" i="1"/>
  <c r="H476" i="1"/>
  <c r="O476" i="1"/>
  <c r="R476" i="1"/>
  <c r="K476" i="1"/>
  <c r="I476" i="1"/>
  <c r="N151" i="1"/>
  <c r="H151" i="1"/>
  <c r="L151" i="1"/>
  <c r="P151" i="1"/>
  <c r="K151" i="1"/>
  <c r="J151" i="1"/>
  <c r="M151" i="1"/>
  <c r="I151" i="1"/>
  <c r="S151" i="1"/>
  <c r="L119" i="1"/>
  <c r="M119" i="1"/>
  <c r="S119" i="1"/>
  <c r="AM35" i="4"/>
  <c r="AM41" i="4"/>
  <c r="AM33" i="4"/>
  <c r="P136" i="1"/>
  <c r="AM34" i="4"/>
  <c r="I472" i="1"/>
  <c r="N472" i="1"/>
  <c r="S472" i="1"/>
  <c r="J472" i="1"/>
  <c r="G472" i="1"/>
  <c r="X218" i="1"/>
  <c r="K218" i="1"/>
  <c r="J218" i="1"/>
  <c r="S218" i="1"/>
  <c r="O218" i="1"/>
  <c r="N218" i="1"/>
  <c r="P218" i="1"/>
  <c r="H218" i="1"/>
  <c r="T218" i="1"/>
  <c r="M218" i="1"/>
  <c r="Q218" i="1"/>
  <c r="R218" i="1"/>
  <c r="I218" i="1"/>
  <c r="L218" i="1"/>
  <c r="P449" i="1"/>
  <c r="N449" i="1"/>
  <c r="K231" i="1"/>
  <c r="K234" i="1"/>
  <c r="R234" i="1"/>
  <c r="M241" i="1"/>
  <c r="N233" i="1"/>
  <c r="N126" i="1"/>
  <c r="P126" i="1"/>
  <c r="H128" i="1"/>
  <c r="AM52" i="4"/>
  <c r="AM48" i="4"/>
  <c r="AM24" i="4"/>
  <c r="M136" i="1"/>
  <c r="K136" i="1"/>
  <c r="K472" i="1"/>
  <c r="R472" i="1"/>
  <c r="M227" i="1"/>
  <c r="O474" i="1"/>
  <c r="L449" i="1"/>
  <c r="L286" i="1"/>
  <c r="I286" i="1"/>
  <c r="O286" i="1"/>
  <c r="J286" i="1"/>
  <c r="H286" i="1"/>
  <c r="M286" i="1"/>
  <c r="N286" i="1"/>
  <c r="P286" i="1"/>
  <c r="K286" i="1"/>
  <c r="G469" i="1"/>
  <c r="L469" i="1"/>
  <c r="S469" i="1"/>
  <c r="K469" i="1"/>
  <c r="Q469" i="1"/>
  <c r="O469" i="1"/>
  <c r="AM40" i="4"/>
  <c r="N468" i="1"/>
  <c r="S468" i="1"/>
  <c r="O468" i="1"/>
  <c r="M468" i="1"/>
  <c r="L468" i="1"/>
  <c r="Q468" i="1"/>
  <c r="R468" i="1"/>
  <c r="K468" i="1"/>
  <c r="I468" i="1"/>
  <c r="H468" i="1"/>
  <c r="P468" i="1"/>
  <c r="G468" i="1"/>
  <c r="J468" i="1"/>
  <c r="AM39" i="4"/>
  <c r="O231" i="1"/>
  <c r="N125" i="1"/>
  <c r="P125" i="1"/>
  <c r="S125" i="1"/>
  <c r="K125" i="1"/>
  <c r="M125" i="1"/>
  <c r="L125" i="1"/>
  <c r="H125" i="1"/>
  <c r="J125" i="1"/>
  <c r="I125" i="1"/>
  <c r="X219" i="1"/>
  <c r="K219" i="1"/>
  <c r="L219" i="1"/>
  <c r="Q219" i="1"/>
  <c r="R219" i="1"/>
  <c r="H219" i="1"/>
  <c r="O219" i="1"/>
  <c r="J219" i="1"/>
  <c r="S219" i="1"/>
  <c r="T219" i="1"/>
  <c r="M219" i="1"/>
  <c r="I219" i="1"/>
  <c r="P219" i="1"/>
  <c r="N219" i="1"/>
  <c r="M233" i="1"/>
  <c r="P241" i="1"/>
  <c r="L126" i="1"/>
  <c r="AM28" i="4"/>
  <c r="AM29" i="4"/>
  <c r="J136" i="1"/>
  <c r="M231" i="1"/>
  <c r="M472" i="1"/>
  <c r="K227" i="1"/>
  <c r="I474" i="1"/>
  <c r="P474" i="1"/>
  <c r="Q475" i="1"/>
  <c r="R475" i="1"/>
  <c r="N475" i="1"/>
  <c r="H475" i="1"/>
  <c r="G475" i="1"/>
  <c r="P475" i="1"/>
  <c r="J475" i="1"/>
  <c r="O475" i="1"/>
  <c r="L475" i="1"/>
  <c r="S475" i="1"/>
  <c r="K475" i="1"/>
  <c r="I475" i="1"/>
  <c r="M475" i="1"/>
  <c r="L157" i="1"/>
  <c r="N157" i="1"/>
  <c r="P157" i="1"/>
  <c r="J157" i="1"/>
  <c r="I157" i="1"/>
  <c r="S157" i="1"/>
  <c r="K157" i="1"/>
  <c r="H157" i="1"/>
  <c r="M157" i="1"/>
  <c r="R225" i="1"/>
  <c r="M225" i="1"/>
  <c r="X211" i="1"/>
  <c r="L211" i="1"/>
  <c r="Q211" i="1"/>
  <c r="S211" i="1"/>
  <c r="T211" i="1"/>
  <c r="O211" i="1"/>
  <c r="K211" i="1"/>
  <c r="R211" i="1"/>
  <c r="M211" i="1"/>
  <c r="P211" i="1"/>
  <c r="N211" i="1"/>
  <c r="H211" i="1"/>
  <c r="J211" i="1"/>
  <c r="I211" i="1"/>
  <c r="I216" i="1"/>
  <c r="O216" i="1"/>
  <c r="P216" i="1"/>
  <c r="K216" i="1"/>
  <c r="L216" i="1"/>
  <c r="H216" i="1"/>
  <c r="M216" i="1"/>
  <c r="K145" i="1"/>
  <c r="J620" i="1"/>
  <c r="H620" i="1"/>
  <c r="I620" i="1"/>
  <c r="K233" i="1"/>
  <c r="S126" i="1"/>
  <c r="L146" i="1"/>
  <c r="M145" i="1"/>
  <c r="J239" i="1"/>
  <c r="K239" i="1"/>
  <c r="R457" i="1"/>
  <c r="G457" i="1"/>
  <c r="S457" i="1"/>
  <c r="K457" i="1"/>
  <c r="L457" i="1"/>
  <c r="F457" i="1"/>
  <c r="H457" i="1"/>
  <c r="L217" i="1"/>
  <c r="I217" i="1"/>
  <c r="Q217" i="1"/>
  <c r="R217" i="1"/>
  <c r="P217" i="1"/>
  <c r="O217" i="1"/>
  <c r="H217" i="1"/>
  <c r="S217" i="1"/>
  <c r="J217" i="1"/>
  <c r="N217" i="1"/>
  <c r="K217" i="1"/>
  <c r="T217" i="1"/>
  <c r="J285" i="1"/>
  <c r="I285" i="1"/>
  <c r="O285" i="1"/>
  <c r="M285" i="1"/>
  <c r="K285" i="1"/>
  <c r="N285" i="1"/>
  <c r="P285" i="1"/>
  <c r="H285" i="1"/>
  <c r="L285" i="1"/>
  <c r="L278" i="1"/>
  <c r="N278" i="1"/>
  <c r="O278" i="1"/>
  <c r="P278" i="1"/>
  <c r="H278" i="1"/>
  <c r="I278" i="1"/>
  <c r="K278" i="1"/>
  <c r="M278" i="1"/>
  <c r="J278" i="1"/>
  <c r="M138" i="1"/>
  <c r="N138" i="1"/>
  <c r="H138" i="1"/>
  <c r="K138" i="1"/>
  <c r="P138" i="1"/>
  <c r="L138" i="1"/>
  <c r="J138" i="1"/>
  <c r="I138" i="1"/>
  <c r="S138" i="1"/>
  <c r="L130" i="1"/>
  <c r="H130" i="1"/>
  <c r="S130" i="1"/>
  <c r="I130" i="1"/>
  <c r="K160" i="1"/>
  <c r="M160" i="1"/>
  <c r="I160" i="1"/>
  <c r="S160" i="1"/>
  <c r="L160" i="1"/>
  <c r="P160" i="1"/>
  <c r="H160" i="1"/>
  <c r="N160" i="1"/>
  <c r="J160" i="1"/>
  <c r="J163" i="1"/>
  <c r="K163" i="1"/>
  <c r="M163" i="1"/>
  <c r="H163" i="1"/>
  <c r="L163" i="1"/>
  <c r="S235" i="1"/>
  <c r="T235" i="1"/>
  <c r="N235" i="1"/>
  <c r="I235" i="1"/>
  <c r="O235" i="1"/>
  <c r="M235" i="1"/>
  <c r="J127" i="1"/>
  <c r="L127" i="1"/>
  <c r="H127" i="1"/>
  <c r="N127" i="1"/>
  <c r="P127" i="1"/>
  <c r="S127" i="1"/>
  <c r="M127" i="1"/>
  <c r="I127" i="1"/>
  <c r="K127" i="1"/>
  <c r="Q233" i="1"/>
  <c r="R233" i="1"/>
  <c r="O233" i="1"/>
  <c r="H126" i="1"/>
  <c r="N145" i="1"/>
  <c r="P239" i="1"/>
  <c r="Q209" i="1"/>
  <c r="S209" i="1"/>
  <c r="X209" i="1"/>
  <c r="O209" i="1"/>
  <c r="R209" i="1"/>
  <c r="K209" i="1"/>
  <c r="N209" i="1"/>
  <c r="H209" i="1"/>
  <c r="T209" i="1"/>
  <c r="P209" i="1"/>
  <c r="J209" i="1"/>
  <c r="I209" i="1"/>
  <c r="L209" i="1"/>
  <c r="M209" i="1"/>
  <c r="I201" i="1"/>
  <c r="Q201" i="1"/>
  <c r="X201" i="1"/>
  <c r="J201" i="1"/>
  <c r="O201" i="1"/>
  <c r="H201" i="1"/>
  <c r="L201" i="1"/>
  <c r="S201" i="1"/>
  <c r="N201" i="1"/>
  <c r="R201" i="1"/>
  <c r="P201" i="1"/>
  <c r="T201" i="1"/>
  <c r="M201" i="1"/>
  <c r="K201" i="1"/>
  <c r="N147" i="1"/>
  <c r="P147" i="1"/>
  <c r="J147" i="1"/>
  <c r="M147" i="1"/>
  <c r="K147" i="1"/>
  <c r="I147" i="1"/>
  <c r="L147" i="1"/>
  <c r="S147" i="1"/>
  <c r="H147" i="1"/>
  <c r="J137" i="1"/>
  <c r="N137" i="1"/>
  <c r="K137" i="1"/>
  <c r="L137" i="1"/>
  <c r="M137" i="1"/>
  <c r="S137" i="1"/>
  <c r="I137" i="1"/>
  <c r="H137" i="1"/>
  <c r="P137" i="1"/>
  <c r="N141" i="1"/>
  <c r="L141" i="1"/>
  <c r="K141" i="1"/>
  <c r="I141" i="1"/>
  <c r="P141" i="1"/>
  <c r="H141" i="1"/>
  <c r="S141" i="1"/>
  <c r="J141" i="1"/>
  <c r="M141" i="1"/>
  <c r="N156" i="1"/>
  <c r="J156" i="1"/>
  <c r="K156" i="1"/>
  <c r="S156" i="1"/>
  <c r="M156" i="1"/>
  <c r="H156" i="1"/>
  <c r="I156" i="1"/>
  <c r="L156" i="1"/>
  <c r="P156" i="1"/>
  <c r="H618" i="1"/>
  <c r="I618" i="1"/>
  <c r="J618" i="1"/>
  <c r="J354" i="1"/>
  <c r="I354" i="1"/>
  <c r="H354" i="1"/>
  <c r="N239" i="1"/>
  <c r="O281" i="1"/>
  <c r="I281" i="1"/>
  <c r="K281" i="1"/>
  <c r="M281" i="1"/>
  <c r="J281" i="1"/>
  <c r="H281" i="1"/>
  <c r="N281" i="1"/>
  <c r="P281" i="1"/>
  <c r="L281" i="1"/>
  <c r="J624" i="1"/>
  <c r="H624" i="1"/>
  <c r="I624" i="1"/>
  <c r="J233" i="1"/>
  <c r="J235" i="1"/>
  <c r="H233" i="1"/>
  <c r="I145" i="1"/>
  <c r="H239" i="1"/>
  <c r="Q223" i="1"/>
  <c r="R223" i="1"/>
  <c r="S223" i="1"/>
  <c r="X223" i="1"/>
  <c r="H223" i="1"/>
  <c r="L223" i="1"/>
  <c r="P223" i="1"/>
  <c r="I223" i="1"/>
  <c r="T223" i="1"/>
  <c r="K223" i="1"/>
  <c r="N223" i="1"/>
  <c r="O223" i="1"/>
  <c r="J223" i="1"/>
  <c r="M223" i="1"/>
  <c r="S215" i="1"/>
  <c r="T215" i="1"/>
  <c r="I215" i="1"/>
  <c r="X215" i="1"/>
  <c r="K215" i="1"/>
  <c r="N215" i="1"/>
  <c r="Q215" i="1"/>
  <c r="J215" i="1"/>
  <c r="O215" i="1"/>
  <c r="L215" i="1"/>
  <c r="P215" i="1"/>
  <c r="R215" i="1"/>
  <c r="M215" i="1"/>
  <c r="H215" i="1"/>
  <c r="S139" i="1"/>
  <c r="H139" i="1"/>
  <c r="L139" i="1"/>
  <c r="N139" i="1"/>
  <c r="P139" i="1"/>
  <c r="M139" i="1"/>
  <c r="K139" i="1"/>
  <c r="I139" i="1"/>
  <c r="J139" i="1"/>
  <c r="L129" i="1"/>
  <c r="I129" i="1"/>
  <c r="S129" i="1"/>
  <c r="K129" i="1"/>
  <c r="J129" i="1"/>
  <c r="N129" i="1"/>
  <c r="P129" i="1"/>
  <c r="H129" i="1"/>
  <c r="M129" i="1"/>
  <c r="N118" i="1"/>
  <c r="M118" i="1"/>
  <c r="P118" i="1"/>
  <c r="I118" i="1"/>
  <c r="J118" i="1"/>
  <c r="K118" i="1"/>
  <c r="L118" i="1"/>
  <c r="S118" i="1"/>
  <c r="J152" i="1"/>
  <c r="K152" i="1"/>
  <c r="L152" i="1"/>
  <c r="H152" i="1"/>
  <c r="I152" i="1"/>
  <c r="N152" i="1"/>
  <c r="P152" i="1"/>
  <c r="S152" i="1"/>
  <c r="M152" i="1"/>
  <c r="J144" i="1"/>
  <c r="M144" i="1"/>
  <c r="N144" i="1"/>
  <c r="L144" i="1"/>
  <c r="S144" i="1"/>
  <c r="I144" i="1"/>
  <c r="H144" i="1"/>
  <c r="P144" i="1"/>
  <c r="K144" i="1"/>
  <c r="H621" i="1"/>
  <c r="I621" i="1"/>
  <c r="J621" i="1"/>
  <c r="I146" i="1"/>
  <c r="P233" i="1"/>
  <c r="S146" i="1"/>
  <c r="H145" i="1"/>
  <c r="L239" i="1"/>
  <c r="Q199" i="1"/>
  <c r="R199" i="1"/>
  <c r="J199" i="1"/>
  <c r="X199" i="1"/>
  <c r="P199" i="1"/>
  <c r="L199" i="1"/>
  <c r="N199" i="1"/>
  <c r="O199" i="1"/>
  <c r="M199" i="1"/>
  <c r="S199" i="1"/>
  <c r="T199" i="1"/>
  <c r="H199" i="1"/>
  <c r="I199" i="1"/>
  <c r="K199" i="1"/>
  <c r="Q226" i="1"/>
  <c r="R226" i="1"/>
  <c r="X226" i="1"/>
  <c r="S226" i="1"/>
  <c r="K226" i="1"/>
  <c r="M226" i="1"/>
  <c r="T226" i="1"/>
  <c r="L226" i="1"/>
  <c r="J226" i="1"/>
  <c r="N226" i="1"/>
  <c r="H226" i="1"/>
  <c r="I226" i="1"/>
  <c r="P226" i="1"/>
  <c r="O226" i="1"/>
  <c r="N288" i="1"/>
  <c r="O288" i="1"/>
  <c r="P288" i="1"/>
  <c r="J288" i="1"/>
  <c r="L288" i="1"/>
  <c r="H288" i="1"/>
  <c r="M288" i="1"/>
  <c r="I288" i="1"/>
  <c r="K288" i="1"/>
  <c r="N280" i="1"/>
  <c r="H280" i="1"/>
  <c r="I280" i="1"/>
  <c r="J280" i="1"/>
  <c r="M280" i="1"/>
  <c r="O280" i="1"/>
  <c r="K280" i="1"/>
  <c r="L280" i="1"/>
  <c r="P280" i="1"/>
  <c r="J121" i="1"/>
  <c r="K121" i="1"/>
  <c r="N121" i="1"/>
  <c r="P121" i="1"/>
  <c r="M121" i="1"/>
  <c r="I121" i="1"/>
  <c r="S121" i="1"/>
  <c r="H121" i="1"/>
  <c r="L121" i="1"/>
  <c r="K161" i="1"/>
  <c r="S161" i="1"/>
  <c r="L161" i="1"/>
  <c r="P161" i="1"/>
  <c r="N161" i="1"/>
  <c r="H161" i="1"/>
  <c r="M161" i="1"/>
  <c r="I161" i="1"/>
  <c r="J161" i="1"/>
  <c r="S142" i="1"/>
  <c r="I142" i="1"/>
  <c r="L142" i="1"/>
  <c r="K142" i="1"/>
  <c r="N142" i="1"/>
  <c r="P142" i="1"/>
  <c r="J142" i="1"/>
  <c r="H142" i="1"/>
  <c r="M142" i="1"/>
  <c r="I162" i="1"/>
  <c r="N162" i="1"/>
  <c r="P162" i="1"/>
  <c r="J162" i="1"/>
  <c r="H162" i="1"/>
  <c r="M162" i="1"/>
  <c r="K162" i="1"/>
  <c r="L162" i="1"/>
  <c r="S162" i="1"/>
  <c r="J622" i="1"/>
  <c r="H622" i="1"/>
  <c r="I622" i="1"/>
  <c r="N274" i="1"/>
  <c r="O274" i="1"/>
  <c r="P274" i="1"/>
  <c r="L274" i="1"/>
  <c r="I274" i="1"/>
  <c r="H274" i="1"/>
  <c r="K274" i="1"/>
  <c r="J274" i="1"/>
  <c r="M274" i="1"/>
  <c r="M123" i="1"/>
  <c r="K123" i="1"/>
  <c r="S123" i="1"/>
  <c r="L123" i="1"/>
  <c r="J123" i="1"/>
  <c r="N123" i="1"/>
  <c r="I123" i="1"/>
  <c r="H123" i="1"/>
  <c r="P123" i="1"/>
  <c r="H242" i="1"/>
  <c r="L242" i="1"/>
  <c r="J242" i="1"/>
  <c r="P242" i="1"/>
  <c r="K242" i="1"/>
  <c r="S242" i="1"/>
  <c r="O242" i="1"/>
  <c r="I242" i="1"/>
  <c r="Q242" i="1"/>
  <c r="R242" i="1"/>
  <c r="N242" i="1"/>
  <c r="M242" i="1"/>
  <c r="T242" i="1"/>
  <c r="M126" i="1"/>
  <c r="K235" i="1"/>
  <c r="P235" i="1"/>
  <c r="I233" i="1"/>
  <c r="J126" i="1"/>
  <c r="M239" i="1"/>
  <c r="I239" i="1"/>
  <c r="X210" i="1"/>
  <c r="K210" i="1"/>
  <c r="Q210" i="1"/>
  <c r="O210" i="1"/>
  <c r="L210" i="1"/>
  <c r="M210" i="1"/>
  <c r="S210" i="1"/>
  <c r="T210" i="1"/>
  <c r="H210" i="1"/>
  <c r="R210" i="1"/>
  <c r="I210" i="1"/>
  <c r="P210" i="1"/>
  <c r="J210" i="1"/>
  <c r="N210" i="1"/>
  <c r="N244" i="1"/>
  <c r="T244" i="1"/>
  <c r="M244" i="1"/>
  <c r="S244" i="1"/>
  <c r="K244" i="1"/>
  <c r="J244" i="1"/>
  <c r="R244" i="1"/>
  <c r="M275" i="1"/>
  <c r="I275" i="1"/>
  <c r="K275" i="1"/>
  <c r="H275" i="1"/>
  <c r="L275" i="1"/>
  <c r="J275" i="1"/>
  <c r="N275" i="1"/>
  <c r="O275" i="1"/>
  <c r="P275" i="1"/>
  <c r="S153" i="1"/>
  <c r="N153" i="1"/>
  <c r="P153" i="1"/>
  <c r="M153" i="1"/>
  <c r="K153" i="1"/>
  <c r="J153" i="1"/>
  <c r="H153" i="1"/>
  <c r="I153" i="1"/>
  <c r="L153" i="1"/>
  <c r="N124" i="1"/>
  <c r="J124" i="1"/>
  <c r="I124" i="1"/>
  <c r="P124" i="1"/>
  <c r="M124" i="1"/>
  <c r="H124" i="1"/>
  <c r="K124" i="1"/>
  <c r="L124" i="1"/>
  <c r="S124" i="1"/>
  <c r="J140" i="1"/>
  <c r="I140" i="1"/>
  <c r="M140" i="1"/>
  <c r="S140" i="1"/>
  <c r="N140" i="1"/>
  <c r="P140" i="1"/>
  <c r="K140" i="1"/>
  <c r="H140" i="1"/>
  <c r="L140" i="1"/>
  <c r="M128" i="1"/>
  <c r="J128" i="1"/>
  <c r="I128" i="1"/>
  <c r="L128" i="1"/>
  <c r="N128" i="1"/>
  <c r="P128" i="1"/>
  <c r="K128" i="1"/>
  <c r="H619" i="1"/>
  <c r="J619" i="1"/>
  <c r="J374" i="1"/>
  <c r="I374" i="1"/>
  <c r="H374" i="1"/>
  <c r="K146" i="1"/>
  <c r="H146" i="1"/>
  <c r="J146" i="1"/>
  <c r="L145" i="1"/>
  <c r="P145" i="1"/>
  <c r="J145" i="1"/>
  <c r="L235" i="1"/>
  <c r="J155" i="1"/>
  <c r="N155" i="1"/>
  <c r="S155" i="1"/>
  <c r="H155" i="1"/>
  <c r="I155" i="1"/>
  <c r="P155" i="1"/>
  <c r="L155" i="1"/>
  <c r="M155" i="1"/>
  <c r="K155" i="1"/>
  <c r="L159" i="1"/>
  <c r="N159" i="1"/>
  <c r="M159" i="1"/>
  <c r="J159" i="1"/>
  <c r="P159" i="1"/>
  <c r="S159" i="1"/>
  <c r="K159" i="1"/>
  <c r="H159" i="1"/>
  <c r="I159" i="1"/>
  <c r="H134" i="1"/>
  <c r="K134" i="1"/>
  <c r="J134" i="1"/>
  <c r="N134" i="1"/>
  <c r="P134" i="1"/>
  <c r="I134" i="1"/>
  <c r="M134" i="1"/>
  <c r="L134" i="1"/>
  <c r="S134" i="1"/>
  <c r="H235" i="1"/>
  <c r="K126" i="1"/>
  <c r="S145" i="1"/>
  <c r="O239" i="1"/>
  <c r="X224" i="1"/>
  <c r="O224" i="1"/>
  <c r="Q224" i="1"/>
  <c r="S224" i="1"/>
  <c r="H224" i="1"/>
  <c r="R224" i="1"/>
  <c r="T224" i="1"/>
  <c r="J224" i="1"/>
  <c r="I224" i="1"/>
  <c r="K224" i="1"/>
  <c r="L224" i="1"/>
  <c r="M224" i="1"/>
  <c r="P224" i="1"/>
  <c r="N224" i="1"/>
  <c r="X203" i="1"/>
  <c r="O203" i="1"/>
  <c r="S203" i="1"/>
  <c r="Q203" i="1"/>
  <c r="R203" i="1"/>
  <c r="K203" i="1"/>
  <c r="L203" i="1"/>
  <c r="I203" i="1"/>
  <c r="H203" i="1"/>
  <c r="P203" i="1"/>
  <c r="M203" i="1"/>
  <c r="N203" i="1"/>
  <c r="J203" i="1"/>
  <c r="T203" i="1"/>
  <c r="L166" i="1"/>
  <c r="S166" i="1"/>
  <c r="M166" i="1"/>
  <c r="P166" i="1"/>
  <c r="J166" i="1"/>
  <c r="N166" i="1"/>
  <c r="H166" i="1"/>
  <c r="I166" i="1"/>
  <c r="K166" i="1"/>
  <c r="N148" i="1"/>
  <c r="I148" i="1"/>
  <c r="J148" i="1"/>
  <c r="K148" i="1"/>
  <c r="P148" i="1"/>
  <c r="H148" i="1"/>
  <c r="L148" i="1"/>
  <c r="S148" i="1"/>
  <c r="M148" i="1"/>
  <c r="J158" i="1"/>
  <c r="M158" i="1"/>
  <c r="S158" i="1"/>
  <c r="P158" i="1"/>
  <c r="H158" i="1"/>
  <c r="H131" i="1"/>
  <c r="J131" i="1"/>
  <c r="K131" i="1"/>
  <c r="I131" i="1"/>
  <c r="H623" i="1"/>
  <c r="I623" i="1"/>
  <c r="J623" i="1"/>
  <c r="J366" i="1"/>
  <c r="I366" i="1"/>
  <c r="H366" i="1"/>
  <c r="X214" i="1"/>
  <c r="K214" i="1"/>
  <c r="I214" i="1"/>
  <c r="S214" i="1"/>
  <c r="T214" i="1"/>
  <c r="L214" i="1"/>
  <c r="J214" i="1"/>
  <c r="Q214" i="1"/>
  <c r="R214" i="1"/>
  <c r="O214" i="1"/>
  <c r="H214" i="1"/>
  <c r="N214" i="1"/>
  <c r="M214" i="1"/>
  <c r="P214" i="1"/>
  <c r="J368" i="1"/>
  <c r="I368" i="1"/>
  <c r="H368" i="1"/>
  <c r="H279" i="1"/>
  <c r="K279" i="1"/>
  <c r="O279" i="1"/>
  <c r="L279" i="1"/>
  <c r="N279" i="1"/>
  <c r="P279" i="1"/>
  <c r="M279" i="1"/>
  <c r="J279" i="1"/>
  <c r="I279" i="1"/>
  <c r="I459" i="1"/>
  <c r="J378" i="1"/>
  <c r="I378" i="1"/>
  <c r="H378" i="1"/>
  <c r="J358" i="1"/>
  <c r="I358" i="1"/>
  <c r="H358" i="1"/>
  <c r="J370" i="1"/>
  <c r="I370" i="1"/>
  <c r="H370" i="1"/>
  <c r="X198" i="1"/>
  <c r="M198" i="1"/>
  <c r="P198" i="1"/>
  <c r="L198" i="1"/>
  <c r="O198" i="1"/>
  <c r="S198" i="1"/>
  <c r="Q198" i="1"/>
  <c r="R198" i="1"/>
  <c r="T198" i="1"/>
  <c r="K198" i="1"/>
  <c r="I198" i="1"/>
  <c r="J198" i="1"/>
  <c r="N198" i="1"/>
  <c r="H198" i="1"/>
  <c r="J357" i="1"/>
  <c r="I357" i="1"/>
  <c r="H357" i="1"/>
  <c r="J376" i="1"/>
  <c r="I376" i="1"/>
  <c r="H376" i="1"/>
  <c r="J359" i="1"/>
  <c r="I359" i="1"/>
  <c r="H359" i="1"/>
  <c r="P450" i="1"/>
  <c r="O450" i="1"/>
  <c r="G450" i="1"/>
  <c r="N450" i="1"/>
  <c r="M450" i="1"/>
  <c r="L450" i="1"/>
  <c r="S450" i="1"/>
  <c r="K450" i="1"/>
  <c r="Q450" i="1"/>
  <c r="J450" i="1"/>
  <c r="H450" i="1"/>
  <c r="F450" i="1"/>
  <c r="R450" i="1"/>
  <c r="Q455" i="1"/>
  <c r="P455" i="1"/>
  <c r="O455" i="1"/>
  <c r="H455" i="1"/>
  <c r="F455" i="1"/>
  <c r="N455" i="1"/>
  <c r="M455" i="1"/>
  <c r="L455" i="1"/>
  <c r="S455" i="1"/>
  <c r="K455" i="1"/>
  <c r="R455" i="1"/>
  <c r="J455" i="1"/>
  <c r="G455" i="1"/>
  <c r="H287" i="1"/>
  <c r="M287" i="1"/>
  <c r="I287" i="1"/>
  <c r="N287" i="1"/>
  <c r="K287" i="1"/>
  <c r="L287" i="1"/>
  <c r="J287" i="1"/>
  <c r="O287" i="1"/>
  <c r="P287" i="1"/>
  <c r="Q206" i="1"/>
  <c r="R206" i="1"/>
  <c r="X206" i="1"/>
  <c r="L206" i="1"/>
  <c r="N206" i="1"/>
  <c r="H206" i="1"/>
  <c r="I206" i="1"/>
  <c r="S206" i="1"/>
  <c r="J206" i="1"/>
  <c r="O206" i="1"/>
  <c r="K206" i="1"/>
  <c r="M206" i="1"/>
  <c r="P206" i="1"/>
  <c r="T206" i="1"/>
  <c r="J353" i="1"/>
  <c r="I353" i="1"/>
  <c r="H353" i="1"/>
  <c r="J372" i="1"/>
  <c r="I372" i="1"/>
  <c r="H372" i="1"/>
  <c r="J355" i="1"/>
  <c r="I355" i="1"/>
  <c r="H355" i="1"/>
  <c r="M451" i="1"/>
  <c r="L451" i="1"/>
  <c r="S451" i="1"/>
  <c r="K451" i="1"/>
  <c r="G451" i="1"/>
  <c r="R451" i="1"/>
  <c r="J451" i="1"/>
  <c r="Q451" i="1"/>
  <c r="P451" i="1"/>
  <c r="N451" i="1"/>
  <c r="H451" i="1"/>
  <c r="F451" i="1"/>
  <c r="O451" i="1"/>
  <c r="O453" i="1"/>
  <c r="H453" i="1"/>
  <c r="F453" i="1"/>
  <c r="N453" i="1"/>
  <c r="M453" i="1"/>
  <c r="L453" i="1"/>
  <c r="S453" i="1"/>
  <c r="K453" i="1"/>
  <c r="G453" i="1"/>
  <c r="R453" i="1"/>
  <c r="J453" i="1"/>
  <c r="Q453" i="1"/>
  <c r="P453" i="1"/>
  <c r="X197" i="1"/>
  <c r="N197" i="1"/>
  <c r="H197" i="1"/>
  <c r="J197" i="1"/>
  <c r="Q197" i="1"/>
  <c r="L197" i="1"/>
  <c r="S197" i="1"/>
  <c r="I197" i="1"/>
  <c r="R197" i="1"/>
  <c r="O197" i="1"/>
  <c r="K197" i="1"/>
  <c r="M197" i="1"/>
  <c r="T197" i="1"/>
  <c r="P197" i="1"/>
  <c r="J204" i="1"/>
  <c r="I204" i="1"/>
  <c r="S204" i="1"/>
  <c r="T204" i="1"/>
  <c r="X204" i="1"/>
  <c r="P204" i="1"/>
  <c r="Q204" i="1"/>
  <c r="O204" i="1"/>
  <c r="N204" i="1"/>
  <c r="H204" i="1"/>
  <c r="L204" i="1"/>
  <c r="K204" i="1"/>
  <c r="M204" i="1"/>
  <c r="R204" i="1"/>
  <c r="N282" i="1"/>
  <c r="M282" i="1"/>
  <c r="O282" i="1"/>
  <c r="P282" i="1"/>
  <c r="L282" i="1"/>
  <c r="K282" i="1"/>
  <c r="J282" i="1"/>
  <c r="H282" i="1"/>
  <c r="I282" i="1"/>
  <c r="S212" i="1"/>
  <c r="T212" i="1"/>
  <c r="X212" i="1"/>
  <c r="O212" i="1"/>
  <c r="Q212" i="1"/>
  <c r="K212" i="1"/>
  <c r="L212" i="1"/>
  <c r="P212" i="1"/>
  <c r="N212" i="1"/>
  <c r="H212" i="1"/>
  <c r="R212" i="1"/>
  <c r="I212" i="1"/>
  <c r="J212" i="1"/>
  <c r="M212" i="1"/>
  <c r="J373" i="1"/>
  <c r="I373" i="1"/>
  <c r="H373" i="1"/>
  <c r="J360" i="1"/>
  <c r="I360" i="1"/>
  <c r="H360" i="1"/>
  <c r="J375" i="1"/>
  <c r="I375" i="1"/>
  <c r="H375" i="1"/>
  <c r="P458" i="1"/>
  <c r="O458" i="1"/>
  <c r="G458" i="1"/>
  <c r="N458" i="1"/>
  <c r="M458" i="1"/>
  <c r="L458" i="1"/>
  <c r="S458" i="1"/>
  <c r="K458" i="1"/>
  <c r="R458" i="1"/>
  <c r="J458" i="1"/>
  <c r="Q458" i="1"/>
  <c r="F458" i="1"/>
  <c r="H458" i="1"/>
  <c r="O284" i="1"/>
  <c r="J284" i="1"/>
  <c r="N284" i="1"/>
  <c r="K284" i="1"/>
  <c r="M284" i="1"/>
  <c r="H284" i="1"/>
  <c r="L284" i="1"/>
  <c r="I284" i="1"/>
  <c r="P284" i="1"/>
  <c r="X220" i="1"/>
  <c r="K220" i="1"/>
  <c r="S220" i="1"/>
  <c r="M220" i="1"/>
  <c r="Q220" i="1"/>
  <c r="L220" i="1"/>
  <c r="T220" i="1"/>
  <c r="O220" i="1"/>
  <c r="I220" i="1"/>
  <c r="N220" i="1"/>
  <c r="H220" i="1"/>
  <c r="P220" i="1"/>
  <c r="J220" i="1"/>
  <c r="R220" i="1"/>
  <c r="X221" i="1"/>
  <c r="M221" i="1"/>
  <c r="P221" i="1"/>
  <c r="J221" i="1"/>
  <c r="Q221" i="1"/>
  <c r="O221" i="1"/>
  <c r="S221" i="1"/>
  <c r="L221" i="1"/>
  <c r="R221" i="1"/>
  <c r="N221" i="1"/>
  <c r="K221" i="1"/>
  <c r="H221" i="1"/>
  <c r="I221" i="1"/>
  <c r="T221" i="1"/>
  <c r="J369" i="1"/>
  <c r="I369" i="1"/>
  <c r="H369" i="1"/>
  <c r="J356" i="1"/>
  <c r="I356" i="1"/>
  <c r="H356" i="1"/>
  <c r="J371" i="1"/>
  <c r="I371" i="1"/>
  <c r="H371" i="1"/>
  <c r="F73" i="1"/>
  <c r="O276" i="1"/>
  <c r="H276" i="1"/>
  <c r="I276" i="1"/>
  <c r="J276" i="1"/>
  <c r="L276" i="1"/>
  <c r="N276" i="1"/>
  <c r="P276" i="1"/>
  <c r="K276" i="1"/>
  <c r="M276" i="1"/>
  <c r="I213" i="1"/>
  <c r="X213" i="1"/>
  <c r="N213" i="1"/>
  <c r="S213" i="1"/>
  <c r="T213" i="1"/>
  <c r="J213" i="1"/>
  <c r="K213" i="1"/>
  <c r="Q213" i="1"/>
  <c r="R213" i="1"/>
  <c r="O213" i="1"/>
  <c r="H213" i="1"/>
  <c r="P213" i="1"/>
  <c r="M213" i="1"/>
  <c r="L213" i="1"/>
  <c r="X228" i="1"/>
  <c r="M228" i="1"/>
  <c r="H228" i="1"/>
  <c r="L228" i="1"/>
  <c r="O228" i="1"/>
  <c r="S228" i="1"/>
  <c r="K228" i="1"/>
  <c r="Q228" i="1"/>
  <c r="R228" i="1"/>
  <c r="I228" i="1"/>
  <c r="N228" i="1"/>
  <c r="J228" i="1"/>
  <c r="P228" i="1"/>
  <c r="T228" i="1"/>
  <c r="I229" i="1"/>
  <c r="H229" i="1"/>
  <c r="X229" i="1"/>
  <c r="P229" i="1"/>
  <c r="O229" i="1"/>
  <c r="Q229" i="1"/>
  <c r="K229" i="1"/>
  <c r="N229" i="1"/>
  <c r="R229" i="1"/>
  <c r="S229" i="1"/>
  <c r="T229" i="1"/>
  <c r="M229" i="1"/>
  <c r="J229" i="1"/>
  <c r="L229" i="1"/>
  <c r="J365" i="1"/>
  <c r="I365" i="1"/>
  <c r="H365" i="1"/>
  <c r="J367" i="1"/>
  <c r="I367" i="1"/>
  <c r="H367" i="1"/>
  <c r="M236" i="1"/>
  <c r="O236" i="1"/>
  <c r="N236" i="1"/>
  <c r="L236" i="1"/>
  <c r="S236" i="1"/>
  <c r="J236" i="1"/>
  <c r="P236" i="1"/>
  <c r="I236" i="1"/>
  <c r="H236" i="1"/>
  <c r="Q236" i="1"/>
  <c r="R236" i="1"/>
  <c r="T236" i="1"/>
  <c r="K236" i="1"/>
  <c r="F84" i="1"/>
  <c r="X205" i="1"/>
  <c r="P205" i="1"/>
  <c r="H205" i="1"/>
  <c r="N205" i="1"/>
  <c r="J205" i="1"/>
  <c r="S205" i="1"/>
  <c r="T205" i="1"/>
  <c r="I205" i="1"/>
  <c r="M205" i="1"/>
  <c r="Q205" i="1"/>
  <c r="R205" i="1"/>
  <c r="L205" i="1"/>
  <c r="O205" i="1"/>
  <c r="K205" i="1"/>
  <c r="Q238" i="1"/>
  <c r="I238" i="1"/>
  <c r="N238" i="1"/>
  <c r="M238" i="1"/>
  <c r="L238" i="1"/>
  <c r="S238" i="1"/>
  <c r="J238" i="1"/>
  <c r="O238" i="1"/>
  <c r="P238" i="1"/>
  <c r="T238" i="1"/>
  <c r="R238" i="1"/>
  <c r="K238" i="1"/>
  <c r="H238" i="1"/>
  <c r="Q222" i="1"/>
  <c r="H222" i="1"/>
  <c r="R222" i="1"/>
  <c r="I222" i="1"/>
  <c r="X222" i="1"/>
  <c r="M222" i="1"/>
  <c r="S222" i="1"/>
  <c r="T222" i="1"/>
  <c r="J222" i="1"/>
  <c r="K222" i="1"/>
  <c r="L222" i="1"/>
  <c r="O222" i="1"/>
  <c r="P222" i="1"/>
  <c r="N222" i="1"/>
  <c r="J377" i="1"/>
  <c r="I377" i="1"/>
  <c r="H377" i="1"/>
  <c r="J364" i="1"/>
  <c r="I364" i="1"/>
  <c r="H364" i="1"/>
  <c r="N456" i="1"/>
  <c r="M456" i="1"/>
  <c r="L456" i="1"/>
  <c r="S456" i="1"/>
  <c r="K456" i="1"/>
  <c r="R456" i="1"/>
  <c r="J456" i="1"/>
  <c r="Q456" i="1"/>
  <c r="P456" i="1"/>
  <c r="O456" i="1"/>
  <c r="G456" i="1"/>
  <c r="F456" i="1"/>
  <c r="H456" i="1"/>
  <c r="N232" i="1"/>
  <c r="M232" i="1"/>
  <c r="S232" i="1"/>
  <c r="T232" i="1"/>
  <c r="L232" i="1"/>
  <c r="Q232" i="1"/>
  <c r="R232" i="1"/>
  <c r="J232" i="1"/>
  <c r="O232" i="1"/>
  <c r="H232" i="1"/>
  <c r="P232" i="1"/>
  <c r="I232" i="1"/>
  <c r="K232" i="1"/>
  <c r="J361" i="1"/>
  <c r="I361" i="1"/>
  <c r="H361" i="1"/>
  <c r="J363" i="1"/>
  <c r="I363" i="1"/>
  <c r="H363" i="1"/>
  <c r="M240" i="1"/>
  <c r="N240" i="1"/>
  <c r="L240" i="1"/>
  <c r="S240" i="1"/>
  <c r="T240" i="1"/>
  <c r="K240" i="1"/>
  <c r="Q240" i="1"/>
  <c r="R240" i="1"/>
  <c r="I240" i="1"/>
  <c r="O240" i="1"/>
  <c r="J240" i="1"/>
  <c r="H240" i="1"/>
  <c r="P240" i="1"/>
  <c r="L95" i="1"/>
  <c r="L100" i="1"/>
  <c r="I594" i="1"/>
  <c r="H116" i="1"/>
  <c r="L116" i="1"/>
  <c r="K116" i="1"/>
  <c r="I116" i="1"/>
  <c r="J116" i="1"/>
  <c r="M116" i="1"/>
  <c r="F441" i="1"/>
  <c r="F444" i="1"/>
  <c r="F439" i="1"/>
  <c r="G445" i="1"/>
  <c r="I605" i="1"/>
  <c r="I445" i="1"/>
  <c r="F437" i="1"/>
  <c r="F433" i="1"/>
  <c r="J445" i="1"/>
  <c r="F435" i="1"/>
  <c r="F436" i="1"/>
  <c r="M605" i="1"/>
  <c r="F440" i="1"/>
  <c r="M70" i="1"/>
  <c r="F438" i="1"/>
  <c r="M68" i="1"/>
  <c r="Q567" i="1"/>
  <c r="H605" i="1"/>
  <c r="M67" i="1"/>
  <c r="M71" i="1"/>
  <c r="M72" i="1"/>
  <c r="M73" i="1"/>
  <c r="L567" i="1"/>
  <c r="H445" i="1"/>
  <c r="L445" i="1"/>
  <c r="K567" i="1"/>
  <c r="K445" i="1"/>
  <c r="F442" i="1"/>
  <c r="M567" i="1"/>
  <c r="F443" i="1"/>
  <c r="O567" i="1"/>
  <c r="F432" i="1"/>
  <c r="T567" i="1"/>
  <c r="H567" i="1"/>
  <c r="I567" i="1"/>
  <c r="P478" i="1"/>
  <c r="O478" i="1"/>
  <c r="F467" i="1"/>
  <c r="J567" i="1"/>
  <c r="S567" i="1"/>
  <c r="P567" i="1"/>
  <c r="R567" i="1"/>
  <c r="N567" i="1"/>
  <c r="H478" i="1"/>
  <c r="K11" i="1"/>
  <c r="L11" i="1"/>
  <c r="Q478" i="1"/>
  <c r="K605" i="1"/>
  <c r="F470" i="1"/>
  <c r="I454" i="1"/>
  <c r="I452" i="1"/>
  <c r="J605" i="1"/>
  <c r="N478" i="1"/>
  <c r="M478" i="1"/>
  <c r="I457" i="1"/>
  <c r="S478" i="1"/>
  <c r="I478" i="1"/>
  <c r="I449" i="1"/>
  <c r="F472" i="1"/>
  <c r="R478" i="1"/>
  <c r="F469" i="1"/>
  <c r="F471" i="1"/>
  <c r="J478" i="1"/>
  <c r="K21" i="4"/>
  <c r="K478" i="1"/>
  <c r="F474" i="1"/>
  <c r="F475" i="1"/>
  <c r="F476" i="1"/>
  <c r="Q460" i="1"/>
  <c r="Q461" i="1"/>
  <c r="L478" i="1"/>
  <c r="F468" i="1"/>
  <c r="G478" i="1"/>
  <c r="F477" i="1"/>
  <c r="N460" i="1"/>
  <c r="N461" i="1"/>
  <c r="M108" i="1"/>
  <c r="N108" i="1"/>
  <c r="H460" i="1"/>
  <c r="H461" i="1"/>
  <c r="J460" i="1"/>
  <c r="J461" i="1"/>
  <c r="P460" i="1"/>
  <c r="P461" i="1"/>
  <c r="I619" i="1"/>
  <c r="H625" i="1"/>
  <c r="I625" i="1"/>
  <c r="N109" i="1"/>
  <c r="J196" i="1"/>
  <c r="S357" i="1"/>
  <c r="R357" i="1"/>
  <c r="I455" i="1"/>
  <c r="O460" i="1"/>
  <c r="O461" i="1"/>
  <c r="S356" i="1"/>
  <c r="R356" i="1"/>
  <c r="K460" i="1"/>
  <c r="Q196" i="1"/>
  <c r="I456" i="1"/>
  <c r="N273" i="1"/>
  <c r="I458" i="1"/>
  <c r="S196" i="1"/>
  <c r="S354" i="1"/>
  <c r="R354" i="1"/>
  <c r="R460" i="1"/>
  <c r="R461" i="1"/>
  <c r="M460" i="1"/>
  <c r="M461" i="1"/>
  <c r="S460" i="1"/>
  <c r="S461" i="1"/>
  <c r="M273" i="1"/>
  <c r="T12" i="1"/>
  <c r="I453" i="1"/>
  <c r="S355" i="1"/>
  <c r="R355" i="1"/>
  <c r="F460" i="1"/>
  <c r="F461" i="1"/>
  <c r="L273" i="1"/>
  <c r="I450" i="1"/>
  <c r="R196" i="1"/>
  <c r="L21" i="4"/>
  <c r="O273" i="1"/>
  <c r="S353" i="1"/>
  <c r="R353" i="1"/>
  <c r="L460" i="1"/>
  <c r="L461" i="1"/>
  <c r="R277" i="1"/>
  <c r="T274" i="1"/>
  <c r="T275" i="1"/>
  <c r="T276" i="1"/>
  <c r="T277" i="1"/>
  <c r="T278" i="1"/>
  <c r="T279" i="1"/>
  <c r="R275" i="1"/>
  <c r="P273" i="1"/>
  <c r="R278" i="1"/>
  <c r="R276" i="1"/>
  <c r="R274" i="1"/>
  <c r="T196" i="1"/>
  <c r="I451" i="1"/>
  <c r="G460" i="1"/>
  <c r="G461" i="1"/>
  <c r="M111" i="1"/>
  <c r="F445" i="1"/>
  <c r="F478" i="1"/>
  <c r="M110" i="1"/>
  <c r="I460" i="1"/>
  <c r="I461" i="1"/>
  <c r="K461" i="1"/>
  <c r="S352" i="1"/>
  <c r="AE21" i="4"/>
  <c r="M21" i="4"/>
  <c r="R352" i="1"/>
  <c r="S358" i="1"/>
  <c r="AF21" i="4"/>
  <c r="AG21" i="4"/>
  <c r="R358" i="1"/>
  <c r="T352" i="1"/>
  <c r="T353" i="1"/>
  <c r="T354" i="1"/>
  <c r="T355" i="1"/>
  <c r="T357" i="1"/>
  <c r="T356" i="1"/>
  <c r="AD19" i="4"/>
  <c r="B21"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J151" i="4"/>
  <c r="T151" i="4"/>
  <c r="K151" i="4"/>
  <c r="L151" i="4"/>
  <c r="P151" i="4"/>
  <c r="O151" i="4"/>
  <c r="U151" i="4"/>
  <c r="Q151" i="4"/>
  <c r="M151" i="4"/>
  <c r="D151" i="4"/>
  <c r="G151" i="4"/>
  <c r="E151" i="4"/>
  <c r="A151" i="4"/>
  <c r="J150" i="4"/>
  <c r="L150" i="4"/>
  <c r="P150" i="4"/>
  <c r="O150" i="4"/>
  <c r="T150" i="4"/>
  <c r="U150" i="4"/>
  <c r="K150" i="4"/>
  <c r="Q150" i="4"/>
  <c r="M150" i="4"/>
  <c r="A150" i="4"/>
  <c r="G150" i="4"/>
  <c r="D150" i="4"/>
  <c r="E150" i="4"/>
  <c r="J149" i="4"/>
  <c r="M149" i="4"/>
  <c r="P149" i="4"/>
  <c r="T149" i="4"/>
  <c r="L149" i="4"/>
  <c r="U149" i="4"/>
  <c r="Q149" i="4"/>
  <c r="O149" i="4"/>
  <c r="K149" i="4"/>
  <c r="E149" i="4"/>
  <c r="D149" i="4"/>
  <c r="A149" i="4"/>
  <c r="G149" i="4"/>
  <c r="J148" i="4"/>
  <c r="Q148" i="4"/>
  <c r="M148" i="4"/>
  <c r="T148" i="4"/>
  <c r="O148" i="4"/>
  <c r="K148" i="4"/>
  <c r="P148" i="4"/>
  <c r="L148" i="4"/>
  <c r="U148" i="4"/>
  <c r="D148" i="4"/>
  <c r="A148" i="4"/>
  <c r="G148" i="4"/>
  <c r="E148" i="4"/>
  <c r="J147" i="4"/>
  <c r="Q147" i="4"/>
  <c r="P147" i="4"/>
  <c r="O147" i="4"/>
  <c r="M147" i="4"/>
  <c r="K147" i="4"/>
  <c r="U147" i="4"/>
  <c r="T147" i="4"/>
  <c r="L147" i="4"/>
  <c r="D147" i="4"/>
  <c r="A147" i="4"/>
  <c r="G147" i="4"/>
  <c r="E147" i="4"/>
  <c r="J146" i="4"/>
  <c r="K146" i="4"/>
  <c r="Q146" i="4"/>
  <c r="U146" i="4"/>
  <c r="P146" i="4"/>
  <c r="O146" i="4"/>
  <c r="T146" i="4"/>
  <c r="M146" i="4"/>
  <c r="L146" i="4"/>
  <c r="J145" i="4"/>
  <c r="O145" i="4"/>
  <c r="U145" i="4"/>
  <c r="M145" i="4"/>
  <c r="L145" i="4"/>
  <c r="T145" i="4"/>
  <c r="P145" i="4"/>
  <c r="Q145" i="4"/>
  <c r="K145" i="4"/>
  <c r="D146" i="4"/>
  <c r="E146" i="4"/>
  <c r="A146" i="4"/>
  <c r="G146" i="4"/>
  <c r="J144" i="4"/>
  <c r="K144" i="4"/>
  <c r="O144" i="4"/>
  <c r="U144" i="4"/>
  <c r="M144" i="4"/>
  <c r="L144" i="4"/>
  <c r="P144" i="4"/>
  <c r="Q144" i="4"/>
  <c r="T144" i="4"/>
  <c r="A145" i="4"/>
  <c r="G145" i="4"/>
  <c r="D145" i="4"/>
  <c r="E145" i="4"/>
  <c r="J143" i="4"/>
  <c r="T143" i="4"/>
  <c r="Q143" i="4"/>
  <c r="P143" i="4"/>
  <c r="U143" i="4"/>
  <c r="L143" i="4"/>
  <c r="O143" i="4"/>
  <c r="K143" i="4"/>
  <c r="M143" i="4"/>
  <c r="G144" i="4"/>
  <c r="A144" i="4"/>
  <c r="D144" i="4"/>
  <c r="E144" i="4"/>
  <c r="J142" i="4"/>
  <c r="M142" i="4"/>
  <c r="K142" i="4"/>
  <c r="T142" i="4"/>
  <c r="O142" i="4"/>
  <c r="P142" i="4"/>
  <c r="U142" i="4"/>
  <c r="L142" i="4"/>
  <c r="Q142" i="4"/>
  <c r="E143" i="4"/>
  <c r="A143" i="4"/>
  <c r="D143" i="4"/>
  <c r="G143" i="4"/>
  <c r="J141" i="4"/>
  <c r="L141" i="4"/>
  <c r="M141" i="4"/>
  <c r="O141" i="4"/>
  <c r="U141" i="4"/>
  <c r="T141" i="4"/>
  <c r="P141" i="4"/>
  <c r="Q141" i="4"/>
  <c r="K141" i="4"/>
  <c r="E142" i="4"/>
  <c r="A142" i="4"/>
  <c r="G142" i="4"/>
  <c r="D142" i="4"/>
  <c r="G141" i="4"/>
  <c r="E141" i="4"/>
  <c r="A141" i="4"/>
  <c r="D141" i="4"/>
  <c r="J140" i="4"/>
  <c r="U140" i="4"/>
  <c r="K140" i="4"/>
  <c r="L140" i="4"/>
  <c r="P140" i="4"/>
  <c r="Q140" i="4"/>
  <c r="T140" i="4"/>
  <c r="O140" i="4"/>
  <c r="M140" i="4"/>
  <c r="J139" i="4"/>
  <c r="M139" i="4"/>
  <c r="Q139" i="4"/>
  <c r="O139" i="4"/>
  <c r="P139" i="4"/>
  <c r="T139" i="4"/>
  <c r="L139" i="4"/>
  <c r="K139" i="4"/>
  <c r="U139" i="4"/>
  <c r="E140" i="4"/>
  <c r="D140" i="4"/>
  <c r="A140" i="4"/>
  <c r="G140" i="4"/>
  <c r="D139" i="4"/>
  <c r="E139" i="4"/>
  <c r="A139" i="4"/>
  <c r="G139" i="4"/>
  <c r="J138" i="4"/>
  <c r="P138" i="4"/>
  <c r="K138" i="4"/>
  <c r="U138" i="4"/>
  <c r="O138" i="4"/>
  <c r="T138" i="4"/>
  <c r="Q138" i="4"/>
  <c r="L138" i="4"/>
  <c r="M138" i="4"/>
  <c r="D138" i="4"/>
  <c r="E138" i="4"/>
  <c r="A138" i="4"/>
  <c r="G138" i="4"/>
  <c r="J137" i="4"/>
  <c r="P137" i="4"/>
  <c r="K137" i="4"/>
  <c r="U137" i="4"/>
  <c r="Q137" i="4"/>
  <c r="T137" i="4"/>
  <c r="O137" i="4"/>
  <c r="M137" i="4"/>
  <c r="L137" i="4"/>
  <c r="J136" i="4"/>
  <c r="Q136" i="4"/>
  <c r="K136" i="4"/>
  <c r="L136" i="4"/>
  <c r="M136" i="4"/>
  <c r="O136" i="4"/>
  <c r="T136" i="4"/>
  <c r="U136" i="4"/>
  <c r="P136" i="4"/>
  <c r="D137" i="4"/>
  <c r="G137" i="4"/>
  <c r="A137" i="4"/>
  <c r="E137" i="4"/>
  <c r="E136" i="4"/>
  <c r="D136" i="4"/>
  <c r="A136" i="4"/>
  <c r="G136" i="4"/>
  <c r="J135" i="4"/>
  <c r="T135" i="4"/>
  <c r="Q135" i="4"/>
  <c r="M135" i="4"/>
  <c r="P135" i="4"/>
  <c r="U135" i="4"/>
  <c r="K135" i="4"/>
  <c r="L135" i="4"/>
  <c r="O135" i="4"/>
  <c r="D135" i="4"/>
  <c r="A135" i="4"/>
  <c r="G135" i="4"/>
  <c r="E135" i="4"/>
  <c r="J134" i="4"/>
  <c r="L134" i="4"/>
  <c r="Q134" i="4"/>
  <c r="O134" i="4"/>
  <c r="P134" i="4"/>
  <c r="K134" i="4"/>
  <c r="M134" i="4"/>
  <c r="T134" i="4"/>
  <c r="U134" i="4"/>
  <c r="J133" i="4"/>
  <c r="K133" i="4"/>
  <c r="Q133" i="4"/>
  <c r="O133" i="4"/>
  <c r="M133" i="4"/>
  <c r="L133" i="4"/>
  <c r="T133" i="4"/>
  <c r="U133" i="4"/>
  <c r="P133" i="4"/>
  <c r="D134" i="4"/>
  <c r="E134" i="4"/>
  <c r="G134" i="4"/>
  <c r="A134" i="4"/>
  <c r="J132" i="4"/>
  <c r="U132" i="4"/>
  <c r="L132" i="4"/>
  <c r="Q132" i="4"/>
  <c r="O132" i="4"/>
  <c r="K132" i="4"/>
  <c r="T132" i="4"/>
  <c r="P132" i="4"/>
  <c r="M132" i="4"/>
  <c r="D133" i="4"/>
  <c r="G133" i="4"/>
  <c r="E133" i="4"/>
  <c r="A133" i="4"/>
  <c r="G132" i="4"/>
  <c r="A132" i="4"/>
  <c r="D132" i="4"/>
  <c r="E132" i="4"/>
  <c r="J131" i="4"/>
  <c r="Q131" i="4"/>
  <c r="L131" i="4"/>
  <c r="U131" i="4"/>
  <c r="P131" i="4"/>
  <c r="K131" i="4"/>
  <c r="M131" i="4"/>
  <c r="O131" i="4"/>
  <c r="T131" i="4"/>
  <c r="J130" i="4"/>
  <c r="T130" i="4"/>
  <c r="U130" i="4"/>
  <c r="K130" i="4"/>
  <c r="L130" i="4"/>
  <c r="P130" i="4"/>
  <c r="Q130" i="4"/>
  <c r="O130" i="4"/>
  <c r="M130" i="4"/>
  <c r="A131" i="4"/>
  <c r="E131" i="4"/>
  <c r="D131" i="4"/>
  <c r="G131" i="4"/>
  <c r="J129" i="4"/>
  <c r="K129" i="4"/>
  <c r="L129" i="4"/>
  <c r="M129" i="4"/>
  <c r="T129" i="4"/>
  <c r="P129" i="4"/>
  <c r="U129" i="4"/>
  <c r="O129" i="4"/>
  <c r="Q129" i="4"/>
  <c r="A130" i="4"/>
  <c r="G130" i="4"/>
  <c r="D130" i="4"/>
  <c r="E130" i="4"/>
  <c r="J128" i="4"/>
  <c r="K128" i="4"/>
  <c r="Q128" i="4"/>
  <c r="O128" i="4"/>
  <c r="P128" i="4"/>
  <c r="T128" i="4"/>
  <c r="U128" i="4"/>
  <c r="M128" i="4"/>
  <c r="L128" i="4"/>
  <c r="G129" i="4"/>
  <c r="E129" i="4"/>
  <c r="D129" i="4"/>
  <c r="A129" i="4"/>
  <c r="J127" i="4"/>
  <c r="O127" i="4"/>
  <c r="K127" i="4"/>
  <c r="U127" i="4"/>
  <c r="L127" i="4"/>
  <c r="M127" i="4"/>
  <c r="Q127" i="4"/>
  <c r="T127" i="4"/>
  <c r="P127" i="4"/>
  <c r="D128" i="4"/>
  <c r="A128" i="4"/>
  <c r="E128" i="4"/>
  <c r="G128" i="4"/>
  <c r="G127" i="4"/>
  <c r="D127" i="4"/>
  <c r="E127" i="4"/>
  <c r="A127" i="4"/>
  <c r="J126" i="4"/>
  <c r="L126" i="4"/>
  <c r="U126" i="4"/>
  <c r="O126" i="4"/>
  <c r="K126" i="4"/>
  <c r="T126" i="4"/>
  <c r="P126" i="4"/>
  <c r="M126" i="4"/>
  <c r="Q126" i="4"/>
  <c r="G126" i="4"/>
  <c r="E126" i="4"/>
  <c r="D126" i="4"/>
  <c r="A126" i="4"/>
  <c r="J125" i="4"/>
  <c r="L125" i="4"/>
  <c r="P125" i="4"/>
  <c r="K125" i="4"/>
  <c r="M125" i="4"/>
  <c r="T125" i="4"/>
  <c r="Q125" i="4"/>
  <c r="U125" i="4"/>
  <c r="O125" i="4"/>
  <c r="G125" i="4"/>
  <c r="D125" i="4"/>
  <c r="E125" i="4"/>
  <c r="A125" i="4"/>
  <c r="J124" i="4"/>
  <c r="T124" i="4"/>
  <c r="L124" i="4"/>
  <c r="P124" i="4"/>
  <c r="Q124" i="4"/>
  <c r="K124" i="4"/>
  <c r="M124" i="4"/>
  <c r="U124" i="4"/>
  <c r="O124" i="4"/>
  <c r="J123" i="4"/>
  <c r="L123" i="4"/>
  <c r="M123" i="4"/>
  <c r="K123" i="4"/>
  <c r="U123" i="4"/>
  <c r="T123" i="4"/>
  <c r="O123" i="4"/>
  <c r="Q123" i="4"/>
  <c r="P123" i="4"/>
  <c r="A124" i="4"/>
  <c r="D124" i="4"/>
  <c r="E124" i="4"/>
  <c r="G124" i="4"/>
  <c r="E123" i="4"/>
  <c r="G123" i="4"/>
  <c r="A123" i="4"/>
  <c r="D123" i="4"/>
  <c r="J122" i="4"/>
  <c r="O122" i="4"/>
  <c r="U122" i="4"/>
  <c r="T122" i="4"/>
  <c r="M122" i="4"/>
  <c r="Q122" i="4"/>
  <c r="K122" i="4"/>
  <c r="L122" i="4"/>
  <c r="P122" i="4"/>
  <c r="E122" i="4"/>
  <c r="D122" i="4"/>
  <c r="A122" i="4"/>
  <c r="G122" i="4"/>
  <c r="J121" i="4"/>
  <c r="P121" i="4"/>
  <c r="O121" i="4"/>
  <c r="T121" i="4"/>
  <c r="K121" i="4"/>
  <c r="L121" i="4"/>
  <c r="U121" i="4"/>
  <c r="Q121" i="4"/>
  <c r="M121" i="4"/>
  <c r="D121" i="4"/>
  <c r="A121" i="4"/>
  <c r="E121" i="4"/>
  <c r="G121" i="4"/>
  <c r="J120" i="4"/>
  <c r="L120" i="4"/>
  <c r="U120" i="4"/>
  <c r="Q120" i="4"/>
  <c r="T120" i="4"/>
  <c r="M120" i="4"/>
  <c r="P120" i="4"/>
  <c r="K120" i="4"/>
  <c r="O120" i="4"/>
  <c r="J119" i="4"/>
  <c r="P119" i="4"/>
  <c r="K119" i="4"/>
  <c r="Q119" i="4"/>
  <c r="O119" i="4"/>
  <c r="U119" i="4"/>
  <c r="L119" i="4"/>
  <c r="M119" i="4"/>
  <c r="T119" i="4"/>
  <c r="E120" i="4"/>
  <c r="D120" i="4"/>
  <c r="G120" i="4"/>
  <c r="A120" i="4"/>
  <c r="E119" i="4"/>
  <c r="D119" i="4"/>
  <c r="A119" i="4"/>
  <c r="G119" i="4"/>
  <c r="J118" i="4"/>
  <c r="U118" i="4"/>
  <c r="K118" i="4"/>
  <c r="Q118" i="4"/>
  <c r="O118" i="4"/>
  <c r="P118" i="4"/>
  <c r="M118" i="4"/>
  <c r="L118" i="4"/>
  <c r="T118" i="4"/>
  <c r="J117" i="4"/>
  <c r="M117" i="4"/>
  <c r="K117" i="4"/>
  <c r="Q117" i="4"/>
  <c r="O117" i="4"/>
  <c r="L117" i="4"/>
  <c r="P117" i="4"/>
  <c r="T117" i="4"/>
  <c r="U117" i="4"/>
  <c r="G118" i="4"/>
  <c r="D118" i="4"/>
  <c r="E118" i="4"/>
  <c r="A118" i="4"/>
  <c r="A117" i="4"/>
  <c r="E117" i="4"/>
  <c r="G117" i="4"/>
  <c r="D117" i="4"/>
  <c r="J116" i="4"/>
  <c r="L116" i="4"/>
  <c r="P116" i="4"/>
  <c r="O116" i="4"/>
  <c r="M116" i="4"/>
  <c r="K116" i="4"/>
  <c r="U116" i="4"/>
  <c r="T116" i="4"/>
  <c r="Q116" i="4"/>
  <c r="G116" i="4"/>
  <c r="E116" i="4"/>
  <c r="A116" i="4"/>
  <c r="D116" i="4"/>
  <c r="J115" i="4"/>
  <c r="L115" i="4"/>
  <c r="P115" i="4"/>
  <c r="K115" i="4"/>
  <c r="O115" i="4"/>
  <c r="T115" i="4"/>
  <c r="U115" i="4"/>
  <c r="M115" i="4"/>
  <c r="Q115" i="4"/>
  <c r="D115" i="4"/>
  <c r="A115" i="4"/>
  <c r="G115" i="4"/>
  <c r="E115" i="4"/>
  <c r="J114" i="4"/>
  <c r="L114" i="4"/>
  <c r="O114" i="4"/>
  <c r="M114" i="4"/>
  <c r="U114" i="4"/>
  <c r="Q114" i="4"/>
  <c r="T114" i="4"/>
  <c r="P114" i="4"/>
  <c r="K114" i="4"/>
  <c r="A114" i="4"/>
  <c r="E114" i="4"/>
  <c r="G114" i="4"/>
  <c r="D114" i="4"/>
  <c r="J113" i="4"/>
  <c r="Q113" i="4"/>
  <c r="K113" i="4"/>
  <c r="P113" i="4"/>
  <c r="O113" i="4"/>
  <c r="T113" i="4"/>
  <c r="L113" i="4"/>
  <c r="U113" i="4"/>
  <c r="M113" i="4"/>
  <c r="J112" i="4"/>
  <c r="K112" i="4"/>
  <c r="L112" i="4"/>
  <c r="Q112" i="4"/>
  <c r="U112" i="4"/>
  <c r="T112" i="4"/>
  <c r="P112" i="4"/>
  <c r="O112" i="4"/>
  <c r="M112" i="4"/>
  <c r="D113" i="4"/>
  <c r="A113" i="4"/>
  <c r="G113" i="4"/>
  <c r="E113" i="4"/>
  <c r="J111" i="4"/>
  <c r="K111" i="4"/>
  <c r="U111" i="4"/>
  <c r="O111" i="4"/>
  <c r="T111" i="4"/>
  <c r="L111" i="4"/>
  <c r="Q111" i="4"/>
  <c r="M111" i="4"/>
  <c r="P111" i="4"/>
  <c r="E112" i="4"/>
  <c r="A112" i="4"/>
  <c r="D112" i="4"/>
  <c r="G112" i="4"/>
  <c r="A111" i="4"/>
  <c r="E111" i="4"/>
  <c r="G111" i="4"/>
  <c r="D111" i="4"/>
  <c r="J110" i="4"/>
  <c r="P110" i="4"/>
  <c r="L110" i="4"/>
  <c r="U110" i="4"/>
  <c r="K110" i="4"/>
  <c r="Q110" i="4"/>
  <c r="M110" i="4"/>
  <c r="T110" i="4"/>
  <c r="O110" i="4"/>
  <c r="J109" i="4"/>
  <c r="O109" i="4"/>
  <c r="U109" i="4"/>
  <c r="Q109" i="4"/>
  <c r="T109" i="4"/>
  <c r="P109" i="4"/>
  <c r="M109" i="4"/>
  <c r="L109" i="4"/>
  <c r="K109" i="4"/>
  <c r="A110" i="4"/>
  <c r="E110" i="4"/>
  <c r="D110" i="4"/>
  <c r="G110" i="4"/>
  <c r="J108" i="4"/>
  <c r="L108" i="4"/>
  <c r="Q108" i="4"/>
  <c r="U108" i="4"/>
  <c r="T108" i="4"/>
  <c r="P108" i="4"/>
  <c r="K108" i="4"/>
  <c r="O108" i="4"/>
  <c r="M108" i="4"/>
  <c r="E109" i="4"/>
  <c r="G109" i="4"/>
  <c r="D109" i="4"/>
  <c r="A109" i="4"/>
  <c r="J107" i="4"/>
  <c r="M107" i="4"/>
  <c r="T107" i="4"/>
  <c r="Q107" i="4"/>
  <c r="O107" i="4"/>
  <c r="K107" i="4"/>
  <c r="P107" i="4"/>
  <c r="L107" i="4"/>
  <c r="U107" i="4"/>
  <c r="E108" i="4"/>
  <c r="D108" i="4"/>
  <c r="G108" i="4"/>
  <c r="A108" i="4"/>
  <c r="A107" i="4"/>
  <c r="E107" i="4"/>
  <c r="D107" i="4"/>
  <c r="G107" i="4"/>
  <c r="J106" i="4"/>
  <c r="M106" i="4"/>
  <c r="T106" i="4"/>
  <c r="K106" i="4"/>
  <c r="P106" i="4"/>
  <c r="U106" i="4"/>
  <c r="O106" i="4"/>
  <c r="Q106" i="4"/>
  <c r="L106" i="4"/>
  <c r="G106" i="4"/>
  <c r="E106" i="4"/>
  <c r="D106" i="4"/>
  <c r="A106" i="4"/>
  <c r="J105" i="4"/>
  <c r="Q105" i="4"/>
  <c r="M105" i="4"/>
  <c r="K105" i="4"/>
  <c r="L105" i="4"/>
  <c r="U105" i="4"/>
  <c r="T105" i="4"/>
  <c r="P105" i="4"/>
  <c r="O105" i="4"/>
  <c r="J104" i="4"/>
  <c r="M104" i="4"/>
  <c r="K104" i="4"/>
  <c r="U104" i="4"/>
  <c r="P104" i="4"/>
  <c r="T104" i="4"/>
  <c r="O104" i="4"/>
  <c r="Q104" i="4"/>
  <c r="L104" i="4"/>
  <c r="D105" i="4"/>
  <c r="E105" i="4"/>
  <c r="A105" i="4"/>
  <c r="G105" i="4"/>
  <c r="A104" i="4"/>
  <c r="D104" i="4"/>
  <c r="E104" i="4"/>
  <c r="G104" i="4"/>
  <c r="J103" i="4"/>
  <c r="U103" i="4"/>
  <c r="P103" i="4"/>
  <c r="Q103" i="4"/>
  <c r="K103" i="4"/>
  <c r="M103" i="4"/>
  <c r="O103" i="4"/>
  <c r="T103" i="4"/>
  <c r="L103" i="4"/>
  <c r="J102" i="4"/>
  <c r="O102" i="4"/>
  <c r="U102" i="4"/>
  <c r="P102" i="4"/>
  <c r="L102" i="4"/>
  <c r="Q102" i="4"/>
  <c r="T102" i="4"/>
  <c r="K102" i="4"/>
  <c r="M102" i="4"/>
  <c r="G103" i="4"/>
  <c r="E103" i="4"/>
  <c r="D103" i="4"/>
  <c r="A103" i="4"/>
  <c r="A102" i="4"/>
  <c r="D102" i="4"/>
  <c r="G102" i="4"/>
  <c r="E102" i="4"/>
  <c r="J101" i="4"/>
  <c r="T101" i="4"/>
  <c r="K101" i="4"/>
  <c r="Q101" i="4"/>
  <c r="M101" i="4"/>
  <c r="P101" i="4"/>
  <c r="L101" i="4"/>
  <c r="U101" i="4"/>
  <c r="O101" i="4"/>
  <c r="D101" i="4"/>
  <c r="G101" i="4"/>
  <c r="A101" i="4"/>
  <c r="E101" i="4"/>
  <c r="J100" i="4"/>
  <c r="T100" i="4"/>
  <c r="L100" i="4"/>
  <c r="K100" i="4"/>
  <c r="O100" i="4"/>
  <c r="U100" i="4"/>
  <c r="P100" i="4"/>
  <c r="M100" i="4"/>
  <c r="Q100" i="4"/>
  <c r="G100" i="4"/>
  <c r="D100" i="4"/>
  <c r="E100" i="4"/>
  <c r="A100" i="4"/>
  <c r="J99" i="4"/>
  <c r="P99" i="4"/>
  <c r="U99" i="4"/>
  <c r="L99" i="4"/>
  <c r="O99" i="4"/>
  <c r="K99" i="4"/>
  <c r="M99" i="4"/>
  <c r="T99" i="4"/>
  <c r="Q99" i="4"/>
  <c r="J98" i="4"/>
  <c r="M98" i="4"/>
  <c r="Q98" i="4"/>
  <c r="U98" i="4"/>
  <c r="K98" i="4"/>
  <c r="O98" i="4"/>
  <c r="T98" i="4"/>
  <c r="L98" i="4"/>
  <c r="P98" i="4"/>
  <c r="D99" i="4"/>
  <c r="A99" i="4"/>
  <c r="G99" i="4"/>
  <c r="E99" i="4"/>
  <c r="J97" i="4"/>
  <c r="M97" i="4"/>
  <c r="Q97" i="4"/>
  <c r="U97" i="4"/>
  <c r="P97" i="4"/>
  <c r="T97" i="4"/>
  <c r="L97" i="4"/>
  <c r="O97" i="4"/>
  <c r="K97" i="4"/>
  <c r="A98" i="4"/>
  <c r="D98" i="4"/>
  <c r="E98" i="4"/>
  <c r="G98" i="4"/>
  <c r="A97" i="4"/>
  <c r="E97" i="4"/>
  <c r="D97" i="4"/>
  <c r="G97" i="4"/>
  <c r="J96" i="4"/>
  <c r="L96" i="4"/>
  <c r="U96" i="4"/>
  <c r="P96" i="4"/>
  <c r="M96" i="4"/>
  <c r="T96" i="4"/>
  <c r="K96" i="4"/>
  <c r="Q96" i="4"/>
  <c r="O96" i="4"/>
  <c r="J95" i="4"/>
  <c r="O95" i="4"/>
  <c r="K95" i="4"/>
  <c r="L95" i="4"/>
  <c r="Q95" i="4"/>
  <c r="P95" i="4"/>
  <c r="U95" i="4"/>
  <c r="M95" i="4"/>
  <c r="T95" i="4"/>
  <c r="A96" i="4"/>
  <c r="E96" i="4"/>
  <c r="G96" i="4"/>
  <c r="D96" i="4"/>
  <c r="E95" i="4"/>
  <c r="A95" i="4"/>
  <c r="D95" i="4"/>
  <c r="G95" i="4"/>
  <c r="J94" i="4"/>
  <c r="K94" i="4"/>
  <c r="M94" i="4"/>
  <c r="U94" i="4"/>
  <c r="P94" i="4"/>
  <c r="O94" i="4"/>
  <c r="T94" i="4"/>
  <c r="Q94" i="4"/>
  <c r="L94" i="4"/>
  <c r="D94" i="4"/>
  <c r="G94" i="4"/>
  <c r="E94" i="4"/>
  <c r="A94" i="4"/>
  <c r="J93" i="4"/>
  <c r="U93" i="4"/>
  <c r="T93" i="4"/>
  <c r="L93" i="4"/>
  <c r="M93" i="4"/>
  <c r="Q93" i="4"/>
  <c r="P93" i="4"/>
  <c r="K93" i="4"/>
  <c r="O93" i="4"/>
  <c r="A93" i="4"/>
  <c r="G93" i="4"/>
  <c r="D93" i="4"/>
  <c r="E93" i="4"/>
  <c r="AD22" i="4"/>
  <c r="AH22" i="4"/>
  <c r="AD23" i="4"/>
  <c r="AP24" i="4"/>
  <c r="AE22" i="4"/>
  <c r="AF22" i="4"/>
  <c r="AG22" i="4"/>
  <c r="AH23" i="4"/>
  <c r="AD24" i="4"/>
  <c r="AP32" i="4"/>
  <c r="AE23" i="4"/>
  <c r="AF23" i="4"/>
  <c r="AG23" i="4"/>
  <c r="AH24" i="4"/>
  <c r="AD25" i="4"/>
  <c r="AP37" i="4"/>
  <c r="AE24" i="4"/>
  <c r="AF24" i="4"/>
  <c r="AG24" i="4"/>
  <c r="AH25" i="4"/>
  <c r="AD26" i="4"/>
  <c r="AP38" i="4"/>
  <c r="AE25" i="4"/>
  <c r="AF25" i="4"/>
  <c r="AG25" i="4"/>
  <c r="AH26" i="4"/>
  <c r="AD27" i="4"/>
  <c r="AP41" i="4"/>
  <c r="AE26" i="4"/>
  <c r="AF26" i="4"/>
  <c r="AG26" i="4"/>
  <c r="AH27" i="4"/>
  <c r="AD28" i="4"/>
  <c r="AP50" i="4"/>
  <c r="AE27" i="4"/>
  <c r="AF27" i="4"/>
  <c r="AG27" i="4"/>
  <c r="AH28" i="4"/>
  <c r="AD29" i="4"/>
  <c r="AP51" i="4"/>
  <c r="AE28" i="4"/>
  <c r="AF28" i="4"/>
  <c r="AG28" i="4"/>
  <c r="AH29" i="4"/>
  <c r="AD30" i="4"/>
  <c r="AP54" i="4"/>
  <c r="AE29" i="4"/>
  <c r="AF29" i="4"/>
  <c r="AG29" i="4"/>
  <c r="AH30" i="4"/>
  <c r="AD31" i="4"/>
  <c r="AP56" i="4"/>
  <c r="AE30" i="4"/>
  <c r="AF30" i="4"/>
  <c r="AG30" i="4"/>
  <c r="AH31" i="4"/>
  <c r="AD32" i="4"/>
  <c r="AP57" i="4"/>
  <c r="AE31" i="4"/>
  <c r="AF31" i="4"/>
  <c r="AG31" i="4"/>
  <c r="AH32" i="4"/>
  <c r="AD33" i="4"/>
  <c r="AP59" i="4"/>
  <c r="AE32" i="4"/>
  <c r="AF32" i="4"/>
  <c r="AG32" i="4"/>
  <c r="AH33" i="4"/>
  <c r="AD34" i="4"/>
  <c r="AP61" i="4"/>
  <c r="AE33" i="4"/>
  <c r="AF33" i="4"/>
  <c r="AG33" i="4"/>
  <c r="AH34" i="4"/>
  <c r="G92" i="4"/>
  <c r="G91" i="4"/>
  <c r="G90" i="4"/>
  <c r="AP62" i="4"/>
  <c r="AE34" i="4"/>
  <c r="G89" i="4"/>
  <c r="E89" i="4"/>
  <c r="E90" i="4"/>
  <c r="E91" i="4"/>
  <c r="E92" i="4"/>
  <c r="G88" i="4"/>
  <c r="G87" i="4"/>
  <c r="G86" i="4"/>
  <c r="G85" i="4"/>
  <c r="G84" i="4"/>
  <c r="G83" i="4"/>
  <c r="G82" i="4"/>
  <c r="G81" i="4"/>
  <c r="G80" i="4"/>
  <c r="G79" i="4"/>
  <c r="G78" i="4"/>
  <c r="G77" i="4"/>
  <c r="G76" i="4"/>
  <c r="G75" i="4"/>
  <c r="G74" i="4"/>
  <c r="G73" i="4"/>
  <c r="G72" i="4"/>
  <c r="G71" i="4"/>
  <c r="G70" i="4"/>
  <c r="G69" i="4"/>
  <c r="G68" i="4"/>
  <c r="G67" i="4"/>
  <c r="G66" i="4"/>
  <c r="G65" i="4"/>
  <c r="G64" i="4"/>
  <c r="G63" i="4"/>
  <c r="G62" i="4"/>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AF34" i="4"/>
  <c r="J92" i="4"/>
  <c r="J89" i="4"/>
  <c r="K89" i="4"/>
  <c r="AN21" i="4"/>
  <c r="AN22" i="4"/>
  <c r="AN23" i="4"/>
  <c r="AN24" i="4"/>
  <c r="AN25" i="4"/>
  <c r="AN26" i="4"/>
  <c r="AN27" i="4"/>
  <c r="AN28" i="4"/>
  <c r="AN29" i="4"/>
  <c r="AN30" i="4"/>
  <c r="AN31" i="4"/>
  <c r="AN32" i="4"/>
  <c r="AN33" i="4"/>
  <c r="AN34" i="4"/>
  <c r="AN35" i="4"/>
  <c r="AN36" i="4"/>
  <c r="AN37" i="4"/>
  <c r="AN38" i="4"/>
  <c r="AN39" i="4"/>
  <c r="AN40" i="4"/>
  <c r="AN41" i="4"/>
  <c r="AN42" i="4"/>
  <c r="AN43" i="4"/>
  <c r="AN44" i="4"/>
  <c r="AN45" i="4"/>
  <c r="AN46" i="4"/>
  <c r="AN47" i="4"/>
  <c r="AN48" i="4"/>
  <c r="AN49" i="4"/>
  <c r="AN50" i="4"/>
  <c r="AN51" i="4"/>
  <c r="AN52" i="4"/>
  <c r="AN53" i="4"/>
  <c r="AN54" i="4"/>
  <c r="AN55" i="4"/>
  <c r="AN56" i="4"/>
  <c r="AN57" i="4"/>
  <c r="AN58" i="4"/>
  <c r="AN59" i="4"/>
  <c r="AN60" i="4"/>
  <c r="AN61" i="4"/>
  <c r="AN62" i="4"/>
  <c r="AN63" i="4"/>
  <c r="J90" i="4"/>
  <c r="K90" i="4"/>
  <c r="J91" i="4"/>
  <c r="K91" i="4"/>
  <c r="K92" i="4"/>
  <c r="O92" i="4"/>
  <c r="L89" i="4"/>
  <c r="L90" i="4"/>
  <c r="L91" i="4"/>
  <c r="L92" i="4"/>
  <c r="P92" i="4"/>
  <c r="T89" i="4"/>
  <c r="T90" i="4"/>
  <c r="T91" i="4"/>
  <c r="T92" i="4"/>
  <c r="M89" i="4"/>
  <c r="M90" i="4"/>
  <c r="M91" i="4"/>
  <c r="M92" i="4"/>
  <c r="U89" i="4"/>
  <c r="G22" i="4"/>
  <c r="E22" i="4"/>
  <c r="E23" i="4"/>
  <c r="J23" i="4"/>
  <c r="T23" i="4"/>
  <c r="E24" i="4"/>
  <c r="J24" i="4"/>
  <c r="T24" i="4"/>
  <c r="E25" i="4"/>
  <c r="J25" i="4"/>
  <c r="T25" i="4"/>
  <c r="E26" i="4"/>
  <c r="J26" i="4"/>
  <c r="T26" i="4"/>
  <c r="J27" i="4"/>
  <c r="T27" i="4"/>
  <c r="E27" i="4"/>
  <c r="E28" i="4"/>
  <c r="J28" i="4"/>
  <c r="T28" i="4"/>
  <c r="E29" i="4"/>
  <c r="J29" i="4"/>
  <c r="T29" i="4"/>
  <c r="E30" i="4"/>
  <c r="J30" i="4"/>
  <c r="T30" i="4"/>
  <c r="E31" i="4"/>
  <c r="J31" i="4"/>
  <c r="T31" i="4"/>
  <c r="E32" i="4"/>
  <c r="J32" i="4"/>
  <c r="T32" i="4"/>
  <c r="E33" i="4"/>
  <c r="J33" i="4"/>
  <c r="T33" i="4"/>
  <c r="E34" i="4"/>
  <c r="J34" i="4"/>
  <c r="T34" i="4"/>
  <c r="E35" i="4"/>
  <c r="J35" i="4"/>
  <c r="T35" i="4"/>
  <c r="E36" i="4"/>
  <c r="J36" i="4"/>
  <c r="T36" i="4"/>
  <c r="J37" i="4"/>
  <c r="T37" i="4"/>
  <c r="E37" i="4"/>
  <c r="E38" i="4"/>
  <c r="J38" i="4"/>
  <c r="T38" i="4"/>
  <c r="E39" i="4"/>
  <c r="J39" i="4"/>
  <c r="T39" i="4"/>
  <c r="E40" i="4"/>
  <c r="J40" i="4"/>
  <c r="T40" i="4"/>
  <c r="E41" i="4"/>
  <c r="J41" i="4"/>
  <c r="T41" i="4"/>
  <c r="E42" i="4"/>
  <c r="J42" i="4"/>
  <c r="T42" i="4"/>
  <c r="E43" i="4"/>
  <c r="J43" i="4"/>
  <c r="T43" i="4"/>
  <c r="J44" i="4"/>
  <c r="T44" i="4"/>
  <c r="E44" i="4"/>
  <c r="E45" i="4"/>
  <c r="J45" i="4"/>
  <c r="T45" i="4"/>
  <c r="E46" i="4"/>
  <c r="J46" i="4"/>
  <c r="T46" i="4"/>
  <c r="J47" i="4"/>
  <c r="T47" i="4"/>
  <c r="E47" i="4"/>
  <c r="E48" i="4"/>
  <c r="J48" i="4"/>
  <c r="T48" i="4"/>
  <c r="E49" i="4"/>
  <c r="J49" i="4"/>
  <c r="T49" i="4"/>
  <c r="E50" i="4"/>
  <c r="J50" i="4"/>
  <c r="T50" i="4"/>
  <c r="E51" i="4"/>
  <c r="J51" i="4"/>
  <c r="T51" i="4"/>
  <c r="J52" i="4"/>
  <c r="T52" i="4"/>
  <c r="E52" i="4"/>
  <c r="E53" i="4"/>
  <c r="J53" i="4"/>
  <c r="T53" i="4"/>
  <c r="E54" i="4"/>
  <c r="J54" i="4"/>
  <c r="T54" i="4"/>
  <c r="E55" i="4"/>
  <c r="J55" i="4"/>
  <c r="T55" i="4"/>
  <c r="E56" i="4"/>
  <c r="J56" i="4"/>
  <c r="T56" i="4"/>
  <c r="E57" i="4"/>
  <c r="J57" i="4"/>
  <c r="T57" i="4"/>
  <c r="E58" i="4"/>
  <c r="J58" i="4"/>
  <c r="T58" i="4"/>
  <c r="E59" i="4"/>
  <c r="J59" i="4"/>
  <c r="T59" i="4"/>
  <c r="E60" i="4"/>
  <c r="J60" i="4"/>
  <c r="T60" i="4"/>
  <c r="E61" i="4"/>
  <c r="J61" i="4"/>
  <c r="T61" i="4"/>
  <c r="E62" i="4"/>
  <c r="J62" i="4"/>
  <c r="T62" i="4"/>
  <c r="J63" i="4"/>
  <c r="T63" i="4"/>
  <c r="E63" i="4"/>
  <c r="E64" i="4"/>
  <c r="J64" i="4"/>
  <c r="T64" i="4"/>
  <c r="E65" i="4"/>
  <c r="J65" i="4"/>
  <c r="T65" i="4"/>
  <c r="J66" i="4"/>
  <c r="T66" i="4"/>
  <c r="E66" i="4"/>
  <c r="E67" i="4"/>
  <c r="J67" i="4"/>
  <c r="T67" i="4"/>
  <c r="E68" i="4"/>
  <c r="J68" i="4"/>
  <c r="T68" i="4"/>
  <c r="E69" i="4"/>
  <c r="J69" i="4"/>
  <c r="T69" i="4"/>
  <c r="E70" i="4"/>
  <c r="J70" i="4"/>
  <c r="T70" i="4"/>
  <c r="J71" i="4"/>
  <c r="T71" i="4"/>
  <c r="E71" i="4"/>
  <c r="E72" i="4"/>
  <c r="J72" i="4"/>
  <c r="T72" i="4"/>
  <c r="E73" i="4"/>
  <c r="J73" i="4"/>
  <c r="T73" i="4"/>
  <c r="E74" i="4"/>
  <c r="J74" i="4"/>
  <c r="T74" i="4"/>
  <c r="J75" i="4"/>
  <c r="T75" i="4"/>
  <c r="E75" i="4"/>
  <c r="E76" i="4"/>
  <c r="J76" i="4"/>
  <c r="T76" i="4"/>
  <c r="E77" i="4"/>
  <c r="J77" i="4"/>
  <c r="T77" i="4"/>
  <c r="J78" i="4"/>
  <c r="T78" i="4"/>
  <c r="E78" i="4"/>
  <c r="E79" i="4"/>
  <c r="J79" i="4"/>
  <c r="T79" i="4"/>
  <c r="E80" i="4"/>
  <c r="J80" i="4"/>
  <c r="T80" i="4"/>
  <c r="E81" i="4"/>
  <c r="J81" i="4"/>
  <c r="T81" i="4"/>
  <c r="J82" i="4"/>
  <c r="T82" i="4"/>
  <c r="E82" i="4"/>
  <c r="E83" i="4"/>
  <c r="J83" i="4"/>
  <c r="T83" i="4"/>
  <c r="E84" i="4"/>
  <c r="J84" i="4"/>
  <c r="T84" i="4"/>
  <c r="E85" i="4"/>
  <c r="J85" i="4"/>
  <c r="T85" i="4"/>
  <c r="J86" i="4"/>
  <c r="T86" i="4"/>
  <c r="E86" i="4"/>
  <c r="E87" i="4"/>
  <c r="J87" i="4"/>
  <c r="T87" i="4"/>
  <c r="E88" i="4"/>
  <c r="J88" i="4"/>
  <c r="T88" i="4"/>
  <c r="T21" i="4"/>
  <c r="U90" i="4"/>
  <c r="U91" i="4"/>
  <c r="U92" i="4"/>
  <c r="Q92" i="4"/>
  <c r="Q91" i="4"/>
  <c r="P91" i="4"/>
  <c r="O91" i="4"/>
  <c r="A92" i="4"/>
  <c r="O90" i="4"/>
  <c r="P90" i="4"/>
  <c r="Q90" i="4"/>
  <c r="A91" i="4"/>
  <c r="Q89" i="4"/>
  <c r="P89" i="4"/>
  <c r="O89" i="4"/>
  <c r="A90" i="4"/>
  <c r="U86" i="4"/>
  <c r="U87" i="4"/>
  <c r="U88" i="4"/>
  <c r="L86" i="4"/>
  <c r="L87" i="4"/>
  <c r="L88" i="4"/>
  <c r="P88" i="4"/>
  <c r="M86" i="4"/>
  <c r="M87" i="4"/>
  <c r="M88" i="4"/>
  <c r="Q88" i="4"/>
  <c r="K86" i="4"/>
  <c r="K87" i="4"/>
  <c r="K88" i="4"/>
  <c r="O88" i="4"/>
  <c r="A89" i="4"/>
  <c r="O87" i="4"/>
  <c r="P87" i="4"/>
  <c r="Q87" i="4"/>
  <c r="A88" i="4"/>
  <c r="A87" i="4"/>
  <c r="P86" i="4"/>
  <c r="O86" i="4"/>
  <c r="Q86" i="4"/>
  <c r="M82" i="4"/>
  <c r="M83" i="4"/>
  <c r="M84" i="4"/>
  <c r="M85" i="4"/>
  <c r="Q85" i="4"/>
  <c r="L82" i="4"/>
  <c r="L83" i="4"/>
  <c r="L84" i="4"/>
  <c r="L85" i="4"/>
  <c r="P85" i="4"/>
  <c r="U82" i="4"/>
  <c r="U83" i="4"/>
  <c r="U84" i="4"/>
  <c r="U85" i="4"/>
  <c r="K82" i="4"/>
  <c r="K83" i="4"/>
  <c r="K84" i="4"/>
  <c r="K85" i="4"/>
  <c r="O85" i="4"/>
  <c r="A86" i="4"/>
  <c r="A85" i="4"/>
  <c r="O84" i="4"/>
  <c r="Q84" i="4"/>
  <c r="P84" i="4"/>
  <c r="A84" i="4"/>
  <c r="Q83" i="4"/>
  <c r="O83" i="4"/>
  <c r="P83" i="4"/>
  <c r="O82" i="4"/>
  <c r="P82" i="4"/>
  <c r="Q82" i="4"/>
  <c r="A83" i="4"/>
  <c r="A82" i="4"/>
  <c r="U78" i="4"/>
  <c r="U79" i="4"/>
  <c r="U80" i="4"/>
  <c r="U81" i="4"/>
  <c r="K78" i="4"/>
  <c r="K79" i="4"/>
  <c r="K80" i="4"/>
  <c r="K81" i="4"/>
  <c r="O81" i="4"/>
  <c r="L78" i="4"/>
  <c r="L79" i="4"/>
  <c r="L80" i="4"/>
  <c r="L81" i="4"/>
  <c r="P81" i="4"/>
  <c r="M78" i="4"/>
  <c r="M79" i="4"/>
  <c r="M80" i="4"/>
  <c r="M81" i="4"/>
  <c r="Q81" i="4"/>
  <c r="P80" i="4"/>
  <c r="O80" i="4"/>
  <c r="Q80" i="4"/>
  <c r="A81" i="4"/>
  <c r="P79" i="4"/>
  <c r="Q79" i="4"/>
  <c r="O79" i="4"/>
  <c r="A80" i="4"/>
  <c r="P78" i="4"/>
  <c r="O78" i="4"/>
  <c r="Q78" i="4"/>
  <c r="A79" i="4"/>
  <c r="U71" i="4"/>
  <c r="U72" i="4"/>
  <c r="U73" i="4"/>
  <c r="U74" i="4"/>
  <c r="U75" i="4"/>
  <c r="U66" i="4"/>
  <c r="U67" i="4"/>
  <c r="U68" i="4"/>
  <c r="U69" i="4"/>
  <c r="U70" i="4"/>
  <c r="U63" i="4"/>
  <c r="U64" i="4"/>
  <c r="U65" i="4"/>
  <c r="U52" i="4"/>
  <c r="U53" i="4"/>
  <c r="U54" i="4"/>
  <c r="U55" i="4"/>
  <c r="U56" i="4"/>
  <c r="U57" i="4"/>
  <c r="U58" i="4"/>
  <c r="U59" i="4"/>
  <c r="U60" i="4"/>
  <c r="U61" i="4"/>
  <c r="U62" i="4"/>
  <c r="U47" i="4"/>
  <c r="U48" i="4"/>
  <c r="U49" i="4"/>
  <c r="U50" i="4"/>
  <c r="U51" i="4"/>
  <c r="U44" i="4"/>
  <c r="U45" i="4"/>
  <c r="U46" i="4"/>
  <c r="U42" i="4"/>
  <c r="U41" i="4"/>
  <c r="U40" i="4"/>
  <c r="U39" i="4"/>
  <c r="U37" i="4"/>
  <c r="U38" i="4"/>
  <c r="U43" i="4"/>
  <c r="U35" i="4"/>
  <c r="U34" i="4"/>
  <c r="U33" i="4"/>
  <c r="U24" i="4"/>
  <c r="U23" i="4"/>
  <c r="U25" i="4"/>
  <c r="U26" i="4"/>
  <c r="U31" i="4"/>
  <c r="U32" i="4"/>
  <c r="U27" i="4"/>
  <c r="U28" i="4"/>
  <c r="U29" i="4"/>
  <c r="U30" i="4"/>
  <c r="U36" i="4"/>
  <c r="U76" i="4"/>
  <c r="U77" i="4"/>
  <c r="M75" i="4"/>
  <c r="M76" i="4"/>
  <c r="M77" i="4"/>
  <c r="L75" i="4"/>
  <c r="L76" i="4"/>
  <c r="L77" i="4"/>
  <c r="K75" i="4"/>
  <c r="K76" i="4"/>
  <c r="K77" i="4"/>
  <c r="O77" i="4"/>
  <c r="Q77" i="4"/>
  <c r="P77" i="4"/>
  <c r="A78" i="4"/>
  <c r="Q75" i="4"/>
  <c r="O75" i="4"/>
  <c r="P75" i="4"/>
  <c r="Q76" i="4"/>
  <c r="P76" i="4"/>
  <c r="O76" i="4"/>
  <c r="A77" i="4"/>
  <c r="A76" i="4"/>
  <c r="A75" i="4"/>
  <c r="K71" i="4"/>
  <c r="K72" i="4"/>
  <c r="K73" i="4"/>
  <c r="K74" i="4"/>
  <c r="O74" i="4"/>
  <c r="M71" i="4"/>
  <c r="M72" i="4"/>
  <c r="M73" i="4"/>
  <c r="M74" i="4"/>
  <c r="Q74" i="4"/>
  <c r="L71" i="4"/>
  <c r="L72" i="4"/>
  <c r="L73" i="4"/>
  <c r="L74" i="4"/>
  <c r="P74" i="4"/>
  <c r="P73" i="4"/>
  <c r="Q73" i="4"/>
  <c r="A74" i="4"/>
  <c r="O73" i="4"/>
  <c r="Q72" i="4"/>
  <c r="P72" i="4"/>
  <c r="O72" i="4"/>
  <c r="O71" i="4"/>
  <c r="Q71" i="4"/>
  <c r="P71" i="4"/>
  <c r="A73" i="4"/>
  <c r="K66" i="4"/>
  <c r="K67" i="4"/>
  <c r="K68" i="4"/>
  <c r="K69" i="4"/>
  <c r="K70" i="4"/>
  <c r="O70" i="4"/>
  <c r="M66" i="4"/>
  <c r="M67" i="4"/>
  <c r="M68" i="4"/>
  <c r="M69" i="4"/>
  <c r="M70" i="4"/>
  <c r="Q70" i="4"/>
  <c r="L66" i="4"/>
  <c r="L67" i="4"/>
  <c r="L68" i="4"/>
  <c r="L69" i="4"/>
  <c r="L70" i="4"/>
  <c r="P70" i="4"/>
  <c r="A72" i="4"/>
  <c r="O69" i="4"/>
  <c r="A71" i="4"/>
  <c r="A70" i="4"/>
  <c r="Q69" i="4"/>
  <c r="P69" i="4"/>
  <c r="Q68" i="4"/>
  <c r="O68" i="4"/>
  <c r="P68" i="4"/>
  <c r="A69" i="4"/>
  <c r="P67" i="4"/>
  <c r="Q67" i="4"/>
  <c r="O67" i="4"/>
  <c r="A68" i="4"/>
  <c r="P66" i="4"/>
  <c r="O66" i="4"/>
  <c r="Q66" i="4"/>
  <c r="A67" i="4"/>
  <c r="M63" i="4"/>
  <c r="M64" i="4"/>
  <c r="M65" i="4"/>
  <c r="Q65" i="4"/>
  <c r="K63" i="4"/>
  <c r="K64" i="4"/>
  <c r="K65" i="4"/>
  <c r="O65" i="4"/>
  <c r="A66" i="4"/>
  <c r="O64" i="4"/>
  <c r="Q64" i="4"/>
  <c r="L63" i="4"/>
  <c r="L64" i="4"/>
  <c r="L65" i="4"/>
  <c r="P65" i="4"/>
  <c r="A65" i="4"/>
  <c r="P64" i="4"/>
  <c r="P63" i="4"/>
  <c r="O63" i="4"/>
  <c r="Q63" i="4"/>
  <c r="M52" i="4"/>
  <c r="M53" i="4"/>
  <c r="M54" i="4"/>
  <c r="M55" i="4"/>
  <c r="M56" i="4"/>
  <c r="M57" i="4"/>
  <c r="M58" i="4"/>
  <c r="M59" i="4"/>
  <c r="M60" i="4"/>
  <c r="M61" i="4"/>
  <c r="M62" i="4"/>
  <c r="Q62" i="4"/>
  <c r="L52" i="4"/>
  <c r="L53" i="4"/>
  <c r="L54" i="4"/>
  <c r="L55" i="4"/>
  <c r="L56" i="4"/>
  <c r="L57" i="4"/>
  <c r="L58" i="4"/>
  <c r="L59" i="4"/>
  <c r="L60" i="4"/>
  <c r="L61" i="4"/>
  <c r="L62" i="4"/>
  <c r="P62" i="4"/>
  <c r="K52" i="4"/>
  <c r="K53" i="4"/>
  <c r="K54" i="4"/>
  <c r="K55" i="4"/>
  <c r="K56" i="4"/>
  <c r="K57" i="4"/>
  <c r="K58" i="4"/>
  <c r="K59" i="4"/>
  <c r="K60" i="4"/>
  <c r="K61" i="4"/>
  <c r="K62" i="4"/>
  <c r="O62" i="4"/>
  <c r="A64" i="4"/>
  <c r="A63" i="4"/>
  <c r="O61" i="4"/>
  <c r="P61" i="4"/>
  <c r="Q61" i="4"/>
  <c r="A62" i="4"/>
  <c r="O60" i="4"/>
  <c r="Q60" i="4"/>
  <c r="P60" i="4"/>
  <c r="A61" i="4"/>
  <c r="Q59" i="4"/>
  <c r="O59" i="4"/>
  <c r="P59" i="4"/>
  <c r="A60" i="4"/>
  <c r="O58" i="4"/>
  <c r="Q58" i="4"/>
  <c r="P58" i="4"/>
  <c r="Q57" i="4"/>
  <c r="O57" i="4"/>
  <c r="P57" i="4"/>
  <c r="A58" i="4"/>
  <c r="A59" i="4"/>
  <c r="O56" i="4"/>
  <c r="Q56" i="4"/>
  <c r="A57" i="4"/>
  <c r="P56" i="4"/>
  <c r="Q55" i="4"/>
  <c r="P55" i="4"/>
  <c r="O55" i="4"/>
  <c r="P54" i="4"/>
  <c r="O54" i="4"/>
  <c r="A56" i="4"/>
  <c r="A55" i="4"/>
  <c r="Q54" i="4"/>
  <c r="P53" i="4"/>
  <c r="O53" i="4"/>
  <c r="Q53" i="4"/>
  <c r="A54" i="4"/>
  <c r="P52" i="4"/>
  <c r="O52" i="4"/>
  <c r="Q52" i="4"/>
  <c r="A53" i="4"/>
  <c r="K47" i="4"/>
  <c r="K48" i="4"/>
  <c r="K49" i="4"/>
  <c r="K50" i="4"/>
  <c r="K51" i="4"/>
  <c r="O51" i="4"/>
  <c r="L47" i="4"/>
  <c r="L48" i="4"/>
  <c r="L49" i="4"/>
  <c r="L50" i="4"/>
  <c r="L51" i="4"/>
  <c r="P51" i="4"/>
  <c r="A52" i="4"/>
  <c r="M50" i="4"/>
  <c r="Q50" i="4"/>
  <c r="M47" i="4"/>
  <c r="M48" i="4"/>
  <c r="M49" i="4"/>
  <c r="M51" i="4"/>
  <c r="Q51" i="4"/>
  <c r="O50" i="4"/>
  <c r="A51" i="4"/>
  <c r="Q49" i="4"/>
  <c r="O49" i="4"/>
  <c r="P50" i="4"/>
  <c r="P49" i="4"/>
  <c r="A50" i="4"/>
  <c r="O48" i="4"/>
  <c r="Q48" i="4"/>
  <c r="P48" i="4"/>
  <c r="A49" i="4"/>
  <c r="Q47" i="4"/>
  <c r="P47" i="4"/>
  <c r="O47" i="4"/>
  <c r="A48" i="4"/>
  <c r="M44" i="4"/>
  <c r="M45" i="4"/>
  <c r="M46" i="4"/>
  <c r="Q46" i="4"/>
  <c r="K44" i="4"/>
  <c r="K45" i="4"/>
  <c r="K46" i="4"/>
  <c r="O46" i="4"/>
  <c r="L44" i="4"/>
  <c r="L45" i="4"/>
  <c r="L46" i="4"/>
  <c r="P46" i="4"/>
  <c r="AD35" i="4"/>
  <c r="AD36" i="4"/>
  <c r="AD37" i="4"/>
  <c r="AD38" i="4"/>
  <c r="AD39" i="4"/>
  <c r="AD40" i="4"/>
  <c r="AD41" i="4"/>
  <c r="AD42" i="4"/>
  <c r="AD43" i="4"/>
  <c r="AD44" i="4"/>
  <c r="AD45" i="4"/>
  <c r="AD46" i="4"/>
  <c r="AD47" i="4"/>
  <c r="AD48" i="4"/>
  <c r="AH48" i="4"/>
  <c r="AF48" i="4"/>
  <c r="AE48" i="4"/>
  <c r="AG48" i="4"/>
  <c r="A47" i="4"/>
  <c r="O45" i="4"/>
  <c r="P45" i="4"/>
  <c r="AF47" i="4"/>
  <c r="AG47" i="4"/>
  <c r="AH47" i="4"/>
  <c r="AE47" i="4"/>
  <c r="Q45" i="4"/>
  <c r="AG46" i="4"/>
  <c r="AE46" i="4"/>
  <c r="AH46" i="4"/>
  <c r="AF46" i="4"/>
  <c r="A45" i="4"/>
  <c r="A46" i="4"/>
  <c r="M37" i="4"/>
  <c r="M38" i="4"/>
  <c r="M39" i="4"/>
  <c r="M40" i="4"/>
  <c r="M41" i="4"/>
  <c r="M42" i="4"/>
  <c r="M43" i="4"/>
  <c r="Q43" i="4"/>
  <c r="L37" i="4"/>
  <c r="L38" i="4"/>
  <c r="L39" i="4"/>
  <c r="L40" i="4"/>
  <c r="L41" i="4"/>
  <c r="L42" i="4"/>
  <c r="L43" i="4"/>
  <c r="P43" i="4"/>
  <c r="A44" i="4"/>
  <c r="AH45" i="4"/>
  <c r="AG45" i="4"/>
  <c r="AF45" i="4"/>
  <c r="AE45" i="4"/>
  <c r="Q44" i="4"/>
  <c r="P44" i="4"/>
  <c r="O44" i="4"/>
  <c r="L27" i="4"/>
  <c r="L28" i="4"/>
  <c r="L29" i="4"/>
  <c r="L30" i="4"/>
  <c r="L31" i="4"/>
  <c r="L32" i="4"/>
  <c r="L33" i="4"/>
  <c r="L34" i="4"/>
  <c r="L35" i="4"/>
  <c r="L36" i="4"/>
  <c r="P36" i="4"/>
  <c r="M27" i="4"/>
  <c r="M28" i="4"/>
  <c r="M29" i="4"/>
  <c r="M30" i="4"/>
  <c r="M31" i="4"/>
  <c r="M32" i="4"/>
  <c r="M33" i="4"/>
  <c r="M34" i="4"/>
  <c r="M35" i="4"/>
  <c r="M36" i="4"/>
  <c r="Q36" i="4"/>
  <c r="K27" i="4"/>
  <c r="K28" i="4"/>
  <c r="K29" i="4"/>
  <c r="K30" i="4"/>
  <c r="K31" i="4"/>
  <c r="K32" i="4"/>
  <c r="K33" i="4"/>
  <c r="K34" i="4"/>
  <c r="K35" i="4"/>
  <c r="K36" i="4"/>
  <c r="O36" i="4"/>
  <c r="Q42" i="4"/>
  <c r="P42" i="4"/>
  <c r="K37" i="4"/>
  <c r="K38" i="4"/>
  <c r="K39" i="4"/>
  <c r="K40" i="4"/>
  <c r="K41" i="4"/>
  <c r="K42" i="4"/>
  <c r="K43" i="4"/>
  <c r="O43" i="4"/>
  <c r="AH44" i="4"/>
  <c r="AE44" i="4"/>
  <c r="AG44" i="4"/>
  <c r="AF44" i="4"/>
  <c r="A43" i="4"/>
  <c r="O41" i="4"/>
  <c r="Q41" i="4"/>
  <c r="O35" i="4"/>
  <c r="P35" i="4"/>
  <c r="Q35" i="4"/>
  <c r="O42" i="4"/>
  <c r="AH43" i="4"/>
  <c r="AF43" i="4"/>
  <c r="AE43" i="4"/>
  <c r="AG43" i="4"/>
  <c r="P41" i="4"/>
  <c r="A42" i="4"/>
  <c r="P34" i="4"/>
  <c r="Q34" i="4"/>
  <c r="O34" i="4"/>
  <c r="O40" i="4"/>
  <c r="Q40" i="4"/>
  <c r="A41" i="4"/>
  <c r="AE42" i="4"/>
  <c r="AF42" i="4"/>
  <c r="AG42" i="4"/>
  <c r="AH42" i="4"/>
  <c r="K23" i="4"/>
  <c r="K24" i="4"/>
  <c r="K25" i="4"/>
  <c r="K26" i="4"/>
  <c r="O26" i="4"/>
  <c r="Q27" i="4"/>
  <c r="P27" i="4"/>
  <c r="O33" i="4"/>
  <c r="P33" i="4"/>
  <c r="Q33" i="4"/>
  <c r="P40" i="4"/>
  <c r="O39" i="4"/>
  <c r="P39" i="4"/>
  <c r="AH41" i="4"/>
  <c r="AG41" i="4"/>
  <c r="AE41" i="4"/>
  <c r="AF41" i="4"/>
  <c r="A40" i="4"/>
  <c r="L23" i="4"/>
  <c r="L24" i="4"/>
  <c r="L25" i="4"/>
  <c r="L26" i="4"/>
  <c r="P26" i="4"/>
  <c r="M23" i="4"/>
  <c r="M24" i="4"/>
  <c r="M25" i="4"/>
  <c r="M26" i="4"/>
  <c r="Q26" i="4"/>
  <c r="O27" i="4"/>
  <c r="Q32" i="4"/>
  <c r="O32" i="4"/>
  <c r="P32" i="4"/>
  <c r="P38" i="4"/>
  <c r="O38" i="4"/>
  <c r="Q39" i="4"/>
  <c r="AG40" i="4"/>
  <c r="AF40" i="4"/>
  <c r="AH40" i="4"/>
  <c r="AE40" i="4"/>
  <c r="A39" i="4"/>
  <c r="O25" i="4"/>
  <c r="P25" i="4"/>
  <c r="Q25" i="4"/>
  <c r="P31" i="4"/>
  <c r="O31" i="4"/>
  <c r="Q31" i="4"/>
  <c r="Q38" i="4"/>
  <c r="O37" i="4"/>
  <c r="P37" i="4"/>
  <c r="Q37" i="4"/>
  <c r="AG39" i="4"/>
  <c r="AE39" i="4"/>
  <c r="AH39" i="4"/>
  <c r="AF39" i="4"/>
  <c r="A38" i="4"/>
  <c r="O24" i="4"/>
  <c r="P24" i="4"/>
  <c r="Q24" i="4"/>
  <c r="O30" i="4"/>
  <c r="P30" i="4"/>
  <c r="Q30" i="4"/>
  <c r="O29" i="4"/>
  <c r="P29" i="4"/>
  <c r="O23" i="4"/>
  <c r="P23" i="4"/>
  <c r="AG38" i="4"/>
  <c r="AE38" i="4"/>
  <c r="AF38" i="4"/>
  <c r="AH38" i="4"/>
  <c r="A37" i="4"/>
  <c r="Q29" i="4"/>
  <c r="Q23" i="4"/>
  <c r="AE37" i="4"/>
  <c r="AF37" i="4"/>
  <c r="AH37" i="4"/>
  <c r="AG37" i="4"/>
  <c r="A35" i="4"/>
  <c r="A32" i="4"/>
  <c r="A33" i="4"/>
  <c r="A24" i="4"/>
  <c r="A27" i="4"/>
  <c r="A36" i="4"/>
  <c r="A31" i="4"/>
  <c r="A26" i="4"/>
  <c r="A23" i="4"/>
  <c r="A30" i="4"/>
  <c r="A192" i="4"/>
  <c r="A169" i="4"/>
  <c r="A191" i="4"/>
  <c r="A157" i="4"/>
  <c r="A162" i="4"/>
  <c r="A167" i="4"/>
  <c r="A190" i="4"/>
  <c r="A179" i="4"/>
  <c r="A153" i="4"/>
  <c r="A184" i="4"/>
  <c r="A194" i="4"/>
  <c r="A197" i="4"/>
  <c r="A165" i="4"/>
  <c r="A193" i="4"/>
  <c r="A158" i="4"/>
  <c r="A176" i="4"/>
  <c r="A180" i="4"/>
  <c r="A189" i="4"/>
  <c r="A186" i="4"/>
  <c r="A173" i="4"/>
  <c r="A174" i="4"/>
  <c r="A187" i="4"/>
  <c r="A164" i="4"/>
  <c r="A166" i="4"/>
  <c r="A171" i="4"/>
  <c r="A163" i="4"/>
  <c r="A181" i="4"/>
  <c r="A155" i="4"/>
  <c r="A188" i="4"/>
  <c r="A177" i="4"/>
  <c r="A160" i="4"/>
  <c r="A182" i="4"/>
  <c r="A183" i="4"/>
  <c r="A161" i="4"/>
  <c r="A152" i="4"/>
  <c r="A159" i="4"/>
  <c r="A156" i="4"/>
  <c r="A175" i="4"/>
  <c r="A195" i="4"/>
  <c r="A168" i="4"/>
  <c r="A172" i="4"/>
  <c r="A170" i="4"/>
  <c r="A178" i="4"/>
  <c r="A196" i="4"/>
  <c r="A185" i="4"/>
  <c r="A154" i="4"/>
  <c r="A29" i="4"/>
  <c r="A25" i="4"/>
  <c r="A34" i="4"/>
  <c r="AG36" i="4"/>
  <c r="AE36" i="4"/>
  <c r="AF36" i="4"/>
  <c r="AH36" i="4"/>
  <c r="AG35" i="4"/>
  <c r="AH35" i="4"/>
  <c r="AF35" i="4"/>
  <c r="AE35" i="4"/>
  <c r="AG34" i="4"/>
  <c r="A28" i="4"/>
  <c r="Q28" i="4"/>
  <c r="P28" i="4"/>
  <c r="O28" i="4"/>
  <c r="J22" i="4"/>
  <c r="H20" i="4"/>
</calcChain>
</file>

<file path=xl/sharedStrings.xml><?xml version="1.0" encoding="utf-8"?>
<sst xmlns="http://schemas.openxmlformats.org/spreadsheetml/2006/main" count="1738" uniqueCount="568">
  <si>
    <t>Date</t>
  </si>
  <si>
    <t># Strategies</t>
  </si>
  <si>
    <t>NAV ($MM)</t>
  </si>
  <si>
    <t># Risk Themes</t>
  </si>
  <si>
    <t>Portfolio Overview</t>
  </si>
  <si>
    <t>Gross P/L</t>
  </si>
  <si>
    <t>$MM</t>
  </si>
  <si>
    <t>%NAV</t>
  </si>
  <si>
    <t>Risk</t>
  </si>
  <si>
    <t>Cash</t>
  </si>
  <si>
    <t>Mkt Value</t>
  </si>
  <si>
    <t/>
  </si>
  <si>
    <t>Portfolio Volatility</t>
  </si>
  <si>
    <t>T-bills</t>
  </si>
  <si>
    <t>Long</t>
  </si>
  <si>
    <t>WTD</t>
  </si>
  <si>
    <t>VaR (1M, 95%)</t>
  </si>
  <si>
    <t>Short</t>
  </si>
  <si>
    <t>MTD</t>
  </si>
  <si>
    <t>Extreme Loss (1M)</t>
  </si>
  <si>
    <t>Margin</t>
  </si>
  <si>
    <t>Net</t>
  </si>
  <si>
    <t>Leverage</t>
  </si>
  <si>
    <t>YTD</t>
  </si>
  <si>
    <t>Extreme Loss (Credit)</t>
  </si>
  <si>
    <t>Unencumbered</t>
  </si>
  <si>
    <t>Gross</t>
  </si>
  <si>
    <t>P/L Summary</t>
  </si>
  <si>
    <t>P/L Attribution</t>
  </si>
  <si>
    <t>P/L Contributors</t>
  </si>
  <si>
    <t>Top 5</t>
  </si>
  <si>
    <t>Asset</t>
  </si>
  <si>
    <t>%P/L</t>
  </si>
  <si>
    <t>FX</t>
  </si>
  <si>
    <t>Rates</t>
  </si>
  <si>
    <t>Credit</t>
  </si>
  <si>
    <t>Equity</t>
  </si>
  <si>
    <t>Commodity</t>
  </si>
  <si>
    <t>Total</t>
  </si>
  <si>
    <t>Bottom 5</t>
  </si>
  <si>
    <t>Trade Category</t>
  </si>
  <si>
    <t>Directional</t>
  </si>
  <si>
    <t>Term Structure</t>
  </si>
  <si>
    <t>Basis</t>
  </si>
  <si>
    <t>Carry</t>
  </si>
  <si>
    <t>Volatility</t>
  </si>
  <si>
    <t>Hurdle</t>
  </si>
  <si>
    <t>Hedge</t>
  </si>
  <si>
    <t>Exposure Summary</t>
  </si>
  <si>
    <t>Risk Exposure Contributions</t>
  </si>
  <si>
    <t>Extreme Loss</t>
  </si>
  <si>
    <t>%Risk</t>
  </si>
  <si>
    <t>Liquidity Summary</t>
  </si>
  <si>
    <t>Liquidity Groups</t>
  </si>
  <si>
    <t>%Position Level Volatility</t>
  </si>
  <si>
    <t>Normal Period</t>
  </si>
  <si>
    <t>Stressed Period</t>
  </si>
  <si>
    <t>Impact (%NAV)</t>
  </si>
  <si>
    <t>&lt; 1 Day</t>
  </si>
  <si>
    <t>&lt; 1 Week</t>
  </si>
  <si>
    <t>&gt; 1 Week</t>
  </si>
  <si>
    <t>Volatility, VaR, and Macro Factor Exposures</t>
  </si>
  <si>
    <t>Value at Risk (Weekly, 2 Year)</t>
  </si>
  <si>
    <t>Diversification</t>
  </si>
  <si>
    <t>Confidence</t>
  </si>
  <si>
    <t>Undiversified Volatility</t>
  </si>
  <si>
    <t>Worst Week (last 2y)</t>
  </si>
  <si>
    <t>VaR</t>
  </si>
  <si>
    <t>CVaR</t>
  </si>
  <si>
    <t>VaR (monthly)</t>
  </si>
  <si>
    <t>Avg Correlation</t>
  </si>
  <si>
    <t>Strategy Level Macro Factor Exposures*</t>
  </si>
  <si>
    <t>Contribution</t>
  </si>
  <si>
    <t>Macro Factor Exposure ($k)</t>
  </si>
  <si>
    <t>% NAV</t>
  </si>
  <si>
    <t>MCR</t>
  </si>
  <si>
    <t>% of Risk</t>
  </si>
  <si>
    <t>Portfolio</t>
  </si>
  <si>
    <t>Category</t>
  </si>
  <si>
    <t>DIRECTIONAL</t>
  </si>
  <si>
    <t>RATES</t>
  </si>
  <si>
    <t>CREDIT</t>
  </si>
  <si>
    <t>EQUITY</t>
  </si>
  <si>
    <t>TERM STRUCTURE</t>
  </si>
  <si>
    <t>BASIS</t>
  </si>
  <si>
    <t>CARRY</t>
  </si>
  <si>
    <t>HURDLE RATE</t>
  </si>
  <si>
    <t>HURDLE</t>
  </si>
  <si>
    <t>VOL</t>
  </si>
  <si>
    <t>*</t>
  </si>
  <si>
    <t>Concentration Risk</t>
  </si>
  <si>
    <t>Strategy Level P/L and Concentrations</t>
  </si>
  <si>
    <t>Trade Levels</t>
  </si>
  <si>
    <t>Stop Loss Concentrations</t>
  </si>
  <si>
    <t>Strategy</t>
  </si>
  <si>
    <t>Risk Exposure ($k)</t>
  </si>
  <si>
    <t>Market Value ($k)</t>
  </si>
  <si>
    <t>YTD P/L ($k)</t>
  </si>
  <si>
    <t>Entry</t>
  </si>
  <si>
    <t>Target</t>
  </si>
  <si>
    <t>Current</t>
  </si>
  <si>
    <t>Stop Loss</t>
  </si>
  <si>
    <t>Δ to Stop</t>
  </si>
  <si>
    <t>Prob of Stop (1M)</t>
  </si>
  <si>
    <t>Stop Loss (%NAV)</t>
  </si>
  <si>
    <t>Asset Type</t>
  </si>
  <si>
    <t>Concentration Limits by Risk Theme (Includes Closed Strategies)</t>
  </si>
  <si>
    <t>Concentrations (%NAV)</t>
  </si>
  <si>
    <t>Risk Factor Themes</t>
  </si>
  <si>
    <t>Risk Exposure* ($k)</t>
  </si>
  <si>
    <t>Leverage (turns)**</t>
  </si>
  <si>
    <t>Closed Trades</t>
  </si>
  <si>
    <t>Top 5  Risk Theme Concentrations</t>
  </si>
  <si>
    <t>Risk Theme</t>
  </si>
  <si>
    <t>Risk Exposure Key</t>
  </si>
  <si>
    <t>Delta</t>
  </si>
  <si>
    <t>DV01</t>
  </si>
  <si>
    <t>CR01</t>
  </si>
  <si>
    <t>**</t>
  </si>
  <si>
    <t>Excludes cash</t>
  </si>
  <si>
    <t>Extreme Loss - 1 Month Horizon</t>
  </si>
  <si>
    <t>Component Risk (%NAV)</t>
  </si>
  <si>
    <t>% Risk</t>
  </si>
  <si>
    <t>Comdty</t>
  </si>
  <si>
    <t>Exposure Detail</t>
  </si>
  <si>
    <t>FX Detail</t>
  </si>
  <si>
    <t>Delta ($MM) [+ means long FX, short USD]</t>
  </si>
  <si>
    <t>Non-USD Cross</t>
  </si>
  <si>
    <t>Region</t>
  </si>
  <si>
    <t>G10</t>
  </si>
  <si>
    <t>Latam</t>
  </si>
  <si>
    <t>EMEA</t>
  </si>
  <si>
    <t>Market</t>
  </si>
  <si>
    <t>DM</t>
  </si>
  <si>
    <t>EM</t>
  </si>
  <si>
    <t>Color Key</t>
  </si>
  <si>
    <t>Cash balance exceeds threshold of $0.5MM</t>
  </si>
  <si>
    <t>Vega by Maturity ($k)</t>
  </si>
  <si>
    <t>Currency Pair</t>
  </si>
  <si>
    <t>Theta ($k/Day)</t>
  </si>
  <si>
    <t>Vega ($k)</t>
  </si>
  <si>
    <t>1W</t>
  </si>
  <si>
    <t>2W</t>
  </si>
  <si>
    <t>1M</t>
  </si>
  <si>
    <t>2M</t>
  </si>
  <si>
    <t>3M</t>
  </si>
  <si>
    <t>6M</t>
  </si>
  <si>
    <t>9M</t>
  </si>
  <si>
    <t>1Y</t>
  </si>
  <si>
    <t>2Y</t>
  </si>
  <si>
    <t>5Y</t>
  </si>
  <si>
    <t>Other</t>
  </si>
  <si>
    <t>Rate Detail</t>
  </si>
  <si>
    <t>Key Rates DV01 ($k) [+ means long risk]</t>
  </si>
  <si>
    <t>Sensitivities</t>
  </si>
  <si>
    <t>Currency</t>
  </si>
  <si>
    <t>Total DV01</t>
  </si>
  <si>
    <t>3Y</t>
  </si>
  <si>
    <t>4Y</t>
  </si>
  <si>
    <t>7Y</t>
  </si>
  <si>
    <t>10Y</t>
  </si>
  <si>
    <t>20Y</t>
  </si>
  <si>
    <t>30Y</t>
  </si>
  <si>
    <t>Gamma ($)</t>
  </si>
  <si>
    <t>Credit Detail</t>
  </si>
  <si>
    <t>Key Rates CR01 ($k) [+ means long risk]</t>
  </si>
  <si>
    <t>Issuer</t>
  </si>
  <si>
    <t>Total CR01</t>
  </si>
  <si>
    <t>Issuer Vol (bps/day)</t>
  </si>
  <si>
    <t>Vol Adj CR01 ($k)</t>
  </si>
  <si>
    <t>JTD ($MM)</t>
  </si>
  <si>
    <t>JTD (%NAV)</t>
  </si>
  <si>
    <t>Liquidity</t>
  </si>
  <si>
    <t>Differences</t>
  </si>
  <si>
    <t>Normal</t>
  </si>
  <si>
    <t>Stressed</t>
  </si>
  <si>
    <t>Change</t>
  </si>
  <si>
    <t>Liquidity Impact (Stressed Period Losses - %NAV)</t>
  </si>
  <si>
    <t>Appendix</t>
  </si>
  <si>
    <t>Macro Factor Exposures by Trade Category</t>
  </si>
  <si>
    <t>Worst Week (Last 2y)</t>
  </si>
  <si>
    <t>5Y_MID_CDS_SPREAD</t>
  </si>
  <si>
    <t>5Y CDS</t>
  </si>
  <si>
    <t>JPMCC CDS USD SR 5Y D14 Corp</t>
  </si>
  <si>
    <t>GS CDS USD SR 5Y D14 Corp</t>
  </si>
  <si>
    <t>MS CDS USD SR 5Y D14 Corp</t>
  </si>
  <si>
    <t>BOFA CDS USD SR 5Y D14 Corp</t>
  </si>
  <si>
    <t>WELLFARGO CDS USD SR 5Y D14 Corp</t>
  </si>
  <si>
    <t>CBAR1E5 CURNCY</t>
  </si>
  <si>
    <t>Market Value</t>
  </si>
  <si>
    <r>
      <rPr>
        <b/>
        <u/>
        <sz val="12"/>
        <color theme="1"/>
        <rFont val="Calibri"/>
        <family val="2"/>
        <scheme val="minor"/>
      </rPr>
      <t>Linear Stress Scenarios</t>
    </r>
    <r>
      <rPr>
        <sz val="12"/>
        <color theme="1"/>
        <rFont val="Calibri"/>
        <family val="2"/>
        <scheme val="minor"/>
      </rPr>
      <t>:  Please note that at the request of CPP we have added the historical stress scenarios in the Appendix of the Risk Report.  These historical scenarios are based on linear estimates and can produce questionable results, especially given that the risk factor changes are not adjusted for current levels.  As a result, these stress scenarios are interesting but may not be valuable from a risk perspective.  Going forward we will continue providing them but note that we do not consider these as part of our risk management process.</t>
    </r>
  </si>
  <si>
    <t>Stress Scenarios - Details</t>
  </si>
  <si>
    <t>Scenario P/L ($MM)</t>
  </si>
  <si>
    <t>Scenario P/L (%NAV)</t>
  </si>
  <si>
    <t>Glossary of Risk Terms</t>
  </si>
  <si>
    <t>Disclosure</t>
  </si>
  <si>
    <t>asof</t>
  </si>
  <si>
    <t>mtd_ytd_pnl_by_tag_level_5</t>
  </si>
  <si>
    <t>mtd_ytd_pnl_by_tag_level_4</t>
  </si>
  <si>
    <t>top_5_month</t>
  </si>
  <si>
    <t>bot_5_month</t>
  </si>
  <si>
    <t>top_5_year</t>
  </si>
  <si>
    <t>bot_5_year</t>
  </si>
  <si>
    <t>fx_delta_ccy</t>
  </si>
  <si>
    <t>fx_delta_region</t>
  </si>
  <si>
    <t>fx_delta_market</t>
  </si>
  <si>
    <t>fx_vega</t>
  </si>
  <si>
    <t>rates_dv01_by_ccy</t>
  </si>
  <si>
    <t>rates_dv01_by_region</t>
  </si>
  <si>
    <t>cr01_by_issuer</t>
  </si>
  <si>
    <t>theta_gamma_by_fx_pair</t>
  </si>
  <si>
    <t>theta_gamma_by_rate_ccy</t>
  </si>
  <si>
    <t>Hurdle Rate</t>
  </si>
  <si>
    <t>Vol</t>
  </si>
  <si>
    <t>Em Asia</t>
  </si>
  <si>
    <t>liquidity_by_tag_5</t>
  </si>
  <si>
    <t>stressed_liquidity_by_tag_5</t>
  </si>
  <si>
    <t>Nav</t>
  </si>
  <si>
    <t>portfolio_volatility</t>
  </si>
  <si>
    <t>macro_factor_exposures</t>
  </si>
  <si>
    <t>Corr To Portfolio</t>
  </si>
  <si>
    <t>macro_factors_by_tag_4</t>
  </si>
  <si>
    <t>wtd_pnl</t>
  </si>
  <si>
    <t>no_strategies</t>
  </si>
  <si>
    <t>no_risk_themes</t>
  </si>
  <si>
    <t>portfolio_pnl_by_scenarios</t>
  </si>
  <si>
    <t>worst_week_in_rv</t>
  </si>
  <si>
    <t>volatility_by_tag_4</t>
  </si>
  <si>
    <t>volatility_by_tag_5</t>
  </si>
  <si>
    <t>extreme_loss</t>
  </si>
  <si>
    <t>strategy_level_concentrations</t>
  </si>
  <si>
    <t>theme_level_concentrations</t>
  </si>
  <si>
    <t xml:space="preserve"> Exposure ($k)</t>
  </si>
  <si>
    <t>DO NOT DELETE</t>
  </si>
  <si>
    <t>mcr_tag_5</t>
  </si>
  <si>
    <t>mcr_tag_4</t>
  </si>
  <si>
    <t>mcr_tag_3</t>
  </si>
  <si>
    <t>counterparty_exposures</t>
  </si>
  <si>
    <t>t_bill</t>
  </si>
  <si>
    <t>cash</t>
  </si>
  <si>
    <t>margin</t>
  </si>
  <si>
    <t>theta_gamma_by_rate_region</t>
  </si>
  <si>
    <t>jtd_by_issuer</t>
  </si>
  <si>
    <t>market_value_by_side</t>
  </si>
  <si>
    <t>ytd_pnl_bps</t>
  </si>
  <si>
    <t>1 Day</t>
  </si>
  <si>
    <t>daily_pnl</t>
  </si>
  <si>
    <t>rates_vega_by_ccy</t>
  </si>
  <si>
    <t>At Risk</t>
  </si>
  <si>
    <t>stressed_liquidity_impact</t>
  </si>
  <si>
    <t>FXDelta</t>
  </si>
  <si>
    <t>FXHedge</t>
  </si>
  <si>
    <t>StopLossType</t>
  </si>
  <si>
    <t>extreme_loss_tag4</t>
  </si>
  <si>
    <t>extreme_loss_tag5</t>
  </si>
  <si>
    <t>95_var_weekly</t>
  </si>
  <si>
    <t>95_cvar_weekly</t>
  </si>
  <si>
    <t>99_var_weekly</t>
  </si>
  <si>
    <t>99_cvar_weekly</t>
  </si>
  <si>
    <t>vol_adj_cr01</t>
  </si>
  <si>
    <t>investment_themes</t>
  </si>
  <si>
    <t>Investment Theme</t>
  </si>
  <si>
    <t>CASH MANAGEMENT</t>
  </si>
  <si>
    <t>TBILL</t>
  </si>
  <si>
    <t>EURTRY 5.061/4.44 NOV18 PS</t>
  </si>
  <si>
    <t>USDIDR PUT SPREAD</t>
  </si>
  <si>
    <t>ERZ9 SELLOFF</t>
  </si>
  <si>
    <t>EUR 5-10 CMS CURVE OPT TRIANGLE</t>
  </si>
  <si>
    <t>EUR 7M1Y AND 7M1Y4Y VS 7M5Y DECORRELATION</t>
  </si>
  <si>
    <t>USDRUB OCT18 ONE TOUCH</t>
  </si>
  <si>
    <t>BANKOFCHINA V SOV SPREAD</t>
  </si>
  <si>
    <t>LONG SPX CALLS</t>
  </si>
  <si>
    <t>US CREDIT BASKET</t>
  </si>
  <si>
    <t>US CREDIT DISPERSION</t>
  </si>
  <si>
    <t>LONG USD 3Y30Y VEGA</t>
  </si>
  <si>
    <t>LONG USD 5Y30Y VEGA</t>
  </si>
  <si>
    <t>USDJPY 5Y ATMS CALL</t>
  </si>
  <si>
    <t>USD 30Y SWAP SPREAD</t>
  </si>
  <si>
    <t>USD 1Y2Y1Y MIDCURVE PAYERS</t>
  </si>
  <si>
    <t>tagLevel2</t>
  </si>
  <si>
    <t>investment_theme</t>
  </si>
  <si>
    <t>MarginalContribution</t>
  </si>
  <si>
    <t>Concentration Exposure</t>
  </si>
  <si>
    <t>yearlyPnL</t>
  </si>
  <si>
    <t>Investment Themes</t>
  </si>
  <si>
    <t>Gamma ($MM)</t>
  </si>
  <si>
    <t>Delta ($MM)</t>
  </si>
  <si>
    <t>Counterparty Exposure*</t>
  </si>
  <si>
    <t>num rows specified in DataA180 (in AJ19 on this sheet) needs to be value from output, not a count because if INT issues</t>
  </si>
  <si>
    <t>I have it linked in cell AJ19 here</t>
  </si>
  <si>
    <t>Check my AD19.  This will have the same problem and would be better to have a cell dedicated to unique # themes from python</t>
  </si>
  <si>
    <t>JPM CP is missing from vol table</t>
  </si>
  <si>
    <t>Risk (Contribution to Portfolio)</t>
  </si>
  <si>
    <t>YTD P/L (current strategies only)</t>
  </si>
  <si>
    <t># Inv Themes</t>
  </si>
  <si>
    <t>Concen-tration</t>
  </si>
  <si>
    <t>%PL</t>
  </si>
  <si>
    <t>#</t>
  </si>
  <si>
    <t># Strat</t>
  </si>
  <si>
    <t>Total Lines</t>
  </si>
  <si>
    <t>Theme Start</t>
  </si>
  <si>
    <t>Line #</t>
  </si>
  <si>
    <t>Unique Theme</t>
  </si>
  <si>
    <t>Theme Order</t>
  </si>
  <si>
    <t>tot Lines</t>
  </si>
  <si>
    <t>Inv Theme</t>
  </si>
  <si>
    <t>Strat</t>
  </si>
  <si>
    <t>investment_themes_count</t>
  </si>
  <si>
    <t>rates_vega_by_region</t>
  </si>
  <si>
    <t>EMAsia</t>
  </si>
  <si>
    <t>Historical Stress Scenarios</t>
  </si>
  <si>
    <t>$k</t>
  </si>
  <si>
    <t>*Compounded YTD returns of asset class/trade categories will not sum to YTD compounded returns</t>
  </si>
  <si>
    <t>portfolio_name</t>
  </si>
  <si>
    <r>
      <rPr>
        <b/>
        <sz val="14"/>
        <color theme="1"/>
        <rFont val="Calibri"/>
        <family val="2"/>
        <scheme val="minor"/>
      </rPr>
      <t>Volatility</t>
    </r>
    <r>
      <rPr>
        <sz val="14"/>
        <color theme="1"/>
        <rFont val="Calibri"/>
        <family val="2"/>
        <scheme val="minor"/>
      </rPr>
      <t xml:space="preserve"> - Generally speaking, this is represented as the </t>
    </r>
    <r>
      <rPr>
        <i/>
        <sz val="14"/>
        <color theme="1"/>
        <rFont val="Calibri"/>
        <family val="2"/>
        <scheme val="minor"/>
      </rPr>
      <t>annualized</t>
    </r>
    <r>
      <rPr>
        <sz val="14"/>
        <color theme="1"/>
        <rFont val="Calibri"/>
        <family val="2"/>
        <scheme val="minor"/>
      </rPr>
      <t xml:space="preserve"> standard deviation of returns unless otherwise noted (e.g. daily) and is based on historical return data, looking back 2 years.
</t>
    </r>
    <r>
      <rPr>
        <b/>
        <sz val="14"/>
        <color theme="1"/>
        <rFont val="Calibri"/>
        <family val="2"/>
        <scheme val="minor"/>
      </rPr>
      <t>Value at Risk (VaR)</t>
    </r>
    <r>
      <rPr>
        <sz val="14"/>
        <color theme="1"/>
        <rFont val="Calibri"/>
        <family val="2"/>
        <scheme val="minor"/>
      </rPr>
      <t xml:space="preserve"> - Given a specific time horizon and level of confidence (e.g. 1 week, 95%), this quantifies the largest loss one can expect to incur and is based on historical return data, usually looking back 2 years.
</t>
    </r>
    <r>
      <rPr>
        <b/>
        <sz val="14"/>
        <color theme="1"/>
        <rFont val="Calibri"/>
        <family val="2"/>
        <scheme val="minor"/>
      </rPr>
      <t>Conditional Value at Risk (CVaR)</t>
    </r>
    <r>
      <rPr>
        <sz val="14"/>
        <color theme="1"/>
        <rFont val="Calibri"/>
        <family val="2"/>
        <scheme val="minor"/>
      </rPr>
      <t xml:space="preserve"> - Given a specific time horizon and level of confidence (e.g. 1 week, 95%), this quantifies the largest loss one can expect to incur </t>
    </r>
    <r>
      <rPr>
        <i/>
        <sz val="14"/>
        <color theme="1"/>
        <rFont val="Calibri"/>
        <family val="2"/>
        <scheme val="minor"/>
      </rPr>
      <t xml:space="preserve">assuming that losses go beyond the confidence level </t>
    </r>
    <r>
      <rPr>
        <sz val="14"/>
        <color theme="1"/>
        <rFont val="Calibri"/>
        <family val="2"/>
        <scheme val="minor"/>
      </rPr>
      <t xml:space="preserve">and is based on historical return data, usually looking back 2 years.  
</t>
    </r>
    <r>
      <rPr>
        <b/>
        <sz val="14"/>
        <color theme="1"/>
        <rFont val="Calibri"/>
        <family val="2"/>
        <scheme val="minor"/>
      </rPr>
      <t xml:space="preserve">Extreme Loss </t>
    </r>
    <r>
      <rPr>
        <sz val="14"/>
        <color theme="1"/>
        <rFont val="Calibri"/>
        <family val="2"/>
        <scheme val="minor"/>
      </rPr>
      <t xml:space="preserve">- Describes the loss to a portfolio or sub-portfolio (i.e. asset class or trade category group, etc.) under an extremely draconian scenario.  The extreme loss scenario is chosen such that recent correlations are ignored and the most adverse relationships impact performance in a punitive way over a one month estimation horizon.
</t>
    </r>
    <r>
      <rPr>
        <b/>
        <sz val="14"/>
        <color theme="1"/>
        <rFont val="Calibri"/>
        <family val="2"/>
        <scheme val="minor"/>
      </rPr>
      <t xml:space="preserve">Delta - </t>
    </r>
    <r>
      <rPr>
        <sz val="14"/>
        <color theme="1"/>
        <rFont val="Calibri"/>
        <family val="2"/>
        <scheme val="minor"/>
      </rPr>
      <t xml:space="preserve">Describes a derivative position in an equivalent US dollar amount of its primary underlying risk factor.
</t>
    </r>
    <r>
      <rPr>
        <b/>
        <sz val="14"/>
        <color theme="1"/>
        <rFont val="Calibri"/>
        <family val="2"/>
        <scheme val="minor"/>
      </rPr>
      <t xml:space="preserve">Theta - </t>
    </r>
    <r>
      <rPr>
        <sz val="14"/>
        <color theme="1"/>
        <rFont val="Calibri"/>
        <family val="2"/>
        <scheme val="minor"/>
      </rPr>
      <t xml:space="preserve">Represents the change in value of a derivative position, in US dollars, from the passing of a single day keeping all other risk factors constant.
</t>
    </r>
    <r>
      <rPr>
        <b/>
        <sz val="14"/>
        <color theme="1"/>
        <rFont val="Calibri"/>
        <family val="2"/>
        <scheme val="minor"/>
      </rPr>
      <t>Gamma</t>
    </r>
    <r>
      <rPr>
        <sz val="14"/>
        <color theme="1"/>
        <rFont val="Calibri"/>
        <family val="2"/>
        <scheme val="minor"/>
      </rPr>
      <t xml:space="preserve"> - Represents the change in the </t>
    </r>
    <r>
      <rPr>
        <b/>
        <sz val="14"/>
        <color theme="1"/>
        <rFont val="Calibri"/>
        <family val="2"/>
        <scheme val="minor"/>
      </rPr>
      <t>delta</t>
    </r>
    <r>
      <rPr>
        <sz val="14"/>
        <color theme="1"/>
        <rFont val="Calibri"/>
        <family val="2"/>
        <scheme val="minor"/>
      </rPr>
      <t xml:space="preserve"> equivalent value of a derivative position for a unit change in the underlying risk, keeping all other risk factors constant.
</t>
    </r>
    <r>
      <rPr>
        <b/>
        <sz val="14"/>
        <color theme="1"/>
        <rFont val="Calibri"/>
        <family val="2"/>
        <scheme val="minor"/>
      </rPr>
      <t>Vega</t>
    </r>
    <r>
      <rPr>
        <sz val="14"/>
        <color theme="1"/>
        <rFont val="Calibri"/>
        <family val="2"/>
        <scheme val="minor"/>
      </rPr>
      <t xml:space="preserve"> - Represents the change in the value of a derivative position for a unit change in the volatility of the underlying risk, keeping all other risk factors constant.  In the FX and equity asset classes, this is typically an absolute change in volatility of 1% whereas in the rates space, the metric is for a 1 basis point shift.
</t>
    </r>
    <r>
      <rPr>
        <b/>
        <sz val="14"/>
        <color theme="1"/>
        <rFont val="Calibri"/>
        <family val="2"/>
        <scheme val="minor"/>
      </rPr>
      <t xml:space="preserve">DV01 - </t>
    </r>
    <r>
      <rPr>
        <sz val="14"/>
        <color theme="1"/>
        <rFont val="Calibri"/>
        <family val="2"/>
        <scheme val="minor"/>
      </rPr>
      <t xml:space="preserve">Represents the change in the value of a rates position for a 1 basis point shift in the underlying yield curve.
</t>
    </r>
    <r>
      <rPr>
        <b/>
        <sz val="14"/>
        <color theme="1"/>
        <rFont val="Calibri"/>
        <family val="2"/>
        <scheme val="minor"/>
      </rPr>
      <t xml:space="preserve">10-Year Equivalent </t>
    </r>
    <r>
      <rPr>
        <sz val="14"/>
        <color theme="1"/>
        <rFont val="Calibri"/>
        <family val="2"/>
        <scheme val="minor"/>
      </rPr>
      <t xml:space="preserve">- For a given </t>
    </r>
    <r>
      <rPr>
        <b/>
        <sz val="14"/>
        <color theme="1"/>
        <rFont val="Calibri"/>
        <family val="2"/>
        <scheme val="minor"/>
      </rPr>
      <t>DV01</t>
    </r>
    <r>
      <rPr>
        <sz val="14"/>
        <color theme="1"/>
        <rFont val="Calibri"/>
        <family val="2"/>
        <scheme val="minor"/>
      </rPr>
      <t xml:space="preserve">, this represents the bond-equivalent as represented by the 10 year benchmark rate.  Generally speaking, it is a way of converting the sensitivity of a position to the underlying rates into a notional equivalent that is similarly sensitive to changes in the bond price.
</t>
    </r>
    <r>
      <rPr>
        <b/>
        <sz val="14"/>
        <color theme="1"/>
        <rFont val="Calibri"/>
        <family val="2"/>
        <scheme val="minor"/>
      </rPr>
      <t>CR01</t>
    </r>
    <r>
      <rPr>
        <sz val="14"/>
        <color theme="1"/>
        <rFont val="Calibri"/>
        <family val="2"/>
        <scheme val="minor"/>
      </rPr>
      <t xml:space="preserve"> - Represents the change in the value of a credit position for a 1 basis point shift in the underlying spread curve.
</t>
    </r>
    <r>
      <rPr>
        <b/>
        <sz val="14"/>
        <color theme="1"/>
        <rFont val="Calibri"/>
        <family val="2"/>
        <scheme val="minor"/>
      </rPr>
      <t xml:space="preserve">Volatility Adjusted CR01 - </t>
    </r>
    <r>
      <rPr>
        <sz val="14"/>
        <color theme="1"/>
        <rFont val="Calibri"/>
        <family val="2"/>
        <scheme val="minor"/>
      </rPr>
      <t xml:space="preserve">CR01 scaled by the daily spread volatility of the underlying issuer.
</t>
    </r>
    <r>
      <rPr>
        <b/>
        <sz val="14"/>
        <color theme="1"/>
        <rFont val="Calibri"/>
        <family val="2"/>
        <scheme val="minor"/>
      </rPr>
      <t>Jump to Default (JTD)</t>
    </r>
    <r>
      <rPr>
        <sz val="14"/>
        <color theme="1"/>
        <rFont val="Calibri"/>
        <family val="2"/>
        <scheme val="minor"/>
      </rPr>
      <t xml:space="preserve"> - The US dollar P/L resulting from an immediate default in the underlying issuer of a credit position.
</t>
    </r>
    <r>
      <rPr>
        <b/>
        <sz val="14"/>
        <color theme="1"/>
        <rFont val="Calibri"/>
        <family val="2"/>
        <scheme val="minor"/>
      </rPr>
      <t>Market Risk</t>
    </r>
    <r>
      <rPr>
        <sz val="14"/>
        <color theme="1"/>
        <rFont val="Calibri"/>
        <family val="2"/>
        <scheme val="minor"/>
      </rPr>
      <t xml:space="preserve"> - The risk to a portfolio or sub-portfolio, as defined by </t>
    </r>
    <r>
      <rPr>
        <b/>
        <sz val="14"/>
        <color theme="1"/>
        <rFont val="Calibri"/>
        <family val="2"/>
        <scheme val="minor"/>
      </rPr>
      <t>volatility</t>
    </r>
    <r>
      <rPr>
        <sz val="14"/>
        <color theme="1"/>
        <rFont val="Calibri"/>
        <family val="2"/>
        <scheme val="minor"/>
      </rPr>
      <t xml:space="preserve">, that can be explained by one or more broad, market-based, factors.
</t>
    </r>
    <r>
      <rPr>
        <b/>
        <sz val="14"/>
        <color theme="1"/>
        <rFont val="Calibri"/>
        <family val="2"/>
        <scheme val="minor"/>
      </rPr>
      <t>Idiosyncratic Risk</t>
    </r>
    <r>
      <rPr>
        <sz val="14"/>
        <color theme="1"/>
        <rFont val="Calibri"/>
        <family val="2"/>
        <scheme val="minor"/>
      </rPr>
      <t xml:space="preserve"> - The risk to a portfolio or sub-portfolio, as defined by </t>
    </r>
    <r>
      <rPr>
        <b/>
        <sz val="14"/>
        <color theme="1"/>
        <rFont val="Calibri"/>
        <family val="2"/>
        <scheme val="minor"/>
      </rPr>
      <t>volatility</t>
    </r>
    <r>
      <rPr>
        <sz val="14"/>
        <color theme="1"/>
        <rFont val="Calibri"/>
        <family val="2"/>
        <scheme val="minor"/>
      </rPr>
      <t xml:space="preserve">, that </t>
    </r>
    <r>
      <rPr>
        <i/>
        <sz val="14"/>
        <color theme="1"/>
        <rFont val="Calibri"/>
        <family val="2"/>
        <scheme val="minor"/>
      </rPr>
      <t>cannot</t>
    </r>
    <r>
      <rPr>
        <sz val="14"/>
        <color theme="1"/>
        <rFont val="Calibri"/>
        <family val="2"/>
        <scheme val="minor"/>
      </rPr>
      <t xml:space="preserve"> be explained by one or more broad, market-based, factors.
</t>
    </r>
    <r>
      <rPr>
        <b/>
        <sz val="14"/>
        <color theme="1"/>
        <rFont val="Calibri"/>
        <family val="2"/>
        <scheme val="minor"/>
      </rPr>
      <t>Model R2</t>
    </r>
    <r>
      <rPr>
        <sz val="14"/>
        <color theme="1"/>
        <rFont val="Calibri"/>
        <family val="2"/>
        <scheme val="minor"/>
      </rPr>
      <t xml:space="preserve"> - A measure of model fit that tells the percentage of the variation in the portfolio returns that is explained by the model factors.
</t>
    </r>
    <r>
      <rPr>
        <b/>
        <sz val="14"/>
        <color theme="1"/>
        <rFont val="Calibri"/>
        <family val="2"/>
        <scheme val="minor"/>
      </rPr>
      <t>Marginal Contribution to Risk (MCR)</t>
    </r>
    <r>
      <rPr>
        <sz val="14"/>
        <color theme="1"/>
        <rFont val="Calibri"/>
        <family val="2"/>
        <scheme val="minor"/>
      </rPr>
      <t xml:space="preserve"> - Defines the portion of overall portfolio </t>
    </r>
    <r>
      <rPr>
        <b/>
        <sz val="14"/>
        <color theme="1"/>
        <rFont val="Calibri"/>
        <family val="2"/>
        <scheme val="minor"/>
      </rPr>
      <t>volatility</t>
    </r>
    <r>
      <rPr>
        <sz val="14"/>
        <color theme="1"/>
        <rFont val="Calibri"/>
        <family val="2"/>
        <scheme val="minor"/>
      </rPr>
      <t xml:space="preserve"> that comes from a single position or strategy.  </t>
    </r>
    <r>
      <rPr>
        <b/>
        <sz val="14"/>
        <color theme="1"/>
        <rFont val="Calibri"/>
        <family val="2"/>
        <scheme val="minor"/>
      </rPr>
      <t>MCR</t>
    </r>
    <r>
      <rPr>
        <sz val="14"/>
        <color theme="1"/>
        <rFont val="Calibri"/>
        <family val="2"/>
        <scheme val="minor"/>
      </rPr>
      <t xml:space="preserve"> is an additive measure such that the sum of the marginal contributions is equal to the total </t>
    </r>
    <r>
      <rPr>
        <b/>
        <sz val="14"/>
        <color theme="1"/>
        <rFont val="Calibri"/>
        <family val="2"/>
        <scheme val="minor"/>
      </rPr>
      <t>volatility</t>
    </r>
    <r>
      <rPr>
        <sz val="14"/>
        <color theme="1"/>
        <rFont val="Calibri"/>
        <family val="2"/>
        <scheme val="minor"/>
      </rPr>
      <t xml:space="preserve"> of the portfolio.
</t>
    </r>
    <r>
      <rPr>
        <b/>
        <sz val="14"/>
        <color theme="1"/>
        <rFont val="Calibri"/>
        <family val="2"/>
        <scheme val="minor"/>
      </rPr>
      <t>Stop-loss Concentration</t>
    </r>
    <r>
      <rPr>
        <sz val="14"/>
        <color theme="1"/>
        <rFont val="Calibri"/>
        <family val="2"/>
        <scheme val="minor"/>
      </rPr>
      <t xml:space="preserve"> - A measure of concentration risk defined by the loss of capital incurred assuming a position or strategy is immediately closed out at its stop-loss level.  Trades which are subject to the exact same representation of a single underlying risk factor (e.g. a single trade idea is expressed in two ways) must maintain an aggregate concentration below 6% of AUM, including losses incurred from closed trades in the same risk theme category in the same calendar year.
</t>
    </r>
    <r>
      <rPr>
        <b/>
        <sz val="14"/>
        <color theme="1"/>
        <rFont val="Calibri"/>
        <family val="2"/>
        <scheme val="minor"/>
      </rPr>
      <t>Probability of Stop</t>
    </r>
    <r>
      <rPr>
        <sz val="14"/>
        <color theme="1"/>
        <rFont val="Calibri"/>
        <family val="2"/>
        <scheme val="minor"/>
      </rPr>
      <t xml:space="preserve"> - Quantifies the likelihood that a given strategy reaches its stop-loss level over a 1 month period.  The calculation assumes the returns of the strategy are normally distributed. 
</t>
    </r>
    <r>
      <rPr>
        <b/>
        <sz val="14"/>
        <color theme="1"/>
        <rFont val="Calibri"/>
        <family val="2"/>
        <scheme val="minor"/>
      </rPr>
      <t xml:space="preserve">Liquidity Event (Stressed Period) </t>
    </r>
    <r>
      <rPr>
        <sz val="14"/>
        <color theme="1"/>
        <rFont val="Calibri"/>
        <family val="2"/>
        <scheme val="minor"/>
      </rPr>
      <t xml:space="preserve">- A period of time where we can expect trading frictions to increase above those experienced during normal or average market conditions.  A liquidity event can be thought of as the average of a range of outcomes that could unfold at such a time.
</t>
    </r>
    <r>
      <rPr>
        <b/>
        <sz val="14"/>
        <color theme="1"/>
        <rFont val="Calibri"/>
        <family val="2"/>
        <scheme val="minor"/>
      </rPr>
      <t>Liquidity Impact</t>
    </r>
    <r>
      <rPr>
        <sz val="14"/>
        <color theme="1"/>
        <rFont val="Calibri"/>
        <family val="2"/>
        <scheme val="minor"/>
      </rPr>
      <t xml:space="preserve"> - This is meant to capture the expected change in market value of a positon or portfolio incurred from the higher market frictions that occur during a </t>
    </r>
    <r>
      <rPr>
        <b/>
        <sz val="14"/>
        <color theme="1"/>
        <rFont val="Calibri"/>
        <family val="2"/>
        <scheme val="minor"/>
      </rPr>
      <t>liquidity event</t>
    </r>
    <r>
      <rPr>
        <sz val="14"/>
        <color theme="1"/>
        <rFont val="Calibri"/>
        <family val="2"/>
        <scheme val="minor"/>
      </rPr>
      <t>, all else equal.</t>
    </r>
  </si>
  <si>
    <t xml:space="preserve">This report has been prepared by Frontlight Capital, L.P. (“Frontlight” or “Frontlight Capital”) and is for informational purposes.  This material is not an offer to sell, nor a solicitation of an offer to buy any security in the Frontlight Enhanced Macro Fund I, LP (formerly Frontlight Macro Fund, LP), Frontlight Enhanced Macro Fund I, LP (formerly Frontlight Macro Fund, LP) or Frontlight Enhanced Macro Offshore Fund I, Ltd. (formerly Frontlight Macro Offshore Fund, Ltd.) (each a “Frontlight Macro Fund”) or any other investment product.  Offers to sell or solicitations to invest in a Frontlight Macro Fund are made only by means of a confidential offering memorandum and in accordance with applicable securities laws.  The Frontlight Macro Fund commenced investing on May 1, 2016.  Effective June 1, 2018, Frontlight Capital LP increased the volatility parameters of the Frontlight Macro Fund’s portfolio generally to levels that are greater than the volatility that Frontlight had employed for the Fund prior to such date.  Prospective investors should review the confidential offering memorandum for the applicable Frontlight Macro Fund before any investment is made (including, without limitation, the information therein with respect to investment strategy, conflicts of interest and risk factors).  If there is any inconsistency between any information in these materials and the Frontlight Macro Fund’s confidential offering memorandum, the latter will govern.
The information in this report has not been audited and therefore remains subject to change.  
Past performance is not indicative of future results.  
</t>
  </si>
  <si>
    <r>
      <rPr>
        <b/>
        <sz val="10"/>
        <color theme="1"/>
        <rFont val="Calibri"/>
        <family val="2"/>
        <scheme val="minor"/>
      </rPr>
      <t>1.</t>
    </r>
    <r>
      <rPr>
        <sz val="10"/>
        <color theme="1"/>
        <rFont val="Calibri"/>
        <family val="2"/>
        <scheme val="minor"/>
      </rPr>
      <t xml:space="preserve"> Dollar, SPX and Oil exposures are represented as delta equivalents </t>
    </r>
    <r>
      <rPr>
        <b/>
        <sz val="10"/>
        <color theme="1"/>
        <rFont val="Calibri"/>
        <family val="2"/>
        <scheme val="minor"/>
      </rPr>
      <t>2.</t>
    </r>
    <r>
      <rPr>
        <sz val="10"/>
        <color theme="1"/>
        <rFont val="Calibri"/>
        <family val="2"/>
        <scheme val="minor"/>
      </rPr>
      <t xml:space="preserve"> Rate and spread exposures represent the dollar impact on the portfolio for a basis point change in the risk factor </t>
    </r>
    <r>
      <rPr>
        <b/>
        <sz val="10"/>
        <color theme="1"/>
        <rFont val="Calibri"/>
        <family val="2"/>
        <scheme val="minor"/>
      </rPr>
      <t>3.</t>
    </r>
    <r>
      <rPr>
        <sz val="10"/>
        <color theme="1"/>
        <rFont val="Calibri"/>
        <family val="2"/>
        <scheme val="minor"/>
      </rPr>
      <t xml:space="preserve"> Volatility factors (e.g. VIX) represent the impact for a 1 vol point change in the factor</t>
    </r>
  </si>
  <si>
    <t>tagLevel5</t>
  </si>
  <si>
    <t>extremeLoss</t>
  </si>
  <si>
    <t>pvDollar</t>
  </si>
  <si>
    <t>stopLossType</t>
  </si>
  <si>
    <t>tagLevel3</t>
  </si>
  <si>
    <t>openPL</t>
  </si>
  <si>
    <t>allPL</t>
  </si>
  <si>
    <t>Stoploss</t>
  </si>
  <si>
    <t>HedgeRatio</t>
  </si>
  <si>
    <t>distToStop</t>
  </si>
  <si>
    <t>assetLevelDelta</t>
  </si>
  <si>
    <t>vol</t>
  </si>
  <si>
    <t>prob</t>
  </si>
  <si>
    <t>AS</t>
  </si>
  <si>
    <t>CHINA CREDIT STRESS</t>
  </si>
  <si>
    <t>DISH CDS FLATTENER</t>
  </si>
  <si>
    <t>CDS FLATTENER</t>
  </si>
  <si>
    <t>JPY CDS</t>
  </si>
  <si>
    <t>B</t>
  </si>
  <si>
    <t>JAPAN CDS</t>
  </si>
  <si>
    <t>US IG CREDIT</t>
  </si>
  <si>
    <t>GREEK BANKS BASKET</t>
  </si>
  <si>
    <t>GREEK BANKS</t>
  </si>
  <si>
    <t>LONG DISH CALLS</t>
  </si>
  <si>
    <t>P</t>
  </si>
  <si>
    <t>AUDCAD KI CALL SPREAD</t>
  </si>
  <si>
    <t>G10 FX GAMMA</t>
  </si>
  <si>
    <t>AUDJPY OT CALENDAR SPREAD</t>
  </si>
  <si>
    <t>DM FX CARRY</t>
  </si>
  <si>
    <t>CNHTWD CALL SPREAD</t>
  </si>
  <si>
    <t>EM CARRY</t>
  </si>
  <si>
    <t>EURCAD PUT SPREAD</t>
  </si>
  <si>
    <t>EURHUF OT SPREAD</t>
  </si>
  <si>
    <t>EURNOK 5M KI SPREAD</t>
  </si>
  <si>
    <t>EURUSD/EURBRL DUAL BINARY</t>
  </si>
  <si>
    <t>DUAL BINARY BASKET</t>
  </si>
  <si>
    <t>GBPINR KI SPREAD</t>
  </si>
  <si>
    <t>NOKSEK OT CALENDAR SPREAD</t>
  </si>
  <si>
    <t>USD VEGA</t>
  </si>
  <si>
    <t>USDKRW OT VS DIGI</t>
  </si>
  <si>
    <t>LONG USDASIA</t>
  </si>
  <si>
    <t>USDMXN KI PUT SPREAD</t>
  </si>
  <si>
    <t>LONG LATAM</t>
  </si>
  <si>
    <t>RUBLE STRENGTH</t>
  </si>
  <si>
    <t>USDSEK CALENDAR SPREAD</t>
  </si>
  <si>
    <t>SWEDISH GROWTH</t>
  </si>
  <si>
    <t>USDTRY CALENDAR SPREAD</t>
  </si>
  <si>
    <t>USDTWD DIGITAL</t>
  </si>
  <si>
    <t>USDTWD RKI CALL SPREAD</t>
  </si>
  <si>
    <t xml:space="preserve"> EDZ8 PUT CONDOR</t>
  </si>
  <si>
    <t>US FED HIKE</t>
  </si>
  <si>
    <t>10Y-2Y CMS CURVE CAP</t>
  </si>
  <si>
    <t>USD CURVE STEEPENER</t>
  </si>
  <si>
    <t>1Y1Y VS 2Y1Y PAYER SWITCH</t>
  </si>
  <si>
    <t>USD MICRO STEEPENER</t>
  </si>
  <si>
    <t>CONTINGENT 10Y-2Y CMS CURVE CAP</t>
  </si>
  <si>
    <t>EDZ8 PUT FLY</t>
  </si>
  <si>
    <t>L Z8 91/92/93 CALL FLY</t>
  </si>
  <si>
    <t>UK FRONT END RATES</t>
  </si>
  <si>
    <t>LONG USD 10Y10Y VEGA</t>
  </si>
  <si>
    <t>USD 2M 10-2 CURVE FLR FLY</t>
  </si>
  <si>
    <t>USD 3M 10-2 CURVE FLR FLY</t>
  </si>
  <si>
    <t>USD 3M1Y1Y MISWEIGHTED FLY</t>
  </si>
  <si>
    <t>I</t>
  </si>
  <si>
    <t>USD 6M 10-2 CURVE FLR FLY</t>
  </si>
  <si>
    <t>USD 6M1Y1Y PAYER FLY</t>
  </si>
  <si>
    <t>USD MIDCURVE WEDGE 18M3Y VS 18M1Y/18M1Y1Y/18M2Y1Y</t>
  </si>
  <si>
    <t>USD MIDCURVE WEDGE</t>
  </si>
  <si>
    <t>JPM CP</t>
  </si>
  <si>
    <t>COMMERCIAL PAPER</t>
  </si>
  <si>
    <t>CASH   AUD</t>
  </si>
  <si>
    <t>N/A</t>
  </si>
  <si>
    <t>CASH   EUR</t>
  </si>
  <si>
    <t>CASH   GBP</t>
  </si>
  <si>
    <t>CASH   JPY</t>
  </si>
  <si>
    <t>monthlyPnLBp</t>
  </si>
  <si>
    <t>VIX CS VS PS</t>
  </si>
  <si>
    <t>tagLevel4</t>
  </si>
  <si>
    <t>monthlyPnL</t>
  </si>
  <si>
    <t>yearlyPnLBp</t>
  </si>
  <si>
    <t>tagFour</t>
  </si>
  <si>
    <t>USD Index¹</t>
  </si>
  <si>
    <t>US 10 Year²</t>
  </si>
  <si>
    <t>US 2y10y Spread²</t>
  </si>
  <si>
    <t>EMBI EM Spread²</t>
  </si>
  <si>
    <t>S&amp;P 500 Index¹</t>
  </si>
  <si>
    <t>OIL¹</t>
  </si>
  <si>
    <t>Volatility$</t>
  </si>
  <si>
    <t>MCR$</t>
  </si>
  <si>
    <t>Volatility%</t>
  </si>
  <si>
    <t>MCR%</t>
  </si>
  <si>
    <t>CorrToPortfolio</t>
  </si>
  <si>
    <t>Scenario</t>
  </si>
  <si>
    <t>PnL</t>
  </si>
  <si>
    <t>EuroCrisis2011</t>
  </si>
  <si>
    <t>Oil 2014</t>
  </si>
  <si>
    <t>Bund Selloff</t>
  </si>
  <si>
    <t>Jan/Fec 2016</t>
  </si>
  <si>
    <t>Selloff</t>
  </si>
  <si>
    <t>Exposure</t>
  </si>
  <si>
    <t>Cds Spread</t>
  </si>
  <si>
    <t>BAML</t>
  </si>
  <si>
    <t>BARC</t>
  </si>
  <si>
    <t>BNP</t>
  </si>
  <si>
    <t>GS</t>
  </si>
  <si>
    <t>JPM</t>
  </si>
  <si>
    <t>MS</t>
  </si>
  <si>
    <t>WFC</t>
  </si>
  <si>
    <t>region</t>
  </si>
  <si>
    <t>thetaDollar</t>
  </si>
  <si>
    <t>gammaDollar</t>
  </si>
  <si>
    <t>Unknown</t>
  </si>
  <si>
    <t>issuer</t>
  </si>
  <si>
    <t>IssuerVol</t>
  </si>
  <si>
    <t>cr01</t>
  </si>
  <si>
    <t>VolAdjCr01</t>
  </si>
  <si>
    <t>Abbott Laboratories</t>
  </si>
  <si>
    <t>Ally Financial Inc</t>
  </si>
  <si>
    <t>American Express Co</t>
  </si>
  <si>
    <t>Arrow Electronics Inc</t>
  </si>
  <si>
    <t>Avnet Inc</t>
  </si>
  <si>
    <t>Bank of China Ltd</t>
  </si>
  <si>
    <t>Bank of Nova Scotia/The</t>
  </si>
  <si>
    <t>CDXIG531</t>
  </si>
  <si>
    <t>CMS Energy Corp</t>
  </si>
  <si>
    <t>CSX Corp</t>
  </si>
  <si>
    <t>Caterpillar Inc</t>
  </si>
  <si>
    <t>CenturyLink Inc</t>
  </si>
  <si>
    <t>Conagra Brands Inc</t>
  </si>
  <si>
    <t>ConocoPhillips</t>
  </si>
  <si>
    <t>DISH DBS Corp</t>
  </si>
  <si>
    <t>Deere &amp; Co</t>
  </si>
  <si>
    <t>Domtar Corp</t>
  </si>
  <si>
    <t>ERP Operating LP</t>
  </si>
  <si>
    <t>Eastman Chemical Co</t>
  </si>
  <si>
    <t>Expedia Group Inc</t>
  </si>
  <si>
    <t>First Data Corp</t>
  </si>
  <si>
    <t>FirstEnergy Corp</t>
  </si>
  <si>
    <t>Ford Motor Co</t>
  </si>
  <si>
    <t>General Mills Inc</t>
  </si>
  <si>
    <t>Hartford Financial Services Gr</t>
  </si>
  <si>
    <t>Honeywell International Inc</t>
  </si>
  <si>
    <t>Host Hotels &amp; Resorts LP</t>
  </si>
  <si>
    <t>International Business Machine</t>
  </si>
  <si>
    <t>International Paper Co</t>
  </si>
  <si>
    <t>Kawasaki Heavy Industries Ltd</t>
  </si>
  <si>
    <t>Kohl's Corp</t>
  </si>
  <si>
    <t>Lamb Weston Holdings Inc</t>
  </si>
  <si>
    <t>Lincoln National Corp</t>
  </si>
  <si>
    <t>Loews Corp</t>
  </si>
  <si>
    <t>MGM Resorts International</t>
  </si>
  <si>
    <t>Macy's Inc</t>
  </si>
  <si>
    <t>Marubeni Corp</t>
  </si>
  <si>
    <t>Mitsui OSK Lines Ltd</t>
  </si>
  <si>
    <t>Motorola Solutions Inc</t>
  </si>
  <si>
    <t>NiSource Inc</t>
  </si>
  <si>
    <t>Nippon Paper Industries Co Ltd</t>
  </si>
  <si>
    <t>Nippon Steel &amp; Sumitomo Metal</t>
  </si>
  <si>
    <t>Nippon Yusen KK</t>
  </si>
  <si>
    <t>Nissan Motor Co Ltd</t>
  </si>
  <si>
    <t>Nordstrom Inc</t>
  </si>
  <si>
    <t>Oji Holdings Corp</t>
  </si>
  <si>
    <t>Omnicom Group Inc</t>
  </si>
  <si>
    <t>People's Republic of China</t>
  </si>
  <si>
    <t>Prudential Financial Inc</t>
  </si>
  <si>
    <t>Royal Caribbean Cruises Ltd</t>
  </si>
  <si>
    <t>Ryder System Inc</t>
  </si>
  <si>
    <t>Simon Property Group LP</t>
  </si>
  <si>
    <t>Tyson Foods Inc</t>
  </si>
  <si>
    <t>United Rentals North America I</t>
  </si>
  <si>
    <t>Williams Cos Inc/The</t>
  </si>
  <si>
    <t>vegaDollar</t>
  </si>
  <si>
    <t>COMMODITY</t>
  </si>
  <si>
    <t>tag</t>
  </si>
  <si>
    <t>bps</t>
  </si>
  <si>
    <t>tagThree</t>
  </si>
  <si>
    <t>jtd</t>
  </si>
  <si>
    <t>FLMM</t>
  </si>
  <si>
    <t>market</t>
  </si>
  <si>
    <t>CASH</t>
  </si>
  <si>
    <t>tagFive</t>
  </si>
  <si>
    <t>numeraireCcy</t>
  </si>
  <si>
    <t>GBP</t>
  </si>
  <si>
    <t>JPY</t>
  </si>
  <si>
    <t>USD</t>
  </si>
  <si>
    <t>marketDataName</t>
  </si>
  <si>
    <t>1m</t>
  </si>
  <si>
    <t>1y</t>
  </si>
  <si>
    <t>2m</t>
  </si>
  <si>
    <t>2w</t>
  </si>
  <si>
    <t>3m</t>
  </si>
  <si>
    <t>3y</t>
  </si>
  <si>
    <t>5y</t>
  </si>
  <si>
    <t>6m</t>
  </si>
  <si>
    <t>9m</t>
  </si>
  <si>
    <t>AUDCAD</t>
  </si>
  <si>
    <t>AUDJPY</t>
  </si>
  <si>
    <t>CNHTWD</t>
  </si>
  <si>
    <t>EURBRL</t>
  </si>
  <si>
    <t>EURCAD</t>
  </si>
  <si>
    <t>EURHUF</t>
  </si>
  <si>
    <t>EURNOK</t>
  </si>
  <si>
    <t>EURTRY</t>
  </si>
  <si>
    <t>EURUSD</t>
  </si>
  <si>
    <t>GBPINR</t>
  </si>
  <si>
    <t>NOKSEK</t>
  </si>
  <si>
    <t>USDIDR</t>
  </si>
  <si>
    <t>USDJPY</t>
  </si>
  <si>
    <t>USDKRW</t>
  </si>
  <si>
    <t>USDMXN</t>
  </si>
  <si>
    <t>USDRUB</t>
  </si>
  <si>
    <t>USDSEK</t>
  </si>
  <si>
    <t>USDTRY</t>
  </si>
  <si>
    <t>USDTWD</t>
  </si>
  <si>
    <t>mv_side</t>
  </si>
  <si>
    <t>AUD</t>
  </si>
  <si>
    <t>BRL</t>
  </si>
  <si>
    <t>CAD</t>
  </si>
  <si>
    <t>CNH</t>
  </si>
  <si>
    <t>EUR</t>
  </si>
  <si>
    <t>HUF</t>
  </si>
  <si>
    <t>IDR</t>
  </si>
  <si>
    <t>INR</t>
  </si>
  <si>
    <t>KRW</t>
  </si>
  <si>
    <t>MXN</t>
  </si>
  <si>
    <t>LatAm</t>
  </si>
  <si>
    <t>NOK</t>
  </si>
  <si>
    <t>RUB</t>
  </si>
  <si>
    <t>SEK</t>
  </si>
  <si>
    <t>TRY</t>
  </si>
  <si>
    <t>TWD</t>
  </si>
  <si>
    <t>tagTwo</t>
  </si>
  <si>
    <t>closedPL</t>
  </si>
  <si>
    <t>assetCurrency</t>
  </si>
  <si>
    <t>fx_pair</t>
  </si>
  <si>
    <t>deltaDollarFX</t>
  </si>
  <si>
    <t>tag_level_2</t>
  </si>
  <si>
    <t>USD FI RISK PREMIA</t>
  </si>
  <si>
    <t>US FI SEQUENTIAL FED</t>
  </si>
  <si>
    <t>FX TACTICAL/MEAN REVERSION</t>
  </si>
  <si>
    <t>FX GAMMA/VEGA</t>
  </si>
  <si>
    <t>FX EM CARRY</t>
  </si>
  <si>
    <t>FX CARRY/SLIDE BASKET</t>
  </si>
  <si>
    <t>FI TACTICAL/MEAN REVERSION</t>
  </si>
  <si>
    <t>FI GAMMA/VEGA</t>
  </si>
  <si>
    <t>EQUITY TACTICAL/MEAN REVERSION</t>
  </si>
  <si>
    <t>CREDIT VS EQUITY</t>
  </si>
  <si>
    <t>CREDIT TERM STRUCTURE</t>
  </si>
  <si>
    <t>CREDIT TACTICAL/MEAN REVERSION</t>
  </si>
  <si>
    <t>CREDIT DISPERSION</t>
  </si>
  <si>
    <t>LONG EURO STOXX VS MIB</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</si>
</sst>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43" formatCode="_(* #,##0.00_);_(* \(#,##0.00\);_(* &quot;-&quot;??_);_(@_)"/>
    <numFmt numFmtId="164" formatCode="0.00,,"/>
    <numFmt numFmtId="165" formatCode="#,##0.0,,;\-#,##0.0,,;&quot;-&quot;"/>
    <numFmt numFmtId="166" formatCode="0.0%"/>
    <numFmt numFmtId="167" formatCode="#,##0.00,,;\-#,##0.00,,;&quot;-&quot;"/>
    <numFmt numFmtId="168" formatCode="0.00\x"/>
    <numFmt numFmtId="169" formatCode="_(* #,##0_);_(* \(#,##0\);_(* &quot;-&quot;??_);_(@_)"/>
    <numFmt numFmtId="170" formatCode="0.00%;\-0.00%;&quot;-&quot;"/>
    <numFmt numFmtId="171" formatCode="#,##0.0,,"/>
    <numFmt numFmtId="172" formatCode="#,##0.00,,"/>
    <numFmt numFmtId="173" formatCode="#,##0,"/>
    <numFmt numFmtId="174" formatCode="#,##0,,"/>
    <numFmt numFmtId="175" formatCode="#,##0,;\-#,##0,;&quot;-&quot;"/>
    <numFmt numFmtId="176" formatCode="0.000%"/>
    <numFmt numFmtId="177" formatCode="0.0,;\-0.0,;&quot;-&quot;"/>
    <numFmt numFmtId="178" formatCode="#,##0.0,;\-#,##0.0,;&quot;-&quot;"/>
    <numFmt numFmtId="179" formatCode="0.0"/>
    <numFmt numFmtId="180" formatCode="0.0000%"/>
    <numFmt numFmtId="181" formatCode="0.000000000000000000"/>
    <numFmt numFmtId="182" formatCode="0.00%\*"/>
  </numFmts>
  <fonts count="26"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5"/>
      <color theme="0"/>
      <name val="Calibri"/>
      <family val="2"/>
      <scheme val="minor"/>
    </font>
    <font>
      <sz val="12"/>
      <color rgb="FFFF0000"/>
      <name val="Calibri"/>
      <family val="2"/>
      <scheme val="minor"/>
    </font>
    <font>
      <i/>
      <sz val="11"/>
      <color theme="1"/>
      <name val="Calibri"/>
      <family val="2"/>
      <scheme val="minor"/>
    </font>
    <font>
      <b/>
      <sz val="13"/>
      <color theme="1"/>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b/>
      <i/>
      <sz val="12"/>
      <color theme="1"/>
      <name val="Calibri"/>
      <family val="2"/>
      <scheme val="minor"/>
    </font>
    <font>
      <i/>
      <u/>
      <sz val="12"/>
      <color theme="1"/>
      <name val="Calibri"/>
      <family val="2"/>
      <scheme val="minor"/>
    </font>
    <font>
      <b/>
      <sz val="10"/>
      <color theme="1"/>
      <name val="Calibri"/>
      <family val="2"/>
      <scheme val="minor"/>
    </font>
    <font>
      <b/>
      <i/>
      <u/>
      <sz val="14"/>
      <color theme="1"/>
      <name val="Calibri"/>
      <family val="2"/>
      <scheme val="minor"/>
    </font>
    <font>
      <u/>
      <sz val="12"/>
      <color theme="1"/>
      <name val="Calibri"/>
      <family val="2"/>
      <scheme val="minor"/>
    </font>
    <font>
      <sz val="11"/>
      <name val="Calibri"/>
      <family val="2"/>
      <scheme val="minor"/>
    </font>
    <font>
      <sz val="10"/>
      <color theme="1"/>
      <name val="Calibri"/>
      <family val="2"/>
      <scheme val="minor"/>
    </font>
    <font>
      <b/>
      <i/>
      <sz val="11"/>
      <color theme="1"/>
      <name val="Calibri"/>
      <family val="2"/>
      <scheme val="minor"/>
    </font>
    <font>
      <sz val="13"/>
      <color theme="1"/>
      <name val="Calibri"/>
      <family val="2"/>
      <scheme val="minor"/>
    </font>
    <font>
      <b/>
      <u/>
      <sz val="12"/>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color theme="0"/>
      <name val="Calibri"/>
      <family val="2"/>
      <scheme val="minor"/>
    </font>
    <font>
      <sz val="12"/>
      <color theme="0"/>
      <name val="Calibri"/>
      <family val="2"/>
      <scheme val="minor"/>
    </font>
  </fonts>
  <fills count="8">
    <fill>
      <patternFill patternType="none"/>
    </fill>
    <fill>
      <patternFill patternType="gray125"/>
    </fill>
    <fill>
      <patternFill patternType="solid">
        <fgColor theme="1" tint="0.34998626667073579"/>
        <bgColor indexed="64"/>
      </patternFill>
    </fill>
    <fill>
      <patternFill patternType="solid">
        <fgColor theme="0" tint="-0.34998626667073579"/>
        <bgColor indexed="64"/>
      </patternFill>
    </fill>
    <fill>
      <patternFill patternType="solid">
        <fgColor rgb="FFFF0000"/>
        <bgColor indexed="64"/>
      </patternFill>
    </fill>
    <fill>
      <patternFill patternType="solid">
        <fgColor theme="9" tint="-0.499984740745262"/>
        <bgColor indexed="64"/>
      </patternFill>
    </fill>
    <fill>
      <patternFill patternType="solid">
        <fgColor theme="0"/>
        <bgColor indexed="64"/>
      </patternFill>
    </fill>
    <fill>
      <patternFill patternType="solid">
        <fgColor rgb="FFFFFF00"/>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46">
    <xf numFmtId="0" fontId="0" fillId="0" borderId="0" xfId="0"/>
    <xf numFmtId="0" fontId="3" fillId="0" borderId="0" xfId="0" applyFont="1"/>
    <xf numFmtId="0" fontId="3" fillId="0" borderId="0" xfId="0" applyFont="1" applyAlignment="1">
      <alignment horizontal="right"/>
    </xf>
    <xf numFmtId="14" fontId="3" fillId="0" borderId="0" xfId="0" applyNumberFormat="1" applyFont="1"/>
    <xf numFmtId="0" fontId="3" fillId="0" borderId="0" xfId="0" applyFont="1" applyAlignment="1">
      <alignment horizontal="centerContinuous"/>
    </xf>
    <xf numFmtId="0" fontId="5" fillId="0" borderId="0" xfId="0" applyFont="1"/>
    <xf numFmtId="0" fontId="3" fillId="0" borderId="4" xfId="0" applyFont="1" applyBorder="1" applyAlignment="1">
      <alignment horizontal="left"/>
    </xf>
    <xf numFmtId="0" fontId="3" fillId="0" borderId="4" xfId="0" applyFont="1" applyBorder="1"/>
    <xf numFmtId="14" fontId="3" fillId="0" borderId="4" xfId="0" applyNumberFormat="1" applyFont="1" applyBorder="1" applyAlignment="1"/>
    <xf numFmtId="0" fontId="3" fillId="0" borderId="4" xfId="0" applyFont="1" applyBorder="1" applyAlignment="1">
      <alignment horizontal="centerContinuous"/>
    </xf>
    <xf numFmtId="0" fontId="6" fillId="0" borderId="4" xfId="0" applyFont="1" applyBorder="1" applyAlignment="1">
      <alignment horizontal="right"/>
    </xf>
    <xf numFmtId="0" fontId="0" fillId="0" borderId="4" xfId="0" applyFont="1" applyBorder="1" applyAlignment="1">
      <alignment horizontal="center"/>
    </xf>
    <xf numFmtId="0" fontId="3" fillId="0" borderId="0" xfId="0" applyFont="1" applyBorder="1" applyAlignment="1">
      <alignment horizontal="left"/>
    </xf>
    <xf numFmtId="0" fontId="3" fillId="0" borderId="0" xfId="0" applyFont="1" applyBorder="1"/>
    <xf numFmtId="164" fontId="3" fillId="0" borderId="0" xfId="0" applyNumberFormat="1" applyFont="1" applyBorder="1" applyAlignment="1">
      <alignment horizontal="center"/>
    </xf>
    <xf numFmtId="10" fontId="3" fillId="0" borderId="0" xfId="2" applyNumberFormat="1" applyFont="1" applyAlignment="1">
      <alignment horizontal="center"/>
    </xf>
    <xf numFmtId="0" fontId="3" fillId="0" borderId="0" xfId="0" applyFont="1" applyBorder="1" applyAlignment="1">
      <alignment horizontal="centerContinuous"/>
    </xf>
    <xf numFmtId="165" fontId="3" fillId="0" borderId="0" xfId="0" applyNumberFormat="1" applyFont="1" applyFill="1" applyBorder="1" applyAlignment="1">
      <alignment horizontal="center"/>
    </xf>
    <xf numFmtId="166" fontId="3" fillId="0" borderId="0" xfId="2" applyNumberFormat="1" applyFont="1" applyAlignment="1">
      <alignment horizontal="center"/>
    </xf>
    <xf numFmtId="0" fontId="6" fillId="0" borderId="0" xfId="0" applyFont="1" applyBorder="1" applyAlignment="1">
      <alignment horizontal="right"/>
    </xf>
    <xf numFmtId="0" fontId="0" fillId="0" borderId="0" xfId="0" applyFont="1" applyBorder="1" applyAlignment="1">
      <alignment horizontal="center"/>
    </xf>
    <xf numFmtId="0" fontId="7" fillId="0" borderId="5" xfId="0" applyFont="1" applyFill="1" applyBorder="1" applyAlignment="1">
      <alignment horizontal="left"/>
    </xf>
    <xf numFmtId="0" fontId="3" fillId="0" borderId="5" xfId="0" applyFont="1" applyBorder="1"/>
    <xf numFmtId="0" fontId="3" fillId="0" borderId="5" xfId="0" applyFont="1" applyBorder="1" applyAlignment="1">
      <alignment horizontal="right"/>
    </xf>
    <xf numFmtId="14" fontId="3" fillId="0" borderId="5" xfId="0" applyNumberFormat="1" applyFont="1" applyBorder="1"/>
    <xf numFmtId="0" fontId="3" fillId="0" borderId="5" xfId="0" applyFont="1" applyBorder="1" applyAlignment="1">
      <alignment horizontal="centerContinuous"/>
    </xf>
    <xf numFmtId="0" fontId="8" fillId="0" borderId="5" xfId="0" applyFont="1" applyBorder="1" applyAlignment="1"/>
    <xf numFmtId="0" fontId="9" fillId="0" borderId="0" xfId="0" applyFont="1" applyAlignment="1">
      <alignment horizontal="right"/>
    </xf>
    <xf numFmtId="0" fontId="3" fillId="0" borderId="5" xfId="0" applyFont="1" applyBorder="1" applyAlignment="1">
      <alignment horizontal="center" vertical="center"/>
    </xf>
    <xf numFmtId="0" fontId="9" fillId="0" borderId="0" xfId="0" applyFont="1" applyAlignment="1">
      <alignment horizontal="center"/>
    </xf>
    <xf numFmtId="0" fontId="9" fillId="0" borderId="0" xfId="0" applyFont="1" applyBorder="1" applyAlignment="1">
      <alignment horizontal="right"/>
    </xf>
    <xf numFmtId="0" fontId="3" fillId="0" borderId="5" xfId="0" applyFont="1" applyBorder="1" applyAlignment="1">
      <alignment horizontal="center"/>
    </xf>
    <xf numFmtId="167" fontId="3" fillId="0" borderId="0" xfId="0" applyNumberFormat="1" applyFont="1" applyFill="1" applyBorder="1" applyAlignment="1">
      <alignment horizontal="center"/>
    </xf>
    <xf numFmtId="10" fontId="3" fillId="0" borderId="0" xfId="2" applyNumberFormat="1" applyFont="1" applyAlignment="1">
      <alignment horizontal="left"/>
    </xf>
    <xf numFmtId="165" fontId="3" fillId="0" borderId="5" xfId="0" applyNumberFormat="1" applyFont="1" applyFill="1" applyBorder="1" applyAlignment="1">
      <alignment horizontal="center"/>
    </xf>
    <xf numFmtId="166" fontId="3" fillId="0" borderId="5" xfId="2" applyNumberFormat="1" applyFont="1" applyBorder="1" applyAlignment="1">
      <alignment horizontal="center"/>
    </xf>
    <xf numFmtId="10" fontId="3" fillId="0" borderId="0" xfId="2" applyNumberFormat="1" applyFont="1" applyBorder="1" applyAlignment="1">
      <alignment horizontal="center"/>
    </xf>
    <xf numFmtId="0" fontId="9" fillId="0" borderId="0" xfId="0" applyFont="1" applyFill="1" applyAlignment="1">
      <alignment horizontal="right"/>
    </xf>
    <xf numFmtId="166" fontId="3" fillId="0" borderId="0" xfId="2" applyNumberFormat="1" applyFont="1" applyBorder="1" applyAlignment="1">
      <alignment horizontal="center"/>
    </xf>
    <xf numFmtId="167" fontId="3" fillId="0" borderId="5" xfId="0" applyNumberFormat="1" applyFont="1" applyFill="1" applyBorder="1" applyAlignment="1">
      <alignment horizontal="center"/>
    </xf>
    <xf numFmtId="10" fontId="3" fillId="0" borderId="5" xfId="2" applyNumberFormat="1" applyFont="1" applyBorder="1" applyAlignment="1">
      <alignment horizontal="center"/>
    </xf>
    <xf numFmtId="166" fontId="3" fillId="0" borderId="5" xfId="0" applyNumberFormat="1" applyFont="1" applyBorder="1" applyAlignment="1">
      <alignment horizontal="center"/>
    </xf>
    <xf numFmtId="168" fontId="3" fillId="0" borderId="0" xfId="0" applyNumberFormat="1" applyFont="1" applyAlignment="1">
      <alignment horizontal="center"/>
    </xf>
    <xf numFmtId="0" fontId="8" fillId="0" borderId="5" xfId="0" applyFont="1" applyBorder="1"/>
    <xf numFmtId="0" fontId="8" fillId="0" borderId="5" xfId="0" applyFont="1" applyBorder="1" applyAlignment="1">
      <alignment horizontal="centerContinuous"/>
    </xf>
    <xf numFmtId="0" fontId="6" fillId="0" borderId="5" xfId="0" applyFont="1" applyBorder="1" applyAlignment="1"/>
    <xf numFmtId="0" fontId="11" fillId="0" borderId="5" xfId="0" applyFont="1" applyBorder="1"/>
    <xf numFmtId="0" fontId="8" fillId="0" borderId="5" xfId="0" applyFont="1" applyBorder="1" applyAlignment="1">
      <alignment horizontal="center"/>
    </xf>
    <xf numFmtId="0" fontId="12" fillId="0" borderId="0" xfId="0" applyFont="1" applyFill="1" applyAlignment="1">
      <alignment horizontal="right"/>
    </xf>
    <xf numFmtId="0" fontId="8" fillId="0" borderId="0" xfId="0" applyFont="1" applyBorder="1" applyAlignment="1">
      <alignment horizontal="center"/>
    </xf>
    <xf numFmtId="0" fontId="3" fillId="0" borderId="0" xfId="0" applyFont="1" applyBorder="1" applyAlignment="1">
      <alignment horizontal="center"/>
    </xf>
    <xf numFmtId="0" fontId="3" fillId="0" borderId="0" xfId="0" applyFont="1" applyAlignment="1">
      <alignment horizontal="center"/>
    </xf>
    <xf numFmtId="0" fontId="9" fillId="0" borderId="0" xfId="0" applyFont="1" applyAlignment="1">
      <alignment vertical="top"/>
    </xf>
    <xf numFmtId="2" fontId="3" fillId="0" borderId="0" xfId="0" applyNumberFormat="1" applyFont="1"/>
    <xf numFmtId="169" fontId="3" fillId="0" borderId="0" xfId="1" applyNumberFormat="1" applyFont="1"/>
    <xf numFmtId="0" fontId="3" fillId="0" borderId="0" xfId="0" applyFont="1" applyBorder="1" applyAlignment="1">
      <alignment horizontal="right"/>
    </xf>
    <xf numFmtId="167" fontId="3" fillId="0" borderId="6" xfId="0" applyNumberFormat="1" applyFont="1" applyFill="1" applyBorder="1" applyAlignment="1">
      <alignment horizontal="center"/>
    </xf>
    <xf numFmtId="170" fontId="3" fillId="0" borderId="7" xfId="2" applyNumberFormat="1" applyFont="1" applyBorder="1" applyAlignment="1">
      <alignment horizontal="center"/>
    </xf>
    <xf numFmtId="9" fontId="3" fillId="0" borderId="8" xfId="2" applyFont="1" applyBorder="1" applyAlignment="1">
      <alignment horizontal="center"/>
    </xf>
    <xf numFmtId="167" fontId="3" fillId="0" borderId="9" xfId="0" applyNumberFormat="1" applyFont="1" applyFill="1" applyBorder="1" applyAlignment="1">
      <alignment horizontal="center"/>
    </xf>
    <xf numFmtId="170" fontId="3" fillId="0" borderId="10" xfId="2" applyNumberFormat="1" applyFont="1" applyBorder="1" applyAlignment="1">
      <alignment horizontal="center"/>
    </xf>
    <xf numFmtId="9" fontId="3" fillId="0" borderId="11" xfId="2" applyFont="1" applyBorder="1" applyAlignment="1">
      <alignment horizontal="center"/>
    </xf>
    <xf numFmtId="0" fontId="6" fillId="0" borderId="0" xfId="0" applyFont="1"/>
    <xf numFmtId="0" fontId="9" fillId="0" borderId="0" xfId="0" quotePrefix="1" applyFont="1" applyAlignment="1">
      <alignment vertical="top" wrapText="1"/>
    </xf>
    <xf numFmtId="167" fontId="3" fillId="0" borderId="12" xfId="0" applyNumberFormat="1" applyFont="1" applyFill="1" applyBorder="1" applyAlignment="1">
      <alignment horizontal="center"/>
    </xf>
    <xf numFmtId="170" fontId="3" fillId="0" borderId="13" xfId="2" applyNumberFormat="1" applyFont="1" applyBorder="1" applyAlignment="1">
      <alignment horizontal="center"/>
    </xf>
    <xf numFmtId="9" fontId="3" fillId="0" borderId="14" xfId="2" applyFont="1" applyBorder="1" applyAlignment="1">
      <alignment horizontal="center"/>
    </xf>
    <xf numFmtId="0" fontId="6" fillId="0" borderId="5" xfId="0" applyFont="1" applyBorder="1"/>
    <xf numFmtId="0" fontId="8" fillId="0" borderId="0" xfId="0" applyFont="1" applyFill="1" applyBorder="1" applyAlignment="1">
      <alignment horizontal="right"/>
    </xf>
    <xf numFmtId="170" fontId="3" fillId="0" borderId="0" xfId="2" applyNumberFormat="1" applyFont="1" applyBorder="1" applyAlignment="1">
      <alignment horizontal="center"/>
    </xf>
    <xf numFmtId="9" fontId="3" fillId="0" borderId="0" xfId="2" applyFont="1" applyBorder="1" applyAlignment="1">
      <alignment horizontal="center"/>
    </xf>
    <xf numFmtId="0" fontId="9" fillId="0" borderId="0" xfId="0" applyFont="1"/>
    <xf numFmtId="167" fontId="3" fillId="0" borderId="0" xfId="0" applyNumberFormat="1" applyFont="1" applyBorder="1" applyAlignment="1">
      <alignment horizontal="centerContinuous"/>
    </xf>
    <xf numFmtId="167" fontId="3" fillId="0" borderId="0" xfId="0" applyNumberFormat="1" applyFont="1" applyAlignment="1">
      <alignment horizontal="centerContinuous"/>
    </xf>
    <xf numFmtId="167" fontId="8" fillId="0" borderId="0" xfId="0" applyNumberFormat="1" applyFont="1" applyBorder="1" applyAlignment="1">
      <alignment horizontal="center"/>
    </xf>
    <xf numFmtId="0" fontId="8" fillId="0" borderId="0" xfId="0" applyFont="1" applyFill="1" applyAlignment="1">
      <alignment horizontal="right"/>
    </xf>
    <xf numFmtId="0" fontId="9" fillId="0" borderId="0" xfId="0" applyFont="1" applyBorder="1"/>
    <xf numFmtId="0" fontId="13" fillId="0" borderId="0" xfId="0" applyFont="1"/>
    <xf numFmtId="0" fontId="3" fillId="0" borderId="0" xfId="0" applyFont="1" applyBorder="1" applyAlignment="1">
      <alignment vertical="top"/>
    </xf>
    <xf numFmtId="0" fontId="12" fillId="0" borderId="5" xfId="0" applyFont="1" applyBorder="1" applyAlignment="1">
      <alignment horizontal="centerContinuous"/>
    </xf>
    <xf numFmtId="0" fontId="8" fillId="0" borderId="0" xfId="0" applyFont="1" applyAlignment="1">
      <alignment horizontal="center"/>
    </xf>
    <xf numFmtId="0" fontId="8" fillId="0" borderId="0" xfId="0" applyFont="1" applyAlignment="1">
      <alignment horizontal="centerContinuous"/>
    </xf>
    <xf numFmtId="0" fontId="8" fillId="0" borderId="0" xfId="0" applyFont="1"/>
    <xf numFmtId="9" fontId="3" fillId="0" borderId="0" xfId="0" applyNumberFormat="1" applyFont="1" applyAlignment="1">
      <alignment horizontal="center"/>
    </xf>
    <xf numFmtId="0" fontId="8" fillId="0" borderId="0" xfId="0" applyFont="1" applyBorder="1" applyAlignment="1">
      <alignment horizontal="right"/>
    </xf>
    <xf numFmtId="167" fontId="3" fillId="0" borderId="0" xfId="0" applyNumberFormat="1" applyFont="1"/>
    <xf numFmtId="167" fontId="8" fillId="0" borderId="0" xfId="0" applyNumberFormat="1" applyFont="1" applyAlignment="1">
      <alignment horizontal="center"/>
    </xf>
    <xf numFmtId="0" fontId="7" fillId="0" borderId="0" xfId="0" applyFont="1"/>
    <xf numFmtId="14" fontId="8" fillId="0" borderId="0" xfId="0" applyNumberFormat="1" applyFont="1" applyAlignment="1">
      <alignment horizontal="centerContinuous"/>
    </xf>
    <xf numFmtId="0" fontId="15" fillId="0" borderId="0" xfId="0" applyFont="1" applyAlignment="1">
      <alignment horizontal="centerContinuous"/>
    </xf>
    <xf numFmtId="9" fontId="3" fillId="0" borderId="6" xfId="2" applyFont="1" applyFill="1" applyBorder="1" applyAlignment="1">
      <alignment horizontal="center"/>
    </xf>
    <xf numFmtId="9" fontId="3" fillId="0" borderId="4" xfId="2" applyFont="1" applyBorder="1" applyAlignment="1">
      <alignment horizontal="center"/>
    </xf>
    <xf numFmtId="9" fontId="3" fillId="0" borderId="7" xfId="2" applyFont="1" applyBorder="1" applyAlignment="1">
      <alignment horizontal="center"/>
    </xf>
    <xf numFmtId="10" fontId="3" fillId="0" borderId="8" xfId="0" applyNumberFormat="1" applyFont="1" applyBorder="1" applyAlignment="1">
      <alignment horizontal="center"/>
    </xf>
    <xf numFmtId="9" fontId="3" fillId="0" borderId="9" xfId="2" applyFont="1" applyFill="1" applyBorder="1" applyAlignment="1">
      <alignment horizontal="center"/>
    </xf>
    <xf numFmtId="9" fontId="3" fillId="0" borderId="10" xfId="2" applyFont="1" applyBorder="1" applyAlignment="1">
      <alignment horizontal="center"/>
    </xf>
    <xf numFmtId="10" fontId="3" fillId="0" borderId="11" xfId="0" applyNumberFormat="1" applyFont="1" applyBorder="1" applyAlignment="1">
      <alignment horizontal="center"/>
    </xf>
    <xf numFmtId="9" fontId="3" fillId="0" borderId="12" xfId="2" applyFont="1" applyFill="1" applyBorder="1" applyAlignment="1">
      <alignment horizontal="center"/>
    </xf>
    <xf numFmtId="9" fontId="3" fillId="0" borderId="5" xfId="2" applyFont="1" applyBorder="1" applyAlignment="1">
      <alignment horizontal="center"/>
    </xf>
    <xf numFmtId="9" fontId="3" fillId="0" borderId="13" xfId="2" applyFont="1" applyBorder="1" applyAlignment="1">
      <alignment horizontal="center"/>
    </xf>
    <xf numFmtId="10" fontId="3" fillId="0" borderId="14" xfId="0" applyNumberFormat="1" applyFont="1" applyBorder="1" applyAlignment="1">
      <alignment horizontal="center"/>
    </xf>
    <xf numFmtId="9" fontId="3" fillId="0" borderId="0" xfId="2" applyFont="1" applyFill="1" applyBorder="1" applyAlignment="1">
      <alignment horizontal="center"/>
    </xf>
    <xf numFmtId="9" fontId="3" fillId="0" borderId="0" xfId="2" applyFont="1" applyAlignment="1">
      <alignment horizontal="center"/>
    </xf>
    <xf numFmtId="10" fontId="3" fillId="0" borderId="0" xfId="0" applyNumberFormat="1" applyFont="1" applyAlignment="1">
      <alignment horizontal="center"/>
    </xf>
    <xf numFmtId="0" fontId="7" fillId="0" borderId="5" xfId="0" applyFont="1" applyBorder="1"/>
    <xf numFmtId="9" fontId="8" fillId="0" borderId="15" xfId="0" applyNumberFormat="1" applyFont="1" applyBorder="1" applyAlignment="1">
      <alignment horizontal="centerContinuous"/>
    </xf>
    <xf numFmtId="0" fontId="3" fillId="0" borderId="15" xfId="0" applyFont="1" applyBorder="1" applyAlignment="1">
      <alignment horizontal="centerContinuous"/>
    </xf>
    <xf numFmtId="0" fontId="2" fillId="0" borderId="0" xfId="0" applyFont="1" applyAlignment="1">
      <alignment horizontal="center"/>
    </xf>
    <xf numFmtId="0" fontId="3" fillId="0" borderId="0" xfId="0" applyFont="1" applyAlignment="1">
      <alignment horizontal="center" vertical="center"/>
    </xf>
    <xf numFmtId="0" fontId="0" fillId="0" borderId="0" xfId="0" applyAlignment="1">
      <alignment horizontal="right" vertical="center"/>
    </xf>
    <xf numFmtId="10" fontId="3" fillId="0" borderId="7" xfId="2" applyNumberFormat="1" applyFont="1" applyBorder="1" applyAlignment="1">
      <alignment horizontal="center"/>
    </xf>
    <xf numFmtId="171" fontId="3" fillId="0" borderId="16" xfId="0" applyNumberFormat="1" applyFont="1" applyBorder="1" applyAlignment="1">
      <alignment horizontal="center"/>
    </xf>
    <xf numFmtId="10" fontId="3" fillId="0" borderId="17" xfId="2" applyNumberFormat="1" applyFont="1" applyBorder="1" applyAlignment="1">
      <alignment horizontal="center"/>
    </xf>
    <xf numFmtId="10" fontId="3" fillId="0" borderId="13" xfId="2" applyNumberFormat="1" applyFont="1" applyBorder="1" applyAlignment="1">
      <alignment horizontal="center"/>
    </xf>
    <xf numFmtId="172" fontId="3" fillId="0" borderId="12" xfId="0" applyNumberFormat="1" applyFont="1" applyFill="1" applyBorder="1" applyAlignment="1">
      <alignment horizontal="center"/>
    </xf>
    <xf numFmtId="172" fontId="3" fillId="0" borderId="16" xfId="0" applyNumberFormat="1" applyFont="1" applyFill="1" applyBorder="1" applyAlignment="1">
      <alignment horizontal="center"/>
    </xf>
    <xf numFmtId="0" fontId="16" fillId="0" borderId="0" xfId="0" applyFont="1"/>
    <xf numFmtId="0" fontId="8" fillId="0" borderId="0" xfId="0" applyFont="1" applyBorder="1" applyAlignment="1">
      <alignment horizontal="centerContinuous"/>
    </xf>
    <xf numFmtId="0" fontId="0" fillId="0" borderId="0" xfId="0" applyAlignment="1">
      <alignment horizontal="centerContinuous"/>
    </xf>
    <xf numFmtId="0" fontId="8" fillId="0" borderId="16" xfId="0" applyFont="1" applyBorder="1" applyAlignment="1">
      <alignment horizontal="centerContinuous"/>
    </xf>
    <xf numFmtId="0" fontId="3" fillId="0" borderId="17" xfId="0" applyFont="1" applyBorder="1" applyAlignment="1">
      <alignment horizontal="centerContinuous"/>
    </xf>
    <xf numFmtId="0" fontId="0" fillId="0" borderId="5" xfId="0" applyBorder="1"/>
    <xf numFmtId="169" fontId="3" fillId="0" borderId="5" xfId="1" applyNumberFormat="1" applyFont="1" applyBorder="1" applyAlignment="1">
      <alignment horizontal="centerContinuous" vertical="center"/>
    </xf>
    <xf numFmtId="0" fontId="3" fillId="0" borderId="13" xfId="0" applyFont="1" applyBorder="1" applyAlignment="1">
      <alignment horizontal="centerContinuous"/>
    </xf>
    <xf numFmtId="0" fontId="17" fillId="0" borderId="16"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1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xf>
    <xf numFmtId="0" fontId="3" fillId="0" borderId="16" xfId="0" applyFont="1" applyBorder="1" applyAlignment="1">
      <alignment horizontal="center" vertical="center" wrapText="1"/>
    </xf>
    <xf numFmtId="0" fontId="3" fillId="0" borderId="17" xfId="0" applyFont="1" applyBorder="1" applyAlignment="1">
      <alignment horizontal="center" vertical="center"/>
    </xf>
    <xf numFmtId="0" fontId="3" fillId="0" borderId="18" xfId="0" applyFont="1" applyBorder="1" applyAlignment="1">
      <alignment horizontal="center" vertical="center" wrapText="1"/>
    </xf>
    <xf numFmtId="169" fontId="3" fillId="0" borderId="13" xfId="1" applyNumberFormat="1" applyFont="1" applyBorder="1" applyAlignment="1">
      <alignment horizontal="right"/>
    </xf>
    <xf numFmtId="173" fontId="3" fillId="0" borderId="15" xfId="0" applyNumberFormat="1" applyFont="1" applyFill="1" applyBorder="1" applyAlignment="1">
      <alignment horizontal="center"/>
    </xf>
    <xf numFmtId="171" fontId="3" fillId="0" borderId="6" xfId="0" applyNumberFormat="1" applyFont="1" applyFill="1" applyBorder="1" applyAlignment="1">
      <alignment horizontal="center"/>
    </xf>
    <xf numFmtId="171" fontId="3" fillId="0" borderId="7" xfId="0" applyNumberFormat="1" applyFont="1" applyFill="1" applyBorder="1" applyAlignment="1">
      <alignment horizontal="center"/>
    </xf>
    <xf numFmtId="10" fontId="3" fillId="0" borderId="15" xfId="2" applyNumberFormat="1" applyFont="1" applyBorder="1" applyAlignment="1">
      <alignment horizontal="center"/>
    </xf>
    <xf numFmtId="9" fontId="3" fillId="0" borderId="18" xfId="2" applyFont="1" applyBorder="1" applyAlignment="1">
      <alignment horizontal="center"/>
    </xf>
    <xf numFmtId="0" fontId="3" fillId="0" borderId="0" xfId="0" applyFont="1" applyFill="1" applyBorder="1"/>
    <xf numFmtId="173" fontId="3" fillId="0" borderId="6" xfId="0" applyNumberFormat="1" applyFont="1" applyFill="1" applyBorder="1" applyAlignment="1">
      <alignment horizontal="center"/>
    </xf>
    <xf numFmtId="173" fontId="3" fillId="0" borderId="4" xfId="0" applyNumberFormat="1" applyFont="1" applyFill="1" applyBorder="1" applyAlignment="1">
      <alignment horizontal="center"/>
    </xf>
    <xf numFmtId="10" fontId="3" fillId="0" borderId="4" xfId="2" applyNumberFormat="1" applyFont="1" applyBorder="1" applyAlignment="1">
      <alignment horizontal="center"/>
    </xf>
    <xf numFmtId="166" fontId="3" fillId="0" borderId="0" xfId="2" applyNumberFormat="1" applyFont="1"/>
    <xf numFmtId="173" fontId="3" fillId="0" borderId="9" xfId="0" applyNumberFormat="1" applyFont="1" applyFill="1" applyBorder="1" applyAlignment="1">
      <alignment horizontal="center"/>
    </xf>
    <xf numFmtId="173" fontId="3" fillId="0" borderId="0" xfId="0" applyNumberFormat="1" applyFont="1" applyFill="1" applyBorder="1" applyAlignment="1">
      <alignment horizontal="center"/>
    </xf>
    <xf numFmtId="171" fontId="3" fillId="0" borderId="9" xfId="0" applyNumberFormat="1" applyFont="1" applyFill="1" applyBorder="1" applyAlignment="1">
      <alignment horizontal="center"/>
    </xf>
    <xf numFmtId="171" fontId="3" fillId="0" borderId="10" xfId="0" applyNumberFormat="1" applyFont="1" applyFill="1" applyBorder="1" applyAlignment="1">
      <alignment horizontal="center"/>
    </xf>
    <xf numFmtId="10" fontId="3" fillId="0" borderId="10" xfId="2" applyNumberFormat="1" applyFont="1" applyBorder="1" applyAlignment="1">
      <alignment horizontal="center"/>
    </xf>
    <xf numFmtId="169" fontId="3" fillId="0" borderId="0" xfId="1" applyNumberFormat="1" applyFont="1" applyBorder="1" applyAlignment="1">
      <alignment horizontal="right"/>
    </xf>
    <xf numFmtId="166" fontId="3" fillId="0" borderId="0" xfId="2" applyNumberFormat="1" applyFont="1" applyBorder="1"/>
    <xf numFmtId="0" fontId="0" fillId="0" borderId="0" xfId="0" applyBorder="1"/>
    <xf numFmtId="0" fontId="3" fillId="0" borderId="0" xfId="0" applyFont="1" applyFill="1" applyBorder="1" applyAlignment="1">
      <alignment horizontal="right"/>
    </xf>
    <xf numFmtId="0" fontId="3" fillId="0" borderId="9" xfId="0" applyFont="1" applyBorder="1"/>
    <xf numFmtId="166" fontId="3" fillId="0" borderId="9" xfId="2" applyNumberFormat="1" applyFont="1" applyBorder="1"/>
    <xf numFmtId="10" fontId="3" fillId="0" borderId="9" xfId="2" applyNumberFormat="1" applyFont="1" applyBorder="1" applyAlignment="1">
      <alignment horizontal="center"/>
    </xf>
    <xf numFmtId="173" fontId="3" fillId="0" borderId="10" xfId="0" applyNumberFormat="1" applyFont="1" applyFill="1" applyBorder="1" applyAlignment="1">
      <alignment horizontal="center"/>
    </xf>
    <xf numFmtId="171" fontId="3" fillId="0" borderId="0" xfId="0" applyNumberFormat="1" applyFont="1" applyFill="1" applyBorder="1" applyAlignment="1">
      <alignment horizontal="center"/>
    </xf>
    <xf numFmtId="0" fontId="18" fillId="0" borderId="0" xfId="0" applyFont="1" applyAlignment="1">
      <alignment horizontal="centerContinuous"/>
    </xf>
    <xf numFmtId="0" fontId="9" fillId="0" borderId="0" xfId="0" applyFont="1" applyAlignment="1">
      <alignment horizontal="centerContinuous"/>
    </xf>
    <xf numFmtId="0" fontId="0" fillId="0" borderId="0" xfId="0" applyAlignment="1">
      <alignment horizontal="center"/>
    </xf>
    <xf numFmtId="0" fontId="16" fillId="0" borderId="0" xfId="0" applyFont="1" applyAlignment="1">
      <alignment horizontal="center"/>
    </xf>
    <xf numFmtId="0" fontId="3" fillId="0" borderId="6" xfId="0" applyFont="1" applyBorder="1" applyAlignment="1">
      <alignment horizontal="centerContinuous"/>
    </xf>
    <xf numFmtId="0" fontId="8" fillId="0" borderId="4" xfId="0" applyFont="1" applyBorder="1" applyAlignment="1">
      <alignment horizontal="centerContinuous"/>
    </xf>
    <xf numFmtId="0" fontId="3" fillId="0" borderId="7" xfId="0" applyFont="1" applyBorder="1" applyAlignment="1">
      <alignment horizontal="centerContinuous"/>
    </xf>
    <xf numFmtId="0" fontId="3" fillId="0" borderId="16" xfId="0" applyFont="1" applyBorder="1" applyAlignment="1">
      <alignment horizontal="centerContinuous"/>
    </xf>
    <xf numFmtId="169" fontId="3" fillId="0" borderId="18" xfId="1" applyNumberFormat="1" applyFont="1" applyBorder="1" applyAlignment="1">
      <alignment horizontal="center" vertical="center" wrapText="1"/>
    </xf>
    <xf numFmtId="169" fontId="3" fillId="0" borderId="15" xfId="1"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19" fillId="0" borderId="0"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2" fontId="3" fillId="0" borderId="0" xfId="0" applyNumberFormat="1" applyFont="1" applyFill="1" applyBorder="1" applyAlignment="1">
      <alignment horizontal="right"/>
    </xf>
    <xf numFmtId="174" fontId="3" fillId="0" borderId="18" xfId="0" applyNumberFormat="1" applyFont="1" applyFill="1" applyBorder="1" applyAlignment="1">
      <alignment horizontal="center"/>
    </xf>
    <xf numFmtId="173" fontId="3" fillId="0" borderId="18" xfId="0" applyNumberFormat="1" applyFont="1" applyFill="1" applyBorder="1" applyAlignment="1">
      <alignment horizontal="center"/>
    </xf>
    <xf numFmtId="0" fontId="3" fillId="0" borderId="16" xfId="0" applyFont="1" applyBorder="1"/>
    <xf numFmtId="0" fontId="3" fillId="0" borderId="15" xfId="0" applyFont="1" applyBorder="1"/>
    <xf numFmtId="173" fontId="3" fillId="0" borderId="17" xfId="0" applyNumberFormat="1" applyFont="1" applyFill="1" applyBorder="1" applyAlignment="1">
      <alignment horizontal="center"/>
    </xf>
    <xf numFmtId="0" fontId="3" fillId="0" borderId="17" xfId="0" applyFont="1" applyBorder="1"/>
    <xf numFmtId="173" fontId="3" fillId="0" borderId="5" xfId="0" applyNumberFormat="1" applyFont="1" applyFill="1" applyBorder="1" applyAlignment="1">
      <alignment horizontal="center"/>
    </xf>
    <xf numFmtId="10" fontId="3" fillId="0" borderId="13" xfId="2" applyNumberFormat="1" applyFont="1" applyFill="1" applyBorder="1" applyAlignment="1">
      <alignment horizontal="center"/>
    </xf>
    <xf numFmtId="173" fontId="3" fillId="0" borderId="16" xfId="0" applyNumberFormat="1" applyFont="1" applyFill="1" applyBorder="1" applyAlignment="1">
      <alignment horizontal="center"/>
    </xf>
    <xf numFmtId="10" fontId="3" fillId="0" borderId="17" xfId="2" applyNumberFormat="1" applyFont="1" applyFill="1" applyBorder="1" applyAlignment="1">
      <alignment horizontal="center"/>
    </xf>
    <xf numFmtId="173" fontId="3" fillId="0" borderId="8" xfId="0" applyNumberFormat="1" applyFont="1" applyFill="1" applyBorder="1" applyAlignment="1">
      <alignment horizontal="center"/>
    </xf>
    <xf numFmtId="173" fontId="3" fillId="0" borderId="7" xfId="0" applyNumberFormat="1" applyFont="1" applyFill="1" applyBorder="1" applyAlignment="1">
      <alignment horizontal="center"/>
    </xf>
    <xf numFmtId="2" fontId="3" fillId="0" borderId="0" xfId="0" applyNumberFormat="1" applyFont="1" applyFill="1" applyBorder="1" applyAlignment="1">
      <alignment horizontal="center"/>
    </xf>
    <xf numFmtId="10" fontId="3" fillId="0" borderId="10" xfId="2" applyNumberFormat="1" applyFont="1" applyFill="1" applyBorder="1" applyAlignment="1">
      <alignment horizontal="center"/>
    </xf>
    <xf numFmtId="10" fontId="3" fillId="0" borderId="7" xfId="2" applyNumberFormat="1" applyFont="1" applyFill="1" applyBorder="1" applyAlignment="1">
      <alignment horizontal="center"/>
    </xf>
    <xf numFmtId="173" fontId="3" fillId="0" borderId="11" xfId="0" applyNumberFormat="1" applyFont="1" applyFill="1" applyBorder="1" applyAlignment="1">
      <alignment horizontal="center"/>
    </xf>
    <xf numFmtId="0" fontId="3" fillId="0" borderId="0" xfId="0" applyFont="1" applyBorder="1" applyAlignment="1"/>
    <xf numFmtId="169" fontId="3" fillId="0" borderId="7" xfId="1" applyNumberFormat="1" applyFont="1" applyBorder="1" applyAlignment="1">
      <alignment horizontal="center" vertical="center" wrapText="1"/>
    </xf>
    <xf numFmtId="169" fontId="3" fillId="0" borderId="16" xfId="1" applyNumberFormat="1" applyFont="1" applyBorder="1" applyAlignment="1">
      <alignment horizontal="center" vertical="center" wrapText="1"/>
    </xf>
    <xf numFmtId="169" fontId="8" fillId="0" borderId="17" xfId="1" applyNumberFormat="1" applyFont="1" applyBorder="1" applyAlignment="1">
      <alignment horizontal="center" vertical="center" wrapText="1"/>
    </xf>
    <xf numFmtId="0" fontId="0" fillId="0" borderId="15" xfId="0" applyBorder="1"/>
    <xf numFmtId="169" fontId="3" fillId="0" borderId="17" xfId="1" applyNumberFormat="1" applyFont="1" applyBorder="1" applyAlignment="1">
      <alignment horizontal="center" vertical="center" wrapText="1"/>
    </xf>
    <xf numFmtId="0" fontId="3" fillId="0" borderId="15" xfId="0" applyFont="1" applyBorder="1" applyAlignment="1">
      <alignment horizontal="center"/>
    </xf>
    <xf numFmtId="0" fontId="3" fillId="0" borderId="17" xfId="0" applyFont="1" applyBorder="1" applyAlignment="1">
      <alignment horizontal="center"/>
    </xf>
    <xf numFmtId="168" fontId="3" fillId="0" borderId="18" xfId="0" applyNumberFormat="1" applyFont="1" applyBorder="1" applyAlignment="1">
      <alignment horizontal="center"/>
    </xf>
    <xf numFmtId="10" fontId="3" fillId="0" borderId="16" xfId="2" applyNumberFormat="1" applyFont="1" applyBorder="1" applyAlignment="1">
      <alignment horizontal="center" vertical="center" wrapText="1"/>
    </xf>
    <xf numFmtId="10" fontId="3" fillId="0" borderId="15" xfId="2" applyNumberFormat="1" applyFont="1" applyBorder="1" applyAlignment="1">
      <alignment horizontal="center" vertical="center" wrapText="1"/>
    </xf>
    <xf numFmtId="10" fontId="8" fillId="0" borderId="17" xfId="2" applyNumberFormat="1" applyFont="1" applyBorder="1" applyAlignment="1">
      <alignment horizontal="center" vertical="center" wrapText="1"/>
    </xf>
    <xf numFmtId="0" fontId="9" fillId="0" borderId="5" xfId="0" applyFont="1" applyBorder="1"/>
    <xf numFmtId="0" fontId="3" fillId="0" borderId="5" xfId="0" applyFont="1" applyBorder="1" applyAlignment="1">
      <alignment horizontal="center" vertical="center" wrapText="1"/>
    </xf>
    <xf numFmtId="175" fontId="3" fillId="0" borderId="6" xfId="0" applyNumberFormat="1" applyFont="1" applyFill="1" applyBorder="1" applyAlignment="1">
      <alignment horizontal="center"/>
    </xf>
    <xf numFmtId="175" fontId="3" fillId="0" borderId="0" xfId="0" applyNumberFormat="1" applyFont="1" applyFill="1" applyBorder="1" applyAlignment="1">
      <alignment horizontal="center"/>
    </xf>
    <xf numFmtId="175" fontId="3" fillId="0" borderId="4" xfId="0" applyNumberFormat="1" applyFont="1" applyFill="1" applyBorder="1" applyAlignment="1">
      <alignment horizontal="center"/>
    </xf>
    <xf numFmtId="175" fontId="3" fillId="0" borderId="10" xfId="0" applyNumberFormat="1" applyFont="1" applyFill="1" applyBorder="1" applyAlignment="1">
      <alignment horizontal="center"/>
    </xf>
    <xf numFmtId="168" fontId="3" fillId="0" borderId="11" xfId="0" applyNumberFormat="1" applyFont="1" applyBorder="1" applyAlignment="1">
      <alignment horizontal="center"/>
    </xf>
    <xf numFmtId="10" fontId="3" fillId="0" borderId="4" xfId="2" applyNumberFormat="1" applyFont="1" applyFill="1" applyBorder="1" applyAlignment="1">
      <alignment horizontal="center"/>
    </xf>
    <xf numFmtId="175" fontId="3" fillId="0" borderId="9" xfId="0" applyNumberFormat="1" applyFont="1" applyFill="1" applyBorder="1" applyAlignment="1">
      <alignment horizontal="center"/>
    </xf>
    <xf numFmtId="10" fontId="3" fillId="0" borderId="0" xfId="2" applyNumberFormat="1" applyFont="1" applyFill="1" applyBorder="1" applyAlignment="1">
      <alignment horizontal="center"/>
    </xf>
    <xf numFmtId="166" fontId="3" fillId="0" borderId="0" xfId="2" applyNumberFormat="1" applyFont="1" applyFill="1" applyBorder="1" applyAlignment="1">
      <alignment horizontal="center"/>
    </xf>
    <xf numFmtId="0" fontId="12" fillId="0" borderId="0" xfId="0" applyFont="1"/>
    <xf numFmtId="0" fontId="8" fillId="0" borderId="15" xfId="0" applyFont="1" applyBorder="1" applyAlignment="1">
      <alignment horizontal="centerContinuous"/>
    </xf>
    <xf numFmtId="0" fontId="3" fillId="0" borderId="5" xfId="0" applyFont="1" applyBorder="1" applyAlignment="1">
      <alignment wrapText="1"/>
    </xf>
    <xf numFmtId="0" fontId="3" fillId="0" borderId="5" xfId="0" applyFont="1" applyBorder="1" applyAlignment="1">
      <alignment horizontal="right" wrapText="1"/>
    </xf>
    <xf numFmtId="14" fontId="3" fillId="0" borderId="5" xfId="0" applyNumberFormat="1" applyFont="1" applyBorder="1" applyAlignment="1">
      <alignment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8" xfId="0" applyFont="1" applyBorder="1" applyAlignment="1">
      <alignment horizontal="center" vertical="center" wrapText="1"/>
    </xf>
    <xf numFmtId="0" fontId="3" fillId="0" borderId="0" xfId="0" applyFont="1" applyBorder="1" applyAlignment="1">
      <alignment wrapText="1"/>
    </xf>
    <xf numFmtId="166" fontId="3" fillId="0" borderId="5" xfId="2" applyNumberFormat="1" applyFont="1" applyBorder="1"/>
    <xf numFmtId="10" fontId="3" fillId="0" borderId="16" xfId="2" applyNumberFormat="1" applyFont="1" applyBorder="1" applyAlignment="1">
      <alignment horizontal="center"/>
    </xf>
    <xf numFmtId="172" fontId="3" fillId="0" borderId="0" xfId="0" applyNumberFormat="1" applyFont="1" applyFill="1" applyBorder="1" applyAlignment="1">
      <alignment horizontal="center"/>
    </xf>
    <xf numFmtId="10" fontId="3" fillId="0" borderId="8" xfId="2" applyNumberFormat="1" applyFont="1" applyBorder="1" applyAlignment="1">
      <alignment horizontal="center"/>
    </xf>
    <xf numFmtId="10" fontId="3" fillId="0" borderId="11" xfId="2" applyNumberFormat="1" applyFont="1" applyBorder="1" applyAlignment="1">
      <alignment horizontal="center"/>
    </xf>
    <xf numFmtId="10" fontId="3" fillId="0" borderId="5" xfId="2" applyNumberFormat="1" applyFont="1" applyFill="1" applyBorder="1" applyAlignment="1">
      <alignment horizontal="center"/>
    </xf>
    <xf numFmtId="166" fontId="3" fillId="0" borderId="0" xfId="0" applyNumberFormat="1" applyFont="1" applyAlignment="1">
      <alignment horizontal="center"/>
    </xf>
    <xf numFmtId="14" fontId="3" fillId="0" borderId="0" xfId="0" applyNumberFormat="1" applyFont="1" applyBorder="1"/>
    <xf numFmtId="0" fontId="3" fillId="0" borderId="5" xfId="0" applyFont="1" applyFill="1" applyBorder="1"/>
    <xf numFmtId="0" fontId="3" fillId="0" borderId="5" xfId="0" applyFont="1" applyFill="1" applyBorder="1" applyAlignment="1">
      <alignment horizontal="center"/>
    </xf>
    <xf numFmtId="0" fontId="7" fillId="0" borderId="0" xfId="0" applyFont="1" applyFill="1" applyBorder="1" applyAlignment="1">
      <alignment horizontal="left"/>
    </xf>
    <xf numFmtId="0" fontId="8" fillId="0" borderId="0" xfId="0" applyFont="1" applyFill="1" applyAlignment="1">
      <alignment horizontal="left"/>
    </xf>
    <xf numFmtId="175" fontId="8" fillId="0" borderId="0" xfId="0" applyNumberFormat="1"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Fill="1" applyAlignment="1">
      <alignment horizontal="right"/>
    </xf>
    <xf numFmtId="165" fontId="3" fillId="0" borderId="8" xfId="0" applyNumberFormat="1" applyFont="1" applyFill="1" applyBorder="1" applyAlignment="1">
      <alignment horizontal="center"/>
    </xf>
    <xf numFmtId="165" fontId="3" fillId="0" borderId="6" xfId="0" applyNumberFormat="1" applyFont="1" applyFill="1" applyBorder="1" applyAlignment="1">
      <alignment horizontal="center"/>
    </xf>
    <xf numFmtId="165" fontId="3" fillId="0" borderId="4" xfId="0" applyNumberFormat="1" applyFont="1" applyFill="1" applyBorder="1" applyAlignment="1">
      <alignment horizontal="center"/>
    </xf>
    <xf numFmtId="165" fontId="3" fillId="0" borderId="7" xfId="0" applyNumberFormat="1" applyFont="1" applyFill="1" applyBorder="1" applyAlignment="1">
      <alignment horizontal="center"/>
    </xf>
    <xf numFmtId="165" fontId="3" fillId="0" borderId="11" xfId="0" applyNumberFormat="1" applyFont="1" applyFill="1" applyBorder="1" applyAlignment="1">
      <alignment horizontal="center"/>
    </xf>
    <xf numFmtId="165" fontId="3" fillId="0" borderId="9" xfId="0" applyNumberFormat="1" applyFont="1" applyFill="1" applyBorder="1" applyAlignment="1">
      <alignment horizontal="center"/>
    </xf>
    <xf numFmtId="165" fontId="3" fillId="0" borderId="10" xfId="0" applyNumberFormat="1" applyFont="1" applyFill="1" applyBorder="1" applyAlignment="1">
      <alignment horizontal="center"/>
    </xf>
    <xf numFmtId="10" fontId="3" fillId="0" borderId="0" xfId="2" applyNumberFormat="1" applyFont="1"/>
    <xf numFmtId="176" fontId="3" fillId="0" borderId="0" xfId="2" applyNumberFormat="1" applyFont="1"/>
    <xf numFmtId="165" fontId="3" fillId="0" borderId="14" xfId="0" applyNumberFormat="1" applyFont="1" applyFill="1" applyBorder="1" applyAlignment="1">
      <alignment horizontal="center"/>
    </xf>
    <xf numFmtId="165" fontId="3" fillId="0" borderId="13" xfId="0" applyNumberFormat="1" applyFont="1" applyFill="1" applyBorder="1" applyAlignment="1">
      <alignment horizontal="center"/>
    </xf>
    <xf numFmtId="165" fontId="3" fillId="0" borderId="0" xfId="0" applyNumberFormat="1" applyFont="1" applyAlignment="1">
      <alignment horizontal="center"/>
    </xf>
    <xf numFmtId="165" fontId="3" fillId="0" borderId="12" xfId="0" applyNumberFormat="1" applyFont="1" applyFill="1" applyBorder="1" applyAlignment="1">
      <alignment horizontal="center"/>
    </xf>
    <xf numFmtId="0" fontId="3" fillId="4" borderId="0" xfId="0" applyFont="1" applyFill="1"/>
    <xf numFmtId="0" fontId="3" fillId="0" borderId="0" xfId="0" applyFont="1" applyFill="1" applyBorder="1" applyAlignment="1">
      <alignment horizontal="center"/>
    </xf>
    <xf numFmtId="0" fontId="3" fillId="0" borderId="0" xfId="0" applyFont="1" applyFill="1"/>
    <xf numFmtId="0" fontId="3" fillId="0" borderId="0" xfId="0" applyFont="1" applyFill="1" applyAlignment="1">
      <alignment horizontal="left"/>
    </xf>
    <xf numFmtId="0" fontId="3" fillId="0" borderId="0" xfId="0" applyFont="1" applyFill="1" applyAlignment="1">
      <alignment horizontal="center"/>
    </xf>
    <xf numFmtId="0" fontId="3" fillId="0" borderId="0" xfId="0" applyFont="1" applyFill="1" applyAlignment="1">
      <alignment horizontal="center" wrapText="1"/>
    </xf>
    <xf numFmtId="0" fontId="3" fillId="0" borderId="0" xfId="0" applyFont="1" applyFill="1" applyBorder="1" applyAlignment="1">
      <alignment horizontal="center" vertical="center" wrapText="1"/>
    </xf>
    <xf numFmtId="0" fontId="3" fillId="0" borderId="16" xfId="0" applyFont="1" applyFill="1" applyBorder="1" applyAlignment="1">
      <alignment horizontal="center"/>
    </xf>
    <xf numFmtId="0" fontId="3" fillId="0" borderId="15" xfId="0" applyFont="1" applyFill="1" applyBorder="1" applyAlignment="1">
      <alignment horizontal="center"/>
    </xf>
    <xf numFmtId="177" fontId="3" fillId="0" borderId="8" xfId="0" applyNumberFormat="1" applyFont="1" applyFill="1" applyBorder="1" applyAlignment="1">
      <alignment horizontal="center"/>
    </xf>
    <xf numFmtId="175" fontId="3" fillId="0" borderId="8" xfId="0" applyNumberFormat="1" applyFont="1" applyFill="1" applyBorder="1" applyAlignment="1">
      <alignment horizontal="center"/>
    </xf>
    <xf numFmtId="175" fontId="3" fillId="0" borderId="7" xfId="0" applyNumberFormat="1" applyFont="1" applyFill="1" applyBorder="1" applyAlignment="1">
      <alignment horizontal="center"/>
    </xf>
    <xf numFmtId="177" fontId="3" fillId="0" borderId="11" xfId="0" applyNumberFormat="1" applyFont="1" applyFill="1" applyBorder="1" applyAlignment="1">
      <alignment horizontal="center"/>
    </xf>
    <xf numFmtId="175" fontId="3" fillId="0" borderId="11" xfId="0" applyNumberFormat="1" applyFont="1" applyFill="1" applyBorder="1" applyAlignment="1">
      <alignment horizontal="center"/>
    </xf>
    <xf numFmtId="175" fontId="3" fillId="0" borderId="14" xfId="0" applyNumberFormat="1" applyFont="1" applyFill="1" applyBorder="1" applyAlignment="1">
      <alignment horizontal="center"/>
    </xf>
    <xf numFmtId="175" fontId="3" fillId="0" borderId="5" xfId="0" applyNumberFormat="1" applyFont="1" applyFill="1" applyBorder="1" applyAlignment="1">
      <alignment horizontal="center"/>
    </xf>
    <xf numFmtId="175" fontId="3" fillId="0" borderId="13" xfId="0" applyNumberFormat="1" applyFont="1" applyFill="1" applyBorder="1" applyAlignment="1">
      <alignment horizontal="center"/>
    </xf>
    <xf numFmtId="177" fontId="3" fillId="0" borderId="4" xfId="0" applyNumberFormat="1" applyFont="1" applyFill="1" applyBorder="1" applyAlignment="1">
      <alignment horizontal="center"/>
    </xf>
    <xf numFmtId="0" fontId="8" fillId="0" borderId="0" xfId="0" applyFont="1" applyAlignment="1">
      <alignment horizontal="left"/>
    </xf>
    <xf numFmtId="0" fontId="3" fillId="0" borderId="0" xfId="0" applyFont="1" applyBorder="1" applyAlignment="1">
      <alignment horizontal="center" wrapText="1"/>
    </xf>
    <xf numFmtId="0" fontId="3" fillId="0" borderId="6" xfId="0" applyFont="1" applyFill="1" applyBorder="1" applyAlignment="1">
      <alignment horizontal="center" vertical="center" wrapText="1"/>
    </xf>
    <xf numFmtId="0" fontId="3" fillId="0" borderId="15" xfId="0" applyFont="1" applyFill="1" applyBorder="1" applyAlignment="1">
      <alignment horizontal="center" wrapText="1"/>
    </xf>
    <xf numFmtId="0" fontId="3" fillId="0" borderId="17" xfId="0" applyFont="1" applyFill="1" applyBorder="1" applyAlignment="1">
      <alignment horizontal="center" wrapText="1"/>
    </xf>
    <xf numFmtId="178" fontId="3" fillId="0" borderId="6" xfId="0" applyNumberFormat="1" applyFont="1" applyFill="1" applyBorder="1" applyAlignment="1">
      <alignment horizontal="center"/>
    </xf>
    <xf numFmtId="178" fontId="3" fillId="0" borderId="4" xfId="0" applyNumberFormat="1" applyFont="1" applyFill="1" applyBorder="1" applyAlignment="1">
      <alignment horizontal="center"/>
    </xf>
    <xf numFmtId="178" fontId="3" fillId="0" borderId="7" xfId="0" applyNumberFormat="1" applyFont="1" applyFill="1" applyBorder="1" applyAlignment="1">
      <alignment horizontal="center"/>
    </xf>
    <xf numFmtId="178" fontId="3" fillId="0" borderId="8" xfId="0" applyNumberFormat="1" applyFont="1" applyFill="1" applyBorder="1" applyAlignment="1">
      <alignment horizontal="center"/>
    </xf>
    <xf numFmtId="178" fontId="3" fillId="0" borderId="9" xfId="0" applyNumberFormat="1" applyFont="1" applyFill="1" applyBorder="1" applyAlignment="1">
      <alignment horizontal="center"/>
    </xf>
    <xf numFmtId="178" fontId="3" fillId="0" borderId="0" xfId="0" applyNumberFormat="1" applyFont="1" applyFill="1" applyBorder="1" applyAlignment="1">
      <alignment horizontal="center"/>
    </xf>
    <xf numFmtId="178" fontId="3" fillId="0" borderId="10" xfId="0" applyNumberFormat="1" applyFont="1" applyFill="1" applyBorder="1" applyAlignment="1">
      <alignment horizontal="center"/>
    </xf>
    <xf numFmtId="178" fontId="3" fillId="0" borderId="11" xfId="0" applyNumberFormat="1" applyFont="1" applyFill="1" applyBorder="1" applyAlignment="1">
      <alignment horizontal="center"/>
    </xf>
    <xf numFmtId="178" fontId="3" fillId="0" borderId="12" xfId="0" applyNumberFormat="1" applyFont="1" applyFill="1" applyBorder="1" applyAlignment="1">
      <alignment horizontal="center"/>
    </xf>
    <xf numFmtId="178" fontId="3" fillId="0" borderId="5" xfId="0" applyNumberFormat="1" applyFont="1" applyFill="1" applyBorder="1" applyAlignment="1">
      <alignment horizontal="center"/>
    </xf>
    <xf numFmtId="178" fontId="3" fillId="0" borderId="13" xfId="0" applyNumberFormat="1" applyFont="1" applyFill="1" applyBorder="1" applyAlignment="1">
      <alignment horizontal="center"/>
    </xf>
    <xf numFmtId="0" fontId="3" fillId="0" borderId="4" xfId="0" applyFont="1" applyFill="1" applyBorder="1" applyAlignment="1">
      <alignment horizontal="center" wrapText="1"/>
    </xf>
    <xf numFmtId="0" fontId="3" fillId="0" borderId="7" xfId="0" applyFont="1" applyFill="1" applyBorder="1" applyAlignment="1">
      <alignment horizontal="center" wrapText="1"/>
    </xf>
    <xf numFmtId="178" fontId="3" fillId="0" borderId="14" xfId="0" applyNumberFormat="1" applyFont="1" applyFill="1" applyBorder="1" applyAlignment="1">
      <alignment horizontal="center"/>
    </xf>
    <xf numFmtId="0" fontId="3" fillId="0" borderId="0" xfId="0" applyFont="1" applyAlignment="1">
      <alignment horizontal="center" wrapText="1"/>
    </xf>
    <xf numFmtId="166" fontId="3" fillId="0" borderId="7" xfId="2" applyNumberFormat="1" applyFont="1" applyFill="1" applyBorder="1" applyAlignment="1">
      <alignment horizontal="center"/>
    </xf>
    <xf numFmtId="166" fontId="3" fillId="0" borderId="10" xfId="2" applyNumberFormat="1" applyFont="1" applyFill="1" applyBorder="1" applyAlignment="1">
      <alignment horizontal="center"/>
    </xf>
    <xf numFmtId="0" fontId="3" fillId="0" borderId="0" xfId="0" applyFont="1" applyAlignment="1">
      <alignment horizontal="left"/>
    </xf>
    <xf numFmtId="166" fontId="3" fillId="0" borderId="6" xfId="2" applyNumberFormat="1" applyFont="1" applyFill="1" applyBorder="1" applyAlignment="1">
      <alignment horizontal="center"/>
    </xf>
    <xf numFmtId="166" fontId="3" fillId="0" borderId="4" xfId="2" applyNumberFormat="1" applyFont="1" applyBorder="1" applyAlignment="1">
      <alignment horizontal="center"/>
    </xf>
    <xf numFmtId="166" fontId="3" fillId="0" borderId="7" xfId="2" applyNumberFormat="1" applyFont="1" applyBorder="1" applyAlignment="1">
      <alignment horizontal="center"/>
    </xf>
    <xf numFmtId="166" fontId="3" fillId="0" borderId="9" xfId="2" applyNumberFormat="1" applyFont="1" applyFill="1" applyBorder="1" applyAlignment="1">
      <alignment horizontal="center"/>
    </xf>
    <xf numFmtId="166" fontId="3" fillId="0" borderId="10" xfId="2" applyNumberFormat="1" applyFont="1" applyBorder="1" applyAlignment="1">
      <alignment horizontal="center"/>
    </xf>
    <xf numFmtId="166" fontId="3" fillId="0" borderId="12" xfId="2" applyNumberFormat="1" applyFont="1" applyFill="1" applyBorder="1" applyAlignment="1">
      <alignment horizontal="center"/>
    </xf>
    <xf numFmtId="166" fontId="3" fillId="0" borderId="13" xfId="2" applyNumberFormat="1" applyFont="1" applyBorder="1" applyAlignment="1">
      <alignment horizontal="center"/>
    </xf>
    <xf numFmtId="172" fontId="3" fillId="0" borderId="9" xfId="0" applyNumberFormat="1" applyFont="1" applyFill="1" applyBorder="1" applyAlignment="1">
      <alignment horizontal="center"/>
    </xf>
    <xf numFmtId="173" fontId="3" fillId="0" borderId="12" xfId="0" applyNumberFormat="1" applyFont="1" applyFill="1" applyBorder="1" applyAlignment="1">
      <alignment horizontal="center"/>
    </xf>
    <xf numFmtId="179" fontId="3" fillId="0" borderId="0" xfId="0" applyNumberFormat="1" applyFont="1" applyAlignment="1">
      <alignment horizontal="center"/>
    </xf>
    <xf numFmtId="179" fontId="3" fillId="0" borderId="0" xfId="0" applyNumberFormat="1" applyFont="1"/>
    <xf numFmtId="179" fontId="3" fillId="0" borderId="5" xfId="0" applyNumberFormat="1" applyFont="1" applyBorder="1" applyAlignment="1">
      <alignment horizontal="center"/>
    </xf>
    <xf numFmtId="0" fontId="9" fillId="0" borderId="0" xfId="0" applyFont="1" applyAlignment="1">
      <alignment horizontal="right" vertical="center"/>
    </xf>
    <xf numFmtId="166" fontId="3" fillId="0" borderId="5" xfId="2" applyNumberFormat="1" applyFont="1" applyFill="1" applyBorder="1" applyAlignment="1">
      <alignment horizontal="center"/>
    </xf>
    <xf numFmtId="14" fontId="0" fillId="0" borderId="0" xfId="0" applyNumberFormat="1"/>
    <xf numFmtId="166" fontId="3" fillId="0" borderId="17" xfId="2" applyNumberFormat="1" applyFont="1" applyBorder="1" applyAlignment="1">
      <alignment horizontal="center"/>
    </xf>
    <xf numFmtId="0" fontId="3" fillId="0" borderId="0" xfId="0" applyFont="1"/>
    <xf numFmtId="0" fontId="3" fillId="0" borderId="0" xfId="0" applyFont="1"/>
    <xf numFmtId="10" fontId="3" fillId="0" borderId="0" xfId="0" applyNumberFormat="1" applyFont="1" applyFill="1" applyBorder="1" applyAlignment="1">
      <alignment horizontal="center"/>
    </xf>
    <xf numFmtId="0" fontId="3" fillId="0" borderId="0" xfId="0" applyFont="1"/>
    <xf numFmtId="166" fontId="3" fillId="0" borderId="4" xfId="2" applyNumberFormat="1" applyFont="1" applyFill="1" applyBorder="1" applyAlignment="1">
      <alignment horizontal="center"/>
    </xf>
    <xf numFmtId="0" fontId="0" fillId="0" borderId="0" xfId="0" applyFont="1" applyAlignment="1">
      <alignment horizontal="right"/>
    </xf>
    <xf numFmtId="0" fontId="3" fillId="0" borderId="0" xfId="0" applyFont="1"/>
    <xf numFmtId="172" fontId="3" fillId="0" borderId="4" xfId="0" applyNumberFormat="1" applyFont="1" applyFill="1" applyBorder="1" applyAlignment="1">
      <alignment horizontal="center"/>
    </xf>
    <xf numFmtId="169" fontId="3" fillId="0" borderId="5" xfId="1" applyNumberFormat="1" applyFont="1" applyBorder="1" applyAlignment="1">
      <alignment horizontal="right"/>
    </xf>
    <xf numFmtId="172" fontId="3" fillId="0" borderId="15" xfId="0" applyNumberFormat="1" applyFont="1" applyFill="1" applyBorder="1" applyAlignment="1">
      <alignment horizontal="center"/>
    </xf>
    <xf numFmtId="0" fontId="17" fillId="0" borderId="6" xfId="0" applyFont="1" applyBorder="1" applyAlignment="1">
      <alignment horizontal="center" vertical="center" wrapText="1"/>
    </xf>
    <xf numFmtId="0" fontId="17" fillId="0" borderId="4" xfId="0" applyFont="1" applyBorder="1" applyAlignment="1">
      <alignment horizontal="center" vertical="center" wrapText="1"/>
    </xf>
    <xf numFmtId="0" fontId="24" fillId="0" borderId="0" xfId="0" applyFont="1"/>
    <xf numFmtId="0" fontId="25" fillId="0" borderId="0" xfId="0" applyFont="1"/>
    <xf numFmtId="0" fontId="3" fillId="0" borderId="0" xfId="0" applyFont="1"/>
    <xf numFmtId="9" fontId="3" fillId="0" borderId="4" xfId="2" applyFont="1" applyFill="1" applyBorder="1" applyAlignment="1">
      <alignment horizontal="center"/>
    </xf>
    <xf numFmtId="9" fontId="3" fillId="0" borderId="7" xfId="2" applyFont="1" applyFill="1" applyBorder="1" applyAlignment="1">
      <alignment horizontal="center"/>
    </xf>
    <xf numFmtId="9" fontId="3" fillId="0" borderId="10" xfId="2" applyFont="1" applyFill="1" applyBorder="1" applyAlignment="1">
      <alignment horizontal="center"/>
    </xf>
    <xf numFmtId="9" fontId="3" fillId="0" borderId="5" xfId="2" applyFont="1" applyFill="1" applyBorder="1" applyAlignment="1">
      <alignment horizontal="center"/>
    </xf>
    <xf numFmtId="9" fontId="3" fillId="0" borderId="13" xfId="2" applyFont="1" applyFill="1" applyBorder="1" applyAlignment="1">
      <alignment horizontal="center"/>
    </xf>
    <xf numFmtId="0" fontId="8" fillId="0" borderId="0" xfId="0" applyFont="1" applyBorder="1" applyAlignment="1">
      <alignment horizontal="center" vertical="center" wrapText="1"/>
    </xf>
    <xf numFmtId="0" fontId="3" fillId="0" borderId="0" xfId="0" applyFont="1" applyBorder="1" applyAlignment="1">
      <alignment horizontal="center" vertical="center" wrapText="1"/>
    </xf>
    <xf numFmtId="10" fontId="3" fillId="0" borderId="0" xfId="0" applyNumberFormat="1" applyFont="1" applyBorder="1" applyAlignment="1">
      <alignment horizontal="center"/>
    </xf>
    <xf numFmtId="166" fontId="3" fillId="0" borderId="0" xfId="0" applyNumberFormat="1" applyFont="1" applyBorder="1" applyAlignment="1">
      <alignment horizontal="center"/>
    </xf>
    <xf numFmtId="171" fontId="3" fillId="0" borderId="4" xfId="0" applyNumberFormat="1" applyFont="1" applyFill="1" applyBorder="1" applyAlignment="1">
      <alignment horizontal="center"/>
    </xf>
    <xf numFmtId="171" fontId="3" fillId="0" borderId="5" xfId="0" applyNumberFormat="1" applyFont="1" applyFill="1" applyBorder="1" applyAlignment="1">
      <alignment horizontal="center"/>
    </xf>
    <xf numFmtId="166" fontId="3" fillId="0" borderId="13" xfId="2" applyNumberFormat="1" applyFont="1" applyFill="1" applyBorder="1" applyAlignment="1">
      <alignment horizontal="center"/>
    </xf>
    <xf numFmtId="171" fontId="3" fillId="0" borderId="12" xfId="0" applyNumberFormat="1" applyFont="1" applyFill="1" applyBorder="1" applyAlignment="1">
      <alignment horizontal="center"/>
    </xf>
    <xf numFmtId="10" fontId="3" fillId="0" borderId="8" xfId="2" applyNumberFormat="1" applyFont="1" applyFill="1" applyBorder="1" applyAlignment="1">
      <alignment horizontal="center"/>
    </xf>
    <xf numFmtId="10" fontId="3" fillId="0" borderId="11" xfId="2" applyNumberFormat="1" applyFont="1" applyFill="1" applyBorder="1" applyAlignment="1">
      <alignment horizontal="center"/>
    </xf>
    <xf numFmtId="10" fontId="3" fillId="0" borderId="14" xfId="2" applyNumberFormat="1" applyFont="1" applyFill="1" applyBorder="1" applyAlignment="1">
      <alignment horizontal="center"/>
    </xf>
    <xf numFmtId="10" fontId="3" fillId="0" borderId="0" xfId="2" applyNumberFormat="1" applyFont="1" applyFill="1" applyAlignment="1">
      <alignment horizontal="center"/>
    </xf>
    <xf numFmtId="2" fontId="3" fillId="0" borderId="0" xfId="0" applyNumberFormat="1" applyFont="1" applyAlignment="1">
      <alignment horizontal="center"/>
    </xf>
    <xf numFmtId="2" fontId="3" fillId="0" borderId="6" xfId="0" applyNumberFormat="1" applyFont="1" applyBorder="1" applyAlignment="1">
      <alignment horizontal="center"/>
    </xf>
    <xf numFmtId="2" fontId="3" fillId="0" borderId="9" xfId="0" applyNumberFormat="1" applyFont="1" applyBorder="1" applyAlignment="1">
      <alignment horizontal="center"/>
    </xf>
    <xf numFmtId="2" fontId="3" fillId="0" borderId="9" xfId="0" applyNumberFormat="1" applyFont="1" applyFill="1" applyBorder="1" applyAlignment="1">
      <alignment horizontal="center"/>
    </xf>
    <xf numFmtId="9" fontId="3" fillId="0" borderId="0" xfId="2" applyNumberFormat="1" applyFont="1" applyAlignment="1">
      <alignment horizontal="center"/>
    </xf>
    <xf numFmtId="0" fontId="3" fillId="0" borderId="0" xfId="0" applyFont="1"/>
    <xf numFmtId="0" fontId="3" fillId="0" borderId="0" xfId="0" applyFont="1"/>
    <xf numFmtId="170" fontId="3" fillId="0" borderId="7" xfId="2" applyNumberFormat="1" applyFont="1" applyFill="1" applyBorder="1" applyAlignment="1">
      <alignment horizontal="center"/>
    </xf>
    <xf numFmtId="9" fontId="3" fillId="0" borderId="8" xfId="2" applyFont="1" applyFill="1" applyBorder="1" applyAlignment="1">
      <alignment horizontal="center"/>
    </xf>
    <xf numFmtId="170" fontId="3" fillId="0" borderId="10" xfId="2" applyNumberFormat="1" applyFont="1" applyFill="1" applyBorder="1" applyAlignment="1">
      <alignment horizontal="center"/>
    </xf>
    <xf numFmtId="9" fontId="3" fillId="0" borderId="11" xfId="2" applyFont="1" applyFill="1" applyBorder="1" applyAlignment="1">
      <alignment horizontal="center"/>
    </xf>
    <xf numFmtId="170" fontId="3" fillId="0" borderId="13" xfId="2" applyNumberFormat="1" applyFont="1" applyFill="1" applyBorder="1" applyAlignment="1">
      <alignment horizontal="center"/>
    </xf>
    <xf numFmtId="9" fontId="3" fillId="0" borderId="14" xfId="2" applyFont="1" applyFill="1" applyBorder="1" applyAlignment="1">
      <alignment horizontal="center"/>
    </xf>
    <xf numFmtId="170" fontId="3" fillId="0" borderId="0" xfId="2" applyNumberFormat="1" applyFont="1" applyFill="1" applyBorder="1" applyAlignment="1">
      <alignment horizontal="center"/>
    </xf>
    <xf numFmtId="9" fontId="3" fillId="0" borderId="0" xfId="0" applyNumberFormat="1" applyFont="1" applyFill="1" applyAlignment="1">
      <alignment horizontal="center"/>
    </xf>
    <xf numFmtId="9" fontId="3" fillId="0" borderId="8" xfId="2" applyNumberFormat="1" applyFont="1" applyBorder="1" applyAlignment="1">
      <alignment horizontal="center"/>
    </xf>
    <xf numFmtId="9" fontId="3" fillId="0" borderId="11" xfId="2" applyNumberFormat="1" applyFont="1" applyBorder="1" applyAlignment="1">
      <alignment horizontal="center"/>
    </xf>
    <xf numFmtId="9" fontId="3" fillId="0" borderId="14" xfId="2" applyNumberFormat="1" applyFont="1" applyBorder="1" applyAlignment="1">
      <alignment horizontal="center"/>
    </xf>
    <xf numFmtId="172" fontId="3" fillId="6" borderId="6" xfId="0" applyNumberFormat="1" applyFont="1" applyFill="1" applyBorder="1" applyAlignment="1">
      <alignment horizontal="center"/>
    </xf>
    <xf numFmtId="10" fontId="3" fillId="6" borderId="7" xfId="2" applyNumberFormat="1" applyFont="1" applyFill="1" applyBorder="1" applyAlignment="1">
      <alignment horizontal="center"/>
    </xf>
    <xf numFmtId="172" fontId="3" fillId="6" borderId="12" xfId="0" applyNumberFormat="1" applyFont="1" applyFill="1" applyBorder="1" applyAlignment="1">
      <alignment horizontal="center"/>
    </xf>
    <xf numFmtId="10" fontId="3" fillId="6" borderId="13" xfId="2" applyNumberFormat="1" applyFont="1" applyFill="1" applyBorder="1" applyAlignment="1">
      <alignment horizontal="center"/>
    </xf>
    <xf numFmtId="172" fontId="3" fillId="6" borderId="16" xfId="0" applyNumberFormat="1" applyFont="1" applyFill="1" applyBorder="1" applyAlignment="1">
      <alignment horizontal="center"/>
    </xf>
    <xf numFmtId="10" fontId="3" fillId="6" borderId="17" xfId="2" applyNumberFormat="1" applyFont="1" applyFill="1" applyBorder="1" applyAlignment="1">
      <alignment horizontal="center"/>
    </xf>
    <xf numFmtId="179" fontId="3" fillId="0" borderId="8" xfId="0" applyNumberFormat="1" applyFont="1" applyFill="1" applyBorder="1" applyAlignment="1">
      <alignment horizontal="center"/>
    </xf>
    <xf numFmtId="179" fontId="3" fillId="0" borderId="9" xfId="0" applyNumberFormat="1" applyFont="1" applyFill="1" applyBorder="1" applyAlignment="1">
      <alignment horizontal="center"/>
    </xf>
    <xf numFmtId="179" fontId="3" fillId="0" borderId="14" xfId="0" applyNumberFormat="1" applyFont="1" applyFill="1" applyBorder="1" applyAlignment="1">
      <alignment horizontal="center"/>
    </xf>
    <xf numFmtId="171" fontId="3" fillId="6" borderId="6" xfId="0" applyNumberFormat="1" applyFont="1" applyFill="1" applyBorder="1" applyAlignment="1">
      <alignment horizontal="center"/>
    </xf>
    <xf numFmtId="171" fontId="3" fillId="6" borderId="12" xfId="0" applyNumberFormat="1" applyFont="1" applyFill="1" applyBorder="1" applyAlignment="1">
      <alignment horizontal="center"/>
    </xf>
    <xf numFmtId="9" fontId="3" fillId="6" borderId="0" xfId="2" applyFont="1" applyFill="1" applyBorder="1" applyAlignment="1">
      <alignment horizontal="center"/>
    </xf>
    <xf numFmtId="10" fontId="3" fillId="6" borderId="0" xfId="2" applyNumberFormat="1" applyFont="1" applyFill="1" applyBorder="1" applyAlignment="1">
      <alignment horizontal="center"/>
    </xf>
    <xf numFmtId="9" fontId="3" fillId="0" borderId="0" xfId="0" applyNumberFormat="1" applyFont="1" applyFill="1" applyBorder="1" applyAlignment="1">
      <alignment horizontal="center"/>
    </xf>
    <xf numFmtId="0" fontId="3" fillId="0" borderId="0" xfId="0" applyFont="1"/>
    <xf numFmtId="0" fontId="3" fillId="0" borderId="0" xfId="0" applyFont="1"/>
    <xf numFmtId="0" fontId="3" fillId="0" borderId="17" xfId="0" applyFont="1" applyBorder="1" applyAlignment="1">
      <alignment horizontal="center"/>
    </xf>
    <xf numFmtId="0" fontId="3" fillId="0" borderId="0" xfId="0" applyFont="1"/>
    <xf numFmtId="10" fontId="0" fillId="0" borderId="0" xfId="0" applyNumberFormat="1"/>
    <xf numFmtId="0" fontId="3" fillId="0" borderId="0" xfId="0" applyFont="1"/>
    <xf numFmtId="0" fontId="0" fillId="0" borderId="0" xfId="0" applyAlignment="1">
      <alignment horizontal="right"/>
    </xf>
    <xf numFmtId="10" fontId="0" fillId="0" borderId="0" xfId="2" applyNumberFormat="1" applyFont="1"/>
    <xf numFmtId="180" fontId="0" fillId="0" borderId="0" xfId="2" applyNumberFormat="1" applyFont="1"/>
    <xf numFmtId="10" fontId="3" fillId="0" borderId="0" xfId="0" applyNumberFormat="1" applyFont="1"/>
    <xf numFmtId="0" fontId="2" fillId="0" borderId="0" xfId="0" applyFont="1"/>
    <xf numFmtId="180" fontId="0" fillId="0" borderId="0" xfId="0" applyNumberFormat="1"/>
    <xf numFmtId="0" fontId="0" fillId="7" borderId="0" xfId="0" applyFill="1" applyAlignment="1">
      <alignment horizontal="center"/>
    </xf>
    <xf numFmtId="0" fontId="0" fillId="0" borderId="0" xfId="0" applyAlignment="1">
      <alignment horizontal="left"/>
    </xf>
    <xf numFmtId="0" fontId="0" fillId="7" borderId="0" xfId="0" applyFill="1"/>
    <xf numFmtId="0" fontId="2" fillId="0" borderId="0" xfId="0" applyFont="1" applyAlignment="1">
      <alignment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0" xfId="0" applyAlignment="1">
      <alignment wrapText="1"/>
    </xf>
    <xf numFmtId="10" fontId="0" fillId="0" borderId="15" xfId="0" applyNumberFormat="1" applyBorder="1" applyAlignment="1">
      <alignment horizontal="center"/>
    </xf>
    <xf numFmtId="9" fontId="0" fillId="0" borderId="15" xfId="2" applyFont="1" applyBorder="1" applyAlignment="1">
      <alignment horizontal="center"/>
    </xf>
    <xf numFmtId="167" fontId="0" fillId="0" borderId="5" xfId="0" applyNumberFormat="1" applyFont="1" applyFill="1" applyBorder="1" applyAlignment="1">
      <alignment horizontal="center"/>
    </xf>
    <xf numFmtId="181" fontId="0" fillId="0" borderId="0" xfId="0" applyNumberFormat="1"/>
    <xf numFmtId="10" fontId="0" fillId="0" borderId="0" xfId="2" applyNumberFormat="1" applyFont="1" applyAlignment="1">
      <alignment horizontal="center"/>
    </xf>
    <xf numFmtId="167" fontId="0" fillId="0" borderId="0" xfId="2" applyNumberFormat="1" applyFont="1" applyAlignment="1">
      <alignment horizontal="center"/>
    </xf>
    <xf numFmtId="0" fontId="21" fillId="0" borderId="20" xfId="0" applyFont="1" applyBorder="1" applyAlignment="1">
      <alignment vertical="top" wrapText="1"/>
    </xf>
    <xf numFmtId="173" fontId="3" fillId="0" borderId="0" xfId="0" applyNumberFormat="1" applyFont="1" applyFill="1" applyBorder="1" applyAlignment="1">
      <alignment horizontal="center"/>
    </xf>
    <xf numFmtId="0" fontId="3" fillId="0" borderId="0" xfId="0" applyFont="1"/>
    <xf numFmtId="0" fontId="9" fillId="0" borderId="0" xfId="0" applyFont="1" applyBorder="1" applyAlignment="1">
      <alignment vertical="center" wrapText="1"/>
    </xf>
    <xf numFmtId="0" fontId="3" fillId="0" borderId="0" xfId="0" applyFont="1"/>
    <xf numFmtId="0" fontId="0" fillId="0" borderId="0" xfId="0" applyFont="1"/>
    <xf numFmtId="182" fontId="3" fillId="0" borderId="0" xfId="0" applyNumberFormat="1" applyFont="1" applyFill="1" applyBorder="1" applyAlignment="1">
      <alignment horizontal="center"/>
    </xf>
    <xf numFmtId="0" fontId="3" fillId="0" borderId="0" xfId="0" applyFont="1"/>
    <xf numFmtId="173" fontId="3" fillId="0" borderId="0" xfId="0" applyNumberFormat="1" applyFont="1" applyFill="1" applyBorder="1" applyAlignment="1">
      <alignment horizontal="center"/>
    </xf>
    <xf numFmtId="0" fontId="3" fillId="0" borderId="0" xfId="0" applyFont="1"/>
    <xf numFmtId="0" fontId="3" fillId="0" borderId="0" xfId="0" applyFont="1"/>
    <xf numFmtId="0" fontId="3" fillId="0" borderId="0" xfId="0" applyFont="1"/>
    <xf numFmtId="173" fontId="3" fillId="0" borderId="0" xfId="0" applyNumberFormat="1" applyFont="1" applyFill="1" applyBorder="1" applyAlignment="1">
      <alignment horizontal="center"/>
    </xf>
    <xf numFmtId="0" fontId="3" fillId="0" borderId="0" xfId="0" applyFont="1"/>
    <xf numFmtId="0" fontId="3" fillId="0" borderId="0" xfId="0" applyFont="1"/>
    <xf numFmtId="0" fontId="17" fillId="0" borderId="0" xfId="0" applyFont="1" applyBorder="1" applyAlignment="1">
      <alignment vertical="center" wrapText="1"/>
    </xf>
    <xf numFmtId="0" fontId="17" fillId="0" borderId="5" xfId="0" applyFont="1" applyBorder="1" applyAlignment="1">
      <alignment vertical="center" wrapText="1"/>
    </xf>
    <xf numFmtId="173" fontId="3" fillId="0" borderId="13" xfId="0" applyNumberFormat="1" applyFont="1" applyFill="1" applyBorder="1" applyAlignment="1">
      <alignment horizontal="center"/>
    </xf>
    <xf numFmtId="171" fontId="3" fillId="0" borderId="13" xfId="0" applyNumberFormat="1" applyFont="1" applyFill="1" applyBorder="1" applyAlignment="1">
      <alignment horizontal="center"/>
    </xf>
    <xf numFmtId="173" fontId="3" fillId="0" borderId="0" xfId="0" applyNumberFormat="1" applyFont="1" applyFill="1" applyBorder="1" applyAlignment="1">
      <alignment horizont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9" fillId="0" borderId="0" xfId="0" applyFont="1" applyAlignment="1">
      <alignment horizontal="center" vertical="center" wrapText="1"/>
    </xf>
    <xf numFmtId="169" fontId="3" fillId="0" borderId="16" xfId="1" applyNumberFormat="1" applyFont="1" applyBorder="1" applyAlignment="1">
      <alignment horizontal="center" vertical="center"/>
    </xf>
    <xf numFmtId="169" fontId="3" fillId="0" borderId="15" xfId="1" applyNumberFormat="1" applyFont="1" applyBorder="1" applyAlignment="1">
      <alignment horizontal="center" vertical="center"/>
    </xf>
    <xf numFmtId="169" fontId="3" fillId="0" borderId="17" xfId="1" applyNumberFormat="1" applyFont="1" applyBorder="1" applyAlignment="1">
      <alignment horizontal="center" vertical="center"/>
    </xf>
    <xf numFmtId="0" fontId="17" fillId="0" borderId="0" xfId="0" applyFont="1" applyAlignment="1">
      <alignment horizontal="left" vertical="center" wrapText="1"/>
    </xf>
    <xf numFmtId="0" fontId="3" fillId="0" borderId="0" xfId="0" applyFont="1" applyAlignment="1">
      <alignment horizontal="center" vertical="center" wrapText="1"/>
    </xf>
    <xf numFmtId="169" fontId="3" fillId="0" borderId="5" xfId="1" applyNumberFormat="1" applyFont="1" applyBorder="1" applyAlignment="1">
      <alignment horizontal="center" vertical="center" wrapText="1"/>
    </xf>
    <xf numFmtId="169" fontId="3" fillId="0" borderId="13" xfId="1" applyNumberFormat="1" applyFont="1" applyBorder="1" applyAlignment="1">
      <alignment horizontal="center" vertical="center" wrapText="1"/>
    </xf>
    <xf numFmtId="0" fontId="3" fillId="0" borderId="16" xfId="0" applyFont="1" applyBorder="1" applyAlignment="1">
      <alignment horizontal="center"/>
    </xf>
    <xf numFmtId="0" fontId="3" fillId="0" borderId="17" xfId="0" applyFont="1" applyBorder="1" applyAlignment="1">
      <alignment horizont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14" fontId="3" fillId="0" borderId="4" xfId="0" applyNumberFormat="1" applyFont="1" applyBorder="1" applyAlignment="1">
      <alignment horizontal="center"/>
    </xf>
    <xf numFmtId="0" fontId="14" fillId="0" borderId="4" xfId="0" applyFont="1" applyBorder="1" applyAlignment="1">
      <alignment horizontal="center" vertical="center" wrapText="1"/>
    </xf>
    <xf numFmtId="0" fontId="14" fillId="0" borderId="0" xfId="0" applyFont="1" applyBorder="1" applyAlignment="1">
      <alignment horizontal="center" vertical="center" wrapText="1"/>
    </xf>
    <xf numFmtId="0" fontId="3" fillId="0" borderId="0" xfId="0" applyFont="1" applyAlignment="1">
      <alignment horizontal="left" vertical="top" wrapText="1"/>
    </xf>
    <xf numFmtId="173" fontId="3" fillId="0" borderId="0" xfId="0" applyNumberFormat="1" applyFont="1" applyFill="1" applyBorder="1" applyAlignment="1">
      <alignment horizontal="center"/>
    </xf>
    <xf numFmtId="0" fontId="4" fillId="5" borderId="1" xfId="0" applyFont="1" applyFill="1" applyBorder="1" applyAlignment="1">
      <alignment horizontal="center" vertical="center"/>
    </xf>
    <xf numFmtId="0" fontId="4" fillId="5" borderId="2" xfId="0" applyFont="1" applyFill="1" applyBorder="1" applyAlignment="1">
      <alignment horizontal="center" vertical="center"/>
    </xf>
    <xf numFmtId="14" fontId="2" fillId="0" borderId="0" xfId="0" applyNumberFormat="1" applyFont="1" applyAlignment="1">
      <alignment horizontal="left"/>
    </xf>
    <xf numFmtId="0" fontId="4" fillId="5" borderId="3" xfId="0" applyFont="1" applyFill="1" applyBorder="1" applyAlignment="1">
      <alignment horizontal="center" vertical="center"/>
    </xf>
    <xf numFmtId="0" fontId="21" fillId="0" borderId="19" xfId="0" applyFont="1" applyBorder="1" applyAlignment="1">
      <alignment horizontal="justify" vertical="top" wrapText="1"/>
    </xf>
    <xf numFmtId="0" fontId="21" fillId="0" borderId="0" xfId="0" applyFont="1" applyBorder="1" applyAlignment="1">
      <alignment horizontal="justify" vertical="top" wrapText="1"/>
    </xf>
    <xf numFmtId="0" fontId="3" fillId="0" borderId="0" xfId="0" applyFont="1" applyAlignment="1">
      <alignment horizontal="justify"/>
    </xf>
  </cellXfs>
  <cellStyles count="3">
    <cellStyle name="Comma" xfId="1" builtinId="3"/>
    <cellStyle name="Normal" xfId="0" builtinId="0"/>
    <cellStyle name="Percent" xfId="2" builtinId="5"/>
  </cellStyles>
  <dxfs count="32">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color theme="0"/>
      </font>
    </dxf>
    <dxf>
      <font>
        <color theme="0"/>
      </font>
    </dxf>
    <dxf>
      <font>
        <color theme="0"/>
      </font>
    </dxf>
    <dxf>
      <fill>
        <patternFill>
          <bgColor rgb="FFFF0000"/>
        </patternFill>
      </fill>
    </dxf>
    <dxf>
      <font>
        <color theme="0"/>
      </font>
    </dxf>
    <dxf>
      <font>
        <color theme="0"/>
      </font>
    </dxf>
    <dxf>
      <numFmt numFmtId="183" formatCode="0.0,&quot;k&quot;"/>
    </dxf>
    <dxf>
      <numFmt numFmtId="184" formatCode="0.00,,&quot;m&quot;"/>
    </dxf>
    <dxf>
      <numFmt numFmtId="183" formatCode="0.0,&quot;k&quot;"/>
    </dxf>
    <dxf>
      <numFmt numFmtId="184" formatCode="0.00,,&quot;m&quot;"/>
    </dxf>
    <dxf>
      <font>
        <color theme="0"/>
      </font>
    </dxf>
    <dxf>
      <font>
        <color theme="0"/>
      </font>
    </dxf>
    <dxf>
      <font>
        <color theme="0"/>
      </font>
    </dxf>
    <dxf>
      <font>
        <color theme="0"/>
      </font>
    </dxf>
    <dxf>
      <font>
        <color theme="0"/>
      </font>
    </dxf>
    <dxf>
      <font>
        <color theme="0"/>
      </font>
    </dxf>
    <dxf>
      <font>
        <color theme="0"/>
      </font>
    </dxf>
    <dxf>
      <font>
        <color theme="0"/>
      </font>
    </dxf>
    <dxf>
      <font>
        <b/>
        <i val="0"/>
      </font>
      <fill>
        <patternFill>
          <bgColor rgb="FFFF0000"/>
        </patternFill>
      </fill>
    </dxf>
    <dxf>
      <fill>
        <patternFill>
          <bgColor rgb="FFFF0000"/>
        </patternFill>
      </fill>
    </dxf>
    <dxf>
      <font>
        <b/>
        <i val="0"/>
      </font>
      <border diagonalUp="0" diagonalDown="0">
        <left/>
        <right/>
        <top/>
        <bottom/>
        <vertical/>
        <horizontal/>
      </border>
    </dxf>
    <dxf>
      <border diagonalUp="0" diagonalDown="0">
        <left/>
        <right/>
        <top style="thin">
          <color auto="1"/>
        </top>
        <bottom style="thin">
          <color auto="1"/>
        </bottom>
        <vertical/>
        <horizontal/>
      </border>
    </dxf>
    <dxf>
      <font>
        <b/>
        <i val="0"/>
      </font>
    </dxf>
    <dxf>
      <font>
        <b/>
        <i val="0"/>
      </font>
      <border>
        <bottom style="thin">
          <color auto="1"/>
        </bottom>
      </border>
    </dxf>
  </dxfs>
  <tableStyles count="1" defaultTableStyle="TableStyleMedium2" defaultPivotStyle="PivotStyleLight16">
    <tableStyle name="investment_theme_style" table="0" count="4">
      <tableStyleElement type="headerRow" dxfId="31"/>
      <tableStyleElement type="totalRow" dxfId="30"/>
      <tableStyleElement type="firstSubtotalRow" dxfId="29"/>
      <tableStyleElement type="firstRowSubheading"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Counterparty Credit Monitor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Report!$I$612</c:f>
              <c:strCache>
                <c:ptCount val="1"/>
                <c:pt idx="0">
                  <c:v>0</c:v>
                </c:pt>
              </c:strCache>
            </c:strRef>
          </c:tx>
          <c:spPr>
            <a:solidFill>
              <a:schemeClr val="accent1"/>
            </a:solidFill>
            <a:ln>
              <a:noFill/>
            </a:ln>
            <a:effectLst/>
          </c:spPr>
          <c:invertIfNegative val="0"/>
          <c:cat>
            <c:strRef>
              <c:f>Report!$G$619:$G$624</c:f>
              <c:strCache>
                <c:ptCount val="6"/>
                <c:pt idx="0">
                  <c:v>BARC</c:v>
                </c:pt>
                <c:pt idx="1">
                  <c:v>BNP</c:v>
                </c:pt>
                <c:pt idx="2">
                  <c:v>GS</c:v>
                </c:pt>
                <c:pt idx="3">
                  <c:v>JPM</c:v>
                </c:pt>
                <c:pt idx="4">
                  <c:v>MS</c:v>
                </c:pt>
                <c:pt idx="5">
                  <c:v>WFC</c:v>
                </c:pt>
              </c:strCache>
            </c:strRef>
          </c:cat>
          <c:val>
            <c:numRef>
              <c:f>Report!$I$619:$I$624</c:f>
              <c:numCache>
                <c:formatCode>0.0%</c:formatCode>
                <c:ptCount val="6"/>
                <c:pt idx="0">
                  <c:v>1.9668187934433399E-2</c:v>
                </c:pt>
                <c:pt idx="1">
                  <c:v>3.576002546794374E-2</c:v>
                </c:pt>
                <c:pt idx="2">
                  <c:v>2.012068882140193E-2</c:v>
                </c:pt>
                <c:pt idx="3">
                  <c:v>0.70004329565101386</c:v>
                </c:pt>
                <c:pt idx="4">
                  <c:v>6.9195648901637916E-2</c:v>
                </c:pt>
                <c:pt idx="5">
                  <c:v>0.13745112464333312</c:v>
                </c:pt>
              </c:numCache>
            </c:numRef>
          </c:val>
        </c:ser>
        <c:dLbls>
          <c:showLegendKey val="0"/>
          <c:showVal val="0"/>
          <c:showCatName val="0"/>
          <c:showSerName val="0"/>
          <c:showPercent val="0"/>
          <c:showBubbleSize val="0"/>
        </c:dLbls>
        <c:gapWidth val="219"/>
        <c:overlap val="-27"/>
        <c:axId val="238830288"/>
        <c:axId val="238829896"/>
      </c:barChart>
      <c:catAx>
        <c:axId val="23883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829896"/>
        <c:crosses val="autoZero"/>
        <c:auto val="1"/>
        <c:lblAlgn val="ctr"/>
        <c:lblOffset val="100"/>
        <c:noMultiLvlLbl val="0"/>
      </c:catAx>
      <c:valAx>
        <c:axId val="2388298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Exposure</a:t>
                </a:r>
              </a:p>
            </c:rich>
          </c:tx>
          <c:layout>
            <c:manualLayout>
              <c:xMode val="edge"/>
              <c:yMode val="edge"/>
              <c:x val="1.9636965737581221E-2"/>
              <c:y val="0.3628431208614078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830288"/>
        <c:crosses val="autoZero"/>
        <c:crossBetween val="between"/>
        <c:min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Liquidity - "Normal"</a:t>
            </a:r>
            <a:r>
              <a:rPr lang="en-US" baseline="0"/>
              <a:t> vs "Stressed" Periods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&lt; 1 Day</c:v>
          </c:tx>
          <c:spPr>
            <a:solidFill>
              <a:srgbClr val="3FBA36"/>
            </a:solidFill>
            <a:ln>
              <a:noFill/>
            </a:ln>
            <a:effectLst/>
          </c:spPr>
          <c:invertIfNegative val="0"/>
          <c:cat>
            <c:strLit>
              <c:ptCount val="2"/>
              <c:pt idx="0">
                <c:v>Normal Period</c:v>
              </c:pt>
              <c:pt idx="1">
                <c:v>Stressed Period</c:v>
              </c:pt>
            </c:strLit>
          </c:cat>
          <c:val>
            <c:numLit>
              <c:formatCode>General</c:formatCode>
              <c:ptCount val="2"/>
              <c:pt idx="0">
                <c:v>0.86649736990944048</c:v>
              </c:pt>
              <c:pt idx="1">
                <c:v>0.86649736990944048</c:v>
              </c:pt>
            </c:numLit>
          </c:val>
          <c:extLst/>
        </c:ser>
        <c:ser>
          <c:idx val="1"/>
          <c:order val="1"/>
          <c:tx>
            <c:v>&lt; 1 Week</c:v>
          </c:tx>
          <c:spPr>
            <a:solidFill>
              <a:srgbClr val="FF9933"/>
            </a:solidFill>
            <a:ln>
              <a:noFill/>
            </a:ln>
            <a:effectLst/>
          </c:spPr>
          <c:invertIfNegative val="0"/>
          <c:cat>
            <c:strLit>
              <c:ptCount val="2"/>
              <c:pt idx="0">
                <c:v>Normal Period</c:v>
              </c:pt>
              <c:pt idx="1">
                <c:v>Stressed Period</c:v>
              </c:pt>
            </c:strLit>
          </c:cat>
          <c:val>
            <c:numLit>
              <c:formatCode>General</c:formatCode>
              <c:ptCount val="2"/>
              <c:pt idx="0">
                <c:v>0</c:v>
              </c:pt>
              <c:pt idx="1">
                <c:v>0</c:v>
              </c:pt>
            </c:numLit>
          </c:val>
          <c:extLst/>
        </c:ser>
        <c:ser>
          <c:idx val="2"/>
          <c:order val="2"/>
          <c:tx>
            <c:v>&gt; 1 Week</c:v>
          </c:tx>
          <c:spPr>
            <a:solidFill>
              <a:srgbClr val="FF0000"/>
            </a:solidFill>
            <a:ln>
              <a:noFill/>
            </a:ln>
            <a:effectLst/>
          </c:spPr>
          <c:invertIfNegative val="0"/>
          <c:cat>
            <c:strLit>
              <c:ptCount val="2"/>
              <c:pt idx="0">
                <c:v>Normal Period</c:v>
              </c:pt>
              <c:pt idx="1">
                <c:v>Stressed Period</c:v>
              </c:pt>
            </c:strLit>
          </c:cat>
          <c:val>
            <c:numLit>
              <c:formatCode>General</c:formatCode>
              <c:ptCount val="2"/>
              <c:pt idx="0">
                <c:v>0.13350263009055954</c:v>
              </c:pt>
              <c:pt idx="1">
                <c:v>0.13350263009055954</c:v>
              </c:pt>
            </c:numLit>
          </c:val>
          <c:extLst/>
        </c:ser>
        <c:dLbls>
          <c:showLegendKey val="0"/>
          <c:showVal val="0"/>
          <c:showCatName val="0"/>
          <c:showSerName val="0"/>
          <c:showPercent val="0"/>
          <c:showBubbleSize val="0"/>
        </c:dLbls>
        <c:gapWidth val="219"/>
        <c:overlap val="-27"/>
        <c:axId val="238834600"/>
        <c:axId val="238834208"/>
      </c:barChart>
      <c:catAx>
        <c:axId val="238834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834208"/>
        <c:crosses val="autoZero"/>
        <c:auto val="1"/>
        <c:lblAlgn val="ctr"/>
        <c:lblOffset val="100"/>
        <c:noMultiLvlLbl val="0"/>
      </c:catAx>
      <c:valAx>
        <c:axId val="23883420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834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Liquidity Event</a:t>
            </a:r>
            <a:r>
              <a:rPr lang="en-US" baseline="0"/>
              <a:t> (Stressed Period - %NAV)</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&lt; 1 Day</c:v>
          </c:tx>
          <c:spPr>
            <a:solidFill>
              <a:srgbClr val="3FBA36"/>
            </a:solidFill>
            <a:ln>
              <a:noFill/>
            </a:ln>
            <a:effectLst/>
          </c:spPr>
          <c:invertIfNegative val="0"/>
          <c:cat>
            <c:strLit>
              <c:ptCount val="6"/>
              <c:pt idx="0">
                <c:v>FX</c:v>
              </c:pt>
              <c:pt idx="1">
                <c:v>Rates</c:v>
              </c:pt>
              <c:pt idx="2">
                <c:v>Credit</c:v>
              </c:pt>
              <c:pt idx="3">
                <c:v>Equity</c:v>
              </c:pt>
              <c:pt idx="4">
                <c:v>Commodity</c:v>
              </c:pt>
              <c:pt idx="5">
                <c:v>Hurdle</c:v>
              </c:pt>
            </c:strLit>
          </c:cat>
          <c:val>
            <c:numRef>
              <c:f>Report!$F$588:$F$593</c:f>
              <c:numCache>
                <c:formatCode>0.0%</c:formatCode>
                <c:ptCount val="6"/>
                <c:pt idx="0">
                  <c:v>1.7896934505111214E-3</c:v>
                </c:pt>
                <c:pt idx="1">
                  <c:v>3.3050393587871437E-3</c:v>
                </c:pt>
                <c:pt idx="2">
                  <c:v>4.1711063436691426E-3</c:v>
                </c:pt>
                <c:pt idx="3">
                  <c:v>1.4831409331862282E-6</c:v>
                </c:pt>
                <c:pt idx="4">
                  <c:v>0</c:v>
                </c:pt>
                <c:pt idx="5">
                  <c:v>0</c:v>
                </c:pt>
              </c:numCache>
            </c:numRef>
          </c:val>
        </c:ser>
        <c:ser>
          <c:idx val="1"/>
          <c:order val="1"/>
          <c:tx>
            <c:v>&lt; 1 Week</c:v>
          </c:tx>
          <c:spPr>
            <a:solidFill>
              <a:srgbClr val="FF9900"/>
            </a:solidFill>
            <a:ln>
              <a:noFill/>
            </a:ln>
            <a:effectLst/>
          </c:spPr>
          <c:invertIfNegative val="0"/>
          <c:cat>
            <c:strLit>
              <c:ptCount val="6"/>
              <c:pt idx="0">
                <c:v>FX</c:v>
              </c:pt>
              <c:pt idx="1">
                <c:v>Rates</c:v>
              </c:pt>
              <c:pt idx="2">
                <c:v>Credit</c:v>
              </c:pt>
              <c:pt idx="3">
                <c:v>Equity</c:v>
              </c:pt>
              <c:pt idx="4">
                <c:v>Commodity</c:v>
              </c:pt>
              <c:pt idx="5">
                <c:v>Hurdle</c:v>
              </c:pt>
            </c:strLit>
          </c:cat>
          <c:val>
            <c:numRef>
              <c:f>Report!$G$588:$G$593</c:f>
              <c:numCache>
                <c:formatCode>0.0%</c:formatCode>
                <c:ptCount val="6"/>
                <c:pt idx="0">
                  <c:v>0</c:v>
                </c:pt>
                <c:pt idx="1">
                  <c:v>0</c:v>
                </c:pt>
                <c:pt idx="2">
                  <c:v>4.2329102329295232E-3</c:v>
                </c:pt>
                <c:pt idx="3">
                  <c:v>0</c:v>
                </c:pt>
                <c:pt idx="4">
                  <c:v>0</c:v>
                </c:pt>
                <c:pt idx="5">
                  <c:v>0</c:v>
                </c:pt>
              </c:numCache>
            </c:numRef>
          </c:val>
        </c:ser>
        <c:ser>
          <c:idx val="2"/>
          <c:order val="2"/>
          <c:tx>
            <c:v>&gt; 1 Week</c:v>
          </c:tx>
          <c:spPr>
            <a:solidFill>
              <a:srgbClr val="FF0000"/>
            </a:solidFill>
            <a:ln>
              <a:noFill/>
            </a:ln>
            <a:effectLst/>
          </c:spPr>
          <c:invertIfNegative val="0"/>
          <c:cat>
            <c:strLit>
              <c:ptCount val="6"/>
              <c:pt idx="0">
                <c:v>FX</c:v>
              </c:pt>
              <c:pt idx="1">
                <c:v>Rates</c:v>
              </c:pt>
              <c:pt idx="2">
                <c:v>Credit</c:v>
              </c:pt>
              <c:pt idx="3">
                <c:v>Equity</c:v>
              </c:pt>
              <c:pt idx="4">
                <c:v>Commodity</c:v>
              </c:pt>
              <c:pt idx="5">
                <c:v>Hurdle</c:v>
              </c:pt>
            </c:strLit>
          </c:cat>
          <c:val>
            <c:numRef>
              <c:f>Report!$H$588:$H$593</c:f>
              <c:numCache>
                <c:formatCode>0.0%</c:formatCode>
                <c:ptCount val="6"/>
                <c:pt idx="0">
                  <c:v>0</c:v>
                </c:pt>
                <c:pt idx="1">
                  <c:v>0</c:v>
                </c:pt>
                <c:pt idx="2">
                  <c:v>5.4856482437907646E-3</c:v>
                </c:pt>
                <c:pt idx="3">
                  <c:v>0</c:v>
                </c:pt>
                <c:pt idx="4">
                  <c:v>0</c:v>
                </c:pt>
                <c:pt idx="5">
                  <c:v>0</c:v>
                </c:pt>
              </c:numCache>
            </c:numRef>
          </c:val>
        </c:ser>
        <c:dLbls>
          <c:showLegendKey val="0"/>
          <c:showVal val="0"/>
          <c:showCatName val="0"/>
          <c:showSerName val="0"/>
          <c:showPercent val="0"/>
          <c:showBubbleSize val="0"/>
        </c:dLbls>
        <c:gapWidth val="219"/>
        <c:overlap val="100"/>
        <c:axId val="238834992"/>
        <c:axId val="238831464"/>
      </c:barChart>
      <c:lineChart>
        <c:grouping val="standard"/>
        <c:varyColors val="0"/>
        <c:ser>
          <c:idx val="3"/>
          <c:order val="3"/>
          <c:tx>
            <c:v>Total</c:v>
          </c:tx>
          <c:spPr>
            <a:ln w="28575" cap="rnd">
              <a:solidFill>
                <a:schemeClr val="accent1">
                  <a:alpha val="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FX</c:v>
              </c:pt>
              <c:pt idx="1">
                <c:v>Rates</c:v>
              </c:pt>
              <c:pt idx="2">
                <c:v>Credit</c:v>
              </c:pt>
              <c:pt idx="3">
                <c:v>Equity</c:v>
              </c:pt>
              <c:pt idx="4">
                <c:v>Commodity</c:v>
              </c:pt>
              <c:pt idx="5">
                <c:v>Hurdle</c:v>
              </c:pt>
            </c:strLit>
          </c:cat>
          <c:val>
            <c:numRef>
              <c:f>Report!$I$588:$I$593</c:f>
              <c:numCache>
                <c:formatCode>0.00%</c:formatCode>
                <c:ptCount val="6"/>
                <c:pt idx="0">
                  <c:v>1.7896934505111214E-3</c:v>
                </c:pt>
                <c:pt idx="1">
                  <c:v>3.3050393587871437E-3</c:v>
                </c:pt>
                <c:pt idx="2">
                  <c:v>1.3889664820389429E-2</c:v>
                </c:pt>
                <c:pt idx="3">
                  <c:v>1.4831409331862282E-6</c:v>
                </c:pt>
                <c:pt idx="4">
                  <c:v>0</c:v>
                </c:pt>
                <c:pt idx="5">
                  <c:v>0</c:v>
                </c:pt>
              </c:numCache>
            </c:numRef>
          </c:val>
          <c:smooth val="0"/>
        </c:ser>
        <c:dLbls>
          <c:showLegendKey val="0"/>
          <c:showVal val="0"/>
          <c:showCatName val="0"/>
          <c:showSerName val="0"/>
          <c:showPercent val="0"/>
          <c:showBubbleSize val="0"/>
        </c:dLbls>
        <c:marker val="1"/>
        <c:smooth val="0"/>
        <c:axId val="238834992"/>
        <c:axId val="238831464"/>
      </c:lineChart>
      <c:catAx>
        <c:axId val="23883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831464"/>
        <c:crosses val="autoZero"/>
        <c:auto val="1"/>
        <c:lblAlgn val="ctr"/>
        <c:lblOffset val="100"/>
        <c:noMultiLvlLbl val="0"/>
      </c:catAx>
      <c:valAx>
        <c:axId val="2388314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834992"/>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Volatility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300719354100701"/>
          <c:y val="0.24032931415825171"/>
          <c:w val="0.60459450538511383"/>
          <c:h val="0.59195669105872473"/>
        </c:manualLayout>
      </c:layout>
      <c:pieChart>
        <c:varyColors val="1"/>
        <c:ser>
          <c:idx val="0"/>
          <c:order val="0"/>
          <c:tx>
            <c:v>%Risk</c:v>
          </c:tx>
          <c:dPt>
            <c:idx val="0"/>
            <c:bubble3D val="0"/>
            <c:spPr>
              <a:solidFill>
                <a:schemeClr val="accent1"/>
              </a:solidFill>
              <a:ln w="19050">
                <a:solidFill>
                  <a:schemeClr val="lt1"/>
                </a:solidFill>
              </a:ln>
              <a:effectLst/>
            </c:spPr>
          </c:dPt>
          <c:dPt>
            <c:idx val="1"/>
            <c:bubble3D val="0"/>
            <c:spPr>
              <a:solidFill>
                <a:srgbClr val="C00000"/>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6">
                  <a:lumMod val="75000"/>
                </a:schemeClr>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0"/>
              <c:layout>
                <c:manualLayout>
                  <c:x val="0.15848057185070816"/>
                  <c:y val="-6.5874829274757032E-2"/>
                </c:manualLayout>
              </c:layout>
              <c:showLegendKey val="0"/>
              <c:showVal val="1"/>
              <c:showCatName val="0"/>
              <c:showSerName val="0"/>
              <c:showPercent val="0"/>
              <c:showBubbleSize val="0"/>
              <c:extLst>
                <c:ext xmlns:c15="http://schemas.microsoft.com/office/drawing/2012/chart" uri="{CE6537A1-D6FC-4f65-9D91-7224C49458BB}">
                  <c15:layout>
                    <c:manualLayout>
                      <c:w val="0.22603855765922631"/>
                      <c:h val="0.13556236200377467"/>
                    </c:manualLayout>
                  </c15:layout>
                </c:ext>
              </c:extLst>
            </c:dLbl>
            <c:dLbl>
              <c:idx val="4"/>
              <c:delete val="1"/>
              <c:extLst>
                <c:ext xmlns:c15="http://schemas.microsoft.com/office/drawing/2012/chart" uri="{CE6537A1-D6FC-4f65-9D91-7224C49458BB}"/>
              </c:extLst>
            </c:dLbl>
            <c:dLbl>
              <c:idx val="5"/>
              <c:delete val="1"/>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Report!$E$67:$E$72</c:f>
              <c:strCache>
                <c:ptCount val="6"/>
                <c:pt idx="0">
                  <c:v>FX</c:v>
                </c:pt>
                <c:pt idx="1">
                  <c:v>Rates</c:v>
                </c:pt>
                <c:pt idx="2">
                  <c:v>Credit</c:v>
                </c:pt>
                <c:pt idx="3">
                  <c:v>Equity</c:v>
                </c:pt>
                <c:pt idx="4">
                  <c:v>Commodity</c:v>
                </c:pt>
                <c:pt idx="5">
                  <c:v>Cash</c:v>
                </c:pt>
              </c:strCache>
            </c:strRef>
          </c:cat>
          <c:val>
            <c:numRef>
              <c:f>Report!$H$67:$H$72</c:f>
              <c:numCache>
                <c:formatCode>0%</c:formatCode>
                <c:ptCount val="6"/>
                <c:pt idx="0">
                  <c:v>0.36000034107762474</c:v>
                </c:pt>
                <c:pt idx="1">
                  <c:v>0.44041758853372664</c:v>
                </c:pt>
                <c:pt idx="2">
                  <c:v>0.19627501511597695</c:v>
                </c:pt>
                <c:pt idx="3">
                  <c:v>3.3070552726716181E-3</c:v>
                </c:pt>
                <c:pt idx="4">
                  <c:v>0</c:v>
                </c:pt>
                <c:pt idx="5">
                  <c:v>0</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Extreme 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2247821817238836"/>
          <c:y val="0.25679888314175586"/>
          <c:w val="0.41366408362965951"/>
          <c:h val="0.58788908986693111"/>
        </c:manualLayout>
      </c:layout>
      <c:pieChart>
        <c:varyColors val="1"/>
        <c:ser>
          <c:idx val="0"/>
          <c:order val="0"/>
          <c:tx>
            <c:v>%Risk</c:v>
          </c:tx>
          <c:dPt>
            <c:idx val="0"/>
            <c:bubble3D val="0"/>
            <c:spPr>
              <a:solidFill>
                <a:schemeClr val="accent1"/>
              </a:solidFill>
              <a:ln w="19050">
                <a:solidFill>
                  <a:schemeClr val="lt1"/>
                </a:solidFill>
              </a:ln>
              <a:effectLst/>
            </c:spPr>
          </c:dPt>
          <c:dPt>
            <c:idx val="1"/>
            <c:bubble3D val="0"/>
            <c:spPr>
              <a:solidFill>
                <a:srgbClr val="C00000"/>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6">
                  <a:lumMod val="75000"/>
                </a:schemeClr>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0"/>
              <c:showLegendKey val="0"/>
              <c:showVal val="1"/>
              <c:showCatName val="0"/>
              <c:showSerName val="0"/>
              <c:showPercent val="0"/>
              <c:showBubbleSize val="0"/>
              <c:extLst>
                <c:ext xmlns:c15="http://schemas.microsoft.com/office/drawing/2012/chart" uri="{CE6537A1-D6FC-4f65-9D91-7224C49458BB}"/>
              </c:extLst>
            </c:dLbl>
            <c:dLbl>
              <c:idx val="1"/>
              <c:showLegendKey val="0"/>
              <c:showVal val="1"/>
              <c:showCatName val="0"/>
              <c:showSerName val="0"/>
              <c:showPercent val="0"/>
              <c:showBubbleSize val="0"/>
              <c:extLst>
                <c:ext xmlns:c15="http://schemas.microsoft.com/office/drawing/2012/chart" uri="{CE6537A1-D6FC-4f65-9D91-7224C49458BB}"/>
              </c:extLst>
            </c:dLbl>
            <c:dLbl>
              <c:idx val="2"/>
              <c:showLegendKey val="0"/>
              <c:showVal val="1"/>
              <c:showCatName val="0"/>
              <c:showSerName val="0"/>
              <c:showPercent val="0"/>
              <c:showBubbleSize val="0"/>
              <c:extLst>
                <c:ext xmlns:c15="http://schemas.microsoft.com/office/drawing/2012/chart" uri="{CE6537A1-D6FC-4f65-9D91-7224C49458BB}"/>
              </c:extLst>
            </c:dLbl>
            <c:dLbl>
              <c:idx val="3"/>
              <c:layout>
                <c:manualLayout>
                  <c:x val="3.7910991336174482E-2"/>
                  <c:y val="-1.4770319324976628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Report!$J$67:$J$72</c:f>
              <c:strCache>
                <c:ptCount val="6"/>
                <c:pt idx="0">
                  <c:v>FX</c:v>
                </c:pt>
                <c:pt idx="1">
                  <c:v>Rates</c:v>
                </c:pt>
                <c:pt idx="2">
                  <c:v>Credit</c:v>
                </c:pt>
                <c:pt idx="3">
                  <c:v>Equity</c:v>
                </c:pt>
                <c:pt idx="4">
                  <c:v>Commodity</c:v>
                </c:pt>
                <c:pt idx="5">
                  <c:v>Cash</c:v>
                </c:pt>
              </c:strCache>
            </c:strRef>
          </c:cat>
          <c:val>
            <c:numRef>
              <c:f>Report!$M$67:$M$72</c:f>
              <c:numCache>
                <c:formatCode>0%</c:formatCode>
                <c:ptCount val="6"/>
                <c:pt idx="0">
                  <c:v>0.32222086283575874</c:v>
                </c:pt>
                <c:pt idx="1">
                  <c:v>0.42611479049852036</c:v>
                </c:pt>
                <c:pt idx="2">
                  <c:v>0.24245060855287423</c:v>
                </c:pt>
                <c:pt idx="3">
                  <c:v>9.2137381128467033E-3</c:v>
                </c:pt>
                <c:pt idx="4">
                  <c:v>0</c:v>
                </c:pt>
                <c:pt idx="5">
                  <c:v>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rtl="0">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Volatility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300719354100701"/>
          <c:y val="0.24032931415825171"/>
          <c:w val="0.60459450538511383"/>
          <c:h val="0.59195669105872473"/>
        </c:manualLayout>
      </c:layout>
      <c:pieChart>
        <c:varyColors val="1"/>
        <c:ser>
          <c:idx val="0"/>
          <c:order val="0"/>
          <c:tx>
            <c:strRef>
              <c:f>Report!$H$77:$H$83</c:f>
              <c:strCache>
                <c:ptCount val="7"/>
                <c:pt idx="0">
                  <c:v>24%</c:v>
                </c:pt>
                <c:pt idx="1">
                  <c:v>33%</c:v>
                </c:pt>
                <c:pt idx="2">
                  <c:v>4%</c:v>
                </c:pt>
                <c:pt idx="3">
                  <c:v>5%</c:v>
                </c:pt>
                <c:pt idx="4">
                  <c:v>33%</c:v>
                </c:pt>
                <c:pt idx="5">
                  <c:v>0%</c:v>
                </c:pt>
                <c:pt idx="6">
                  <c:v>0%</c:v>
                </c:pt>
              </c:strCache>
            </c:strRef>
          </c:tx>
          <c:dPt>
            <c:idx val="0"/>
            <c:bubble3D val="0"/>
            <c:spPr>
              <a:solidFill>
                <a:schemeClr val="accent1"/>
              </a:solidFill>
              <a:ln w="19050">
                <a:solidFill>
                  <a:schemeClr val="lt1"/>
                </a:solidFill>
              </a:ln>
              <a:effectLst/>
            </c:spPr>
          </c:dPt>
          <c:dPt>
            <c:idx val="1"/>
            <c:bubble3D val="0"/>
            <c:spPr>
              <a:solidFill>
                <a:srgbClr val="C00000"/>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1">
                  <a:lumMod val="50000"/>
                </a:schemeClr>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dLbl>
              <c:idx val="0"/>
              <c:showLegendKey val="0"/>
              <c:showVal val="1"/>
              <c:showCatName val="0"/>
              <c:showSerName val="0"/>
              <c:showPercent val="0"/>
              <c:showBubbleSize val="0"/>
              <c:extLst>
                <c:ext xmlns:c15="http://schemas.microsoft.com/office/drawing/2012/chart" uri="{CE6537A1-D6FC-4f65-9D91-7224C49458BB}"/>
              </c:extLst>
            </c:dLbl>
            <c:dLbl>
              <c:idx val="1"/>
              <c:showLegendKey val="0"/>
              <c:showVal val="1"/>
              <c:showCatName val="0"/>
              <c:showSerName val="0"/>
              <c:showPercent val="0"/>
              <c:showBubbleSize val="0"/>
              <c:extLst>
                <c:ext xmlns:c15="http://schemas.microsoft.com/office/drawing/2012/chart" uri="{CE6537A1-D6FC-4f65-9D91-7224C49458BB}"/>
              </c:extLst>
            </c:dLbl>
            <c:dLbl>
              <c:idx val="2"/>
              <c:showLegendKey val="0"/>
              <c:showVal val="1"/>
              <c:showCatName val="0"/>
              <c:showSerName val="0"/>
              <c:showPercent val="0"/>
              <c:showBubbleSize val="0"/>
              <c:extLst>
                <c:ext xmlns:c15="http://schemas.microsoft.com/office/drawing/2012/chart" uri="{CE6537A1-D6FC-4f65-9D91-7224C49458BB}"/>
              </c:extLst>
            </c:dLbl>
            <c:dLbl>
              <c:idx val="4"/>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Report!$E$77:$E$83</c:f>
              <c:strCache>
                <c:ptCount val="7"/>
                <c:pt idx="0">
                  <c:v>Directional</c:v>
                </c:pt>
                <c:pt idx="1">
                  <c:v>Term Structure</c:v>
                </c:pt>
                <c:pt idx="2">
                  <c:v>Basis</c:v>
                </c:pt>
                <c:pt idx="3">
                  <c:v>Carry</c:v>
                </c:pt>
                <c:pt idx="4">
                  <c:v>Volatility</c:v>
                </c:pt>
                <c:pt idx="5">
                  <c:v>Hurdle</c:v>
                </c:pt>
                <c:pt idx="6">
                  <c:v>Hedge</c:v>
                </c:pt>
              </c:strCache>
            </c:strRef>
          </c:cat>
          <c:val>
            <c:numRef>
              <c:f>Report!$H$77:$H$83</c:f>
              <c:numCache>
                <c:formatCode>0%</c:formatCode>
                <c:ptCount val="7"/>
                <c:pt idx="0">
                  <c:v>0.24254293287424469</c:v>
                </c:pt>
                <c:pt idx="1">
                  <c:v>0.33216042499273152</c:v>
                </c:pt>
                <c:pt idx="2">
                  <c:v>4.334553590172812E-2</c:v>
                </c:pt>
                <c:pt idx="3">
                  <c:v>5.1209253803144006E-2</c:v>
                </c:pt>
                <c:pt idx="4">
                  <c:v>0.32924810315650566</c:v>
                </c:pt>
                <c:pt idx="5">
                  <c:v>1.4937492716460376E-3</c:v>
                </c:pt>
                <c:pt idx="6">
                  <c:v>0</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Extreme 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2247821817238836"/>
          <c:y val="0.2459014494444883"/>
          <c:w val="0.42133198732441179"/>
          <c:h val="0.5987865235641987"/>
        </c:manualLayout>
      </c:layout>
      <c:pieChart>
        <c:varyColors val="1"/>
        <c:ser>
          <c:idx val="0"/>
          <c:order val="0"/>
          <c:tx>
            <c:v>%Risk</c:v>
          </c:tx>
          <c:dPt>
            <c:idx val="0"/>
            <c:bubble3D val="0"/>
            <c:spPr>
              <a:solidFill>
                <a:schemeClr val="accent1"/>
              </a:solidFill>
              <a:ln w="19050">
                <a:solidFill>
                  <a:schemeClr val="lt1"/>
                </a:solidFill>
              </a:ln>
              <a:effectLst/>
            </c:spPr>
          </c:dPt>
          <c:dPt>
            <c:idx val="1"/>
            <c:bubble3D val="0"/>
            <c:spPr>
              <a:solidFill>
                <a:srgbClr val="C00000"/>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1">
                  <a:lumMod val="50000"/>
                </a:schemeClr>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dLbl>
              <c:idx val="3"/>
              <c:layout>
                <c:manualLayout>
                  <c:x val="-3.7444728452058547E-2"/>
                  <c:y val="-1.1750785023144186E-2"/>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5.5158642587839007E-2"/>
                  <c:y val="-2.0449858268946203E-2"/>
                </c:manualLayout>
              </c:layout>
              <c:showLegendKey val="0"/>
              <c:showVal val="1"/>
              <c:showCatName val="0"/>
              <c:showSerName val="0"/>
              <c:showPercent val="0"/>
              <c:showBubbleSize val="0"/>
              <c:extLst>
                <c:ext xmlns:c15="http://schemas.microsoft.com/office/drawing/2012/chart" uri="{CE6537A1-D6FC-4f65-9D91-7224C49458BB}"/>
              </c:extLst>
            </c:dLbl>
            <c:dLbl>
              <c:idx val="5"/>
              <c:delete val="1"/>
              <c:extLst>
                <c:ext xmlns:c15="http://schemas.microsoft.com/office/drawing/2012/chart" uri="{CE6537A1-D6FC-4f65-9D91-7224C49458BB}"/>
              </c:extLst>
            </c:dLbl>
            <c:dLbl>
              <c:idx val="6"/>
              <c:delete val="1"/>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Report!$J$77:$J$83</c:f>
              <c:strCache>
                <c:ptCount val="7"/>
                <c:pt idx="0">
                  <c:v>Directional</c:v>
                </c:pt>
                <c:pt idx="1">
                  <c:v>Term Structure</c:v>
                </c:pt>
                <c:pt idx="2">
                  <c:v>Basis</c:v>
                </c:pt>
                <c:pt idx="3">
                  <c:v>Carry</c:v>
                </c:pt>
                <c:pt idx="4">
                  <c:v>Volatility</c:v>
                </c:pt>
                <c:pt idx="5">
                  <c:v>Hurdle</c:v>
                </c:pt>
                <c:pt idx="6">
                  <c:v>Hedge</c:v>
                </c:pt>
              </c:strCache>
            </c:strRef>
          </c:cat>
          <c:val>
            <c:numRef>
              <c:f>Report!$M$77:$M$83</c:f>
              <c:numCache>
                <c:formatCode>0%</c:formatCode>
                <c:ptCount val="7"/>
                <c:pt idx="0">
                  <c:v>0.24861788929110915</c:v>
                </c:pt>
                <c:pt idx="1">
                  <c:v>0.35118997337279467</c:v>
                </c:pt>
                <c:pt idx="2">
                  <c:v>8.5999177794300649E-2</c:v>
                </c:pt>
                <c:pt idx="3">
                  <c:v>7.7100053995592915E-2</c:v>
                </c:pt>
                <c:pt idx="4">
                  <c:v>0.23568008481144195</c:v>
                </c:pt>
                <c:pt idx="5">
                  <c:v>1.4128207347606611E-3</c:v>
                </c:pt>
                <c:pt idx="6">
                  <c:v>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rtl="0">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Extreme Loss %NAV</a:t>
            </a:r>
          </a:p>
        </c:rich>
      </c:tx>
      <c:layout>
        <c:manualLayout>
          <c:xMode val="edge"/>
          <c:yMode val="edge"/>
          <c:x val="0.24474143977209145"/>
          <c:y val="1.8250141905630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9006629123012867"/>
          <c:y val="0.22532099412977724"/>
          <c:w val="0.61231794681432583"/>
          <c:h val="0.64830791007134791"/>
        </c:manualLayout>
      </c:layout>
      <c:pieChart>
        <c:varyColors val="1"/>
        <c:ser>
          <c:idx val="0"/>
          <c:order val="0"/>
          <c:dPt>
            <c:idx val="0"/>
            <c:bubble3D val="0"/>
            <c:spPr>
              <a:solidFill>
                <a:schemeClr val="accent1"/>
              </a:solidFill>
              <a:ln w="19050">
                <a:solidFill>
                  <a:schemeClr val="lt1"/>
                </a:solidFill>
              </a:ln>
              <a:effectLst/>
            </c:spPr>
          </c:dPt>
          <c:dPt>
            <c:idx val="1"/>
            <c:bubble3D val="0"/>
            <c:spPr>
              <a:solidFill>
                <a:srgbClr val="CC0000"/>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6">
                  <a:lumMod val="75000"/>
                </a:schemeClr>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5">
                  <a:lumMod val="50000"/>
                </a:schemeClr>
              </a:solidFill>
              <a:ln w="19050">
                <a:solidFill>
                  <a:schemeClr val="lt1"/>
                </a:solidFill>
              </a:ln>
              <a:effectLst/>
            </c:spPr>
          </c:dPt>
          <c:dLbls>
            <c:dLbl>
              <c:idx val="4"/>
              <c:delete val="1"/>
              <c:extLst>
                <c:ext xmlns:c15="http://schemas.microsoft.com/office/drawing/2012/chart" uri="{CE6537A1-D6FC-4f65-9D91-7224C49458BB}"/>
              </c:extLst>
            </c:dLbl>
            <c:dLbl>
              <c:idx val="5"/>
              <c:layout>
                <c:manualLayout>
                  <c:x val="5.6308735976648788E-2"/>
                  <c:y val="-2.3793075079547955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6"/>
              <c:pt idx="0">
                <c:v>FX</c:v>
              </c:pt>
              <c:pt idx="1">
                <c:v>Rates</c:v>
              </c:pt>
              <c:pt idx="2">
                <c:v>Credit</c:v>
              </c:pt>
              <c:pt idx="3">
                <c:v>Equity</c:v>
              </c:pt>
              <c:pt idx="4">
                <c:v>Comdty</c:v>
              </c:pt>
              <c:pt idx="5">
                <c:v>Volatility</c:v>
              </c:pt>
            </c:strLit>
          </c:cat>
          <c:val>
            <c:numRef>
              <c:f>Report!$S$352:$S$357</c:f>
              <c:numCache>
                <c:formatCode>0.00%</c:formatCode>
                <c:ptCount val="6"/>
                <c:pt idx="0">
                  <c:v>1.1962892143595734E-2</c:v>
                </c:pt>
                <c:pt idx="1">
                  <c:v>1.330017777345489E-2</c:v>
                </c:pt>
                <c:pt idx="2">
                  <c:v>1.2908225912132065E-2</c:v>
                </c:pt>
                <c:pt idx="3">
                  <c:v>4.8601236051450315E-4</c:v>
                </c:pt>
                <c:pt idx="4">
                  <c:v>0</c:v>
                </c:pt>
                <c:pt idx="5">
                  <c:v>1.4583333230747033E-2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rtl="0">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Liquidity Event</a:t>
            </a:r>
            <a:r>
              <a:rPr lang="en-US" baseline="0"/>
              <a:t> (Stressed Period - %NAV)</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&lt; 1 Day</c:v>
          </c:tx>
          <c:spPr>
            <a:solidFill>
              <a:srgbClr val="3FBA36"/>
            </a:solidFill>
            <a:ln>
              <a:noFill/>
            </a:ln>
            <a:effectLst/>
          </c:spPr>
          <c:invertIfNegative val="0"/>
          <c:cat>
            <c:strLit>
              <c:ptCount val="6"/>
              <c:pt idx="0">
                <c:v>FX</c:v>
              </c:pt>
              <c:pt idx="1">
                <c:v>Rates</c:v>
              </c:pt>
              <c:pt idx="2">
                <c:v>Credit</c:v>
              </c:pt>
              <c:pt idx="3">
                <c:v>Equity</c:v>
              </c:pt>
              <c:pt idx="4">
                <c:v>Commodity</c:v>
              </c:pt>
              <c:pt idx="5">
                <c:v>Hurdle</c:v>
              </c:pt>
            </c:strLit>
          </c:cat>
          <c:val>
            <c:numRef>
              <c:f>Report!$F$588:$F$593</c:f>
              <c:numCache>
                <c:formatCode>0.0%</c:formatCode>
                <c:ptCount val="6"/>
                <c:pt idx="0">
                  <c:v>1.7896934505111214E-3</c:v>
                </c:pt>
                <c:pt idx="1">
                  <c:v>3.3050393587871437E-3</c:v>
                </c:pt>
                <c:pt idx="2">
                  <c:v>4.1711063436691426E-3</c:v>
                </c:pt>
                <c:pt idx="3">
                  <c:v>1.4831409331862282E-6</c:v>
                </c:pt>
                <c:pt idx="4">
                  <c:v>0</c:v>
                </c:pt>
                <c:pt idx="5">
                  <c:v>0</c:v>
                </c:pt>
              </c:numCache>
            </c:numRef>
          </c:val>
        </c:ser>
        <c:ser>
          <c:idx val="1"/>
          <c:order val="1"/>
          <c:tx>
            <c:v>&lt; 1 Week</c:v>
          </c:tx>
          <c:spPr>
            <a:solidFill>
              <a:srgbClr val="FF9900"/>
            </a:solidFill>
            <a:ln>
              <a:noFill/>
            </a:ln>
            <a:effectLst/>
          </c:spPr>
          <c:invertIfNegative val="0"/>
          <c:cat>
            <c:strLit>
              <c:ptCount val="6"/>
              <c:pt idx="0">
                <c:v>FX</c:v>
              </c:pt>
              <c:pt idx="1">
                <c:v>Rates</c:v>
              </c:pt>
              <c:pt idx="2">
                <c:v>Credit</c:v>
              </c:pt>
              <c:pt idx="3">
                <c:v>Equity</c:v>
              </c:pt>
              <c:pt idx="4">
                <c:v>Commodity</c:v>
              </c:pt>
              <c:pt idx="5">
                <c:v>Hurdle</c:v>
              </c:pt>
            </c:strLit>
          </c:cat>
          <c:val>
            <c:numRef>
              <c:f>Report!$G$588:$G$593</c:f>
              <c:numCache>
                <c:formatCode>0.0%</c:formatCode>
                <c:ptCount val="6"/>
                <c:pt idx="0">
                  <c:v>0</c:v>
                </c:pt>
                <c:pt idx="1">
                  <c:v>0</c:v>
                </c:pt>
                <c:pt idx="2">
                  <c:v>4.2329102329295232E-3</c:v>
                </c:pt>
                <c:pt idx="3">
                  <c:v>0</c:v>
                </c:pt>
                <c:pt idx="4">
                  <c:v>0</c:v>
                </c:pt>
                <c:pt idx="5">
                  <c:v>0</c:v>
                </c:pt>
              </c:numCache>
            </c:numRef>
          </c:val>
        </c:ser>
        <c:ser>
          <c:idx val="2"/>
          <c:order val="2"/>
          <c:tx>
            <c:v>&gt; 1 Week</c:v>
          </c:tx>
          <c:spPr>
            <a:solidFill>
              <a:srgbClr val="FF0000"/>
            </a:solidFill>
            <a:ln>
              <a:noFill/>
            </a:ln>
            <a:effectLst/>
          </c:spPr>
          <c:invertIfNegative val="0"/>
          <c:cat>
            <c:strLit>
              <c:ptCount val="6"/>
              <c:pt idx="0">
                <c:v>FX</c:v>
              </c:pt>
              <c:pt idx="1">
                <c:v>Rates</c:v>
              </c:pt>
              <c:pt idx="2">
                <c:v>Credit</c:v>
              </c:pt>
              <c:pt idx="3">
                <c:v>Equity</c:v>
              </c:pt>
              <c:pt idx="4">
                <c:v>Commodity</c:v>
              </c:pt>
              <c:pt idx="5">
                <c:v>Hurdle</c:v>
              </c:pt>
            </c:strLit>
          </c:cat>
          <c:val>
            <c:numRef>
              <c:f>Report!$H$588:$H$593</c:f>
              <c:numCache>
                <c:formatCode>0.0%</c:formatCode>
                <c:ptCount val="6"/>
                <c:pt idx="0">
                  <c:v>0</c:v>
                </c:pt>
                <c:pt idx="1">
                  <c:v>0</c:v>
                </c:pt>
                <c:pt idx="2">
                  <c:v>5.4856482437907646E-3</c:v>
                </c:pt>
                <c:pt idx="3">
                  <c:v>0</c:v>
                </c:pt>
                <c:pt idx="4">
                  <c:v>0</c:v>
                </c:pt>
                <c:pt idx="5">
                  <c:v>0</c:v>
                </c:pt>
              </c:numCache>
            </c:numRef>
          </c:val>
        </c:ser>
        <c:dLbls>
          <c:showLegendKey val="0"/>
          <c:showVal val="0"/>
          <c:showCatName val="0"/>
          <c:showSerName val="0"/>
          <c:showPercent val="0"/>
          <c:showBubbleSize val="0"/>
        </c:dLbls>
        <c:gapWidth val="219"/>
        <c:overlap val="100"/>
        <c:axId val="325809328"/>
        <c:axId val="325811288"/>
      </c:barChart>
      <c:lineChart>
        <c:grouping val="standard"/>
        <c:varyColors val="0"/>
        <c:ser>
          <c:idx val="3"/>
          <c:order val="3"/>
          <c:tx>
            <c:v>Total</c:v>
          </c:tx>
          <c:spPr>
            <a:ln w="28575" cap="rnd">
              <a:solidFill>
                <a:schemeClr val="accent1">
                  <a:alpha val="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FX</c:v>
              </c:pt>
              <c:pt idx="1">
                <c:v>Rates</c:v>
              </c:pt>
              <c:pt idx="2">
                <c:v>Credit</c:v>
              </c:pt>
              <c:pt idx="3">
                <c:v>Equity</c:v>
              </c:pt>
              <c:pt idx="4">
                <c:v>Commodity</c:v>
              </c:pt>
              <c:pt idx="5">
                <c:v>Hurdle</c:v>
              </c:pt>
            </c:strLit>
          </c:cat>
          <c:val>
            <c:numRef>
              <c:f>Report!$I$588:$I$593</c:f>
              <c:numCache>
                <c:formatCode>0.00%</c:formatCode>
                <c:ptCount val="6"/>
                <c:pt idx="0">
                  <c:v>1.7896934505111214E-3</c:v>
                </c:pt>
                <c:pt idx="1">
                  <c:v>3.3050393587871437E-3</c:v>
                </c:pt>
                <c:pt idx="2">
                  <c:v>1.3889664820389429E-2</c:v>
                </c:pt>
                <c:pt idx="3">
                  <c:v>1.4831409331862282E-6</c:v>
                </c:pt>
                <c:pt idx="4">
                  <c:v>0</c:v>
                </c:pt>
                <c:pt idx="5">
                  <c:v>0</c:v>
                </c:pt>
              </c:numCache>
            </c:numRef>
          </c:val>
          <c:smooth val="0"/>
        </c:ser>
        <c:dLbls>
          <c:showLegendKey val="0"/>
          <c:showVal val="0"/>
          <c:showCatName val="0"/>
          <c:showSerName val="0"/>
          <c:showPercent val="0"/>
          <c:showBubbleSize val="0"/>
        </c:dLbls>
        <c:marker val="1"/>
        <c:smooth val="0"/>
        <c:axId val="325809328"/>
        <c:axId val="325811288"/>
      </c:lineChart>
      <c:catAx>
        <c:axId val="32580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811288"/>
        <c:crosses val="autoZero"/>
        <c:auto val="1"/>
        <c:lblAlgn val="ctr"/>
        <c:lblOffset val="100"/>
        <c:noMultiLvlLbl val="0"/>
      </c:catAx>
      <c:valAx>
        <c:axId val="3258112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809328"/>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12</xdr:col>
      <xdr:colOff>11206</xdr:colOff>
      <xdr:row>614</xdr:row>
      <xdr:rowOff>112060</xdr:rowOff>
    </xdr:from>
    <xdr:to>
      <xdr:col>19</xdr:col>
      <xdr:colOff>44823</xdr:colOff>
      <xdr:row>626</xdr:row>
      <xdr:rowOff>78441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537879</xdr:colOff>
      <xdr:row>570</xdr:row>
      <xdr:rowOff>6725</xdr:rowOff>
    </xdr:from>
    <xdr:to>
      <xdr:col>19</xdr:col>
      <xdr:colOff>470644</xdr:colOff>
      <xdr:row>583</xdr:row>
      <xdr:rowOff>105335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515471</xdr:colOff>
      <xdr:row>582</xdr:row>
      <xdr:rowOff>156884</xdr:rowOff>
    </xdr:from>
    <xdr:to>
      <xdr:col>19</xdr:col>
      <xdr:colOff>448236</xdr:colOff>
      <xdr:row>596</xdr:row>
      <xdr:rowOff>53787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56028</xdr:colOff>
      <xdr:row>63</xdr:row>
      <xdr:rowOff>58774</xdr:rowOff>
    </xdr:from>
    <xdr:to>
      <xdr:col>16</xdr:col>
      <xdr:colOff>351769</xdr:colOff>
      <xdr:row>74</xdr:row>
      <xdr:rowOff>179295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631961</xdr:colOff>
      <xdr:row>63</xdr:row>
      <xdr:rowOff>78445</xdr:rowOff>
    </xdr:from>
    <xdr:to>
      <xdr:col>20</xdr:col>
      <xdr:colOff>616323</xdr:colOff>
      <xdr:row>74</xdr:row>
      <xdr:rowOff>190504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33617</xdr:colOff>
      <xdr:row>74</xdr:row>
      <xdr:rowOff>81184</xdr:rowOff>
    </xdr:from>
    <xdr:to>
      <xdr:col>16</xdr:col>
      <xdr:colOff>329358</xdr:colOff>
      <xdr:row>86</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609550</xdr:colOff>
      <xdr:row>74</xdr:row>
      <xdr:rowOff>100849</xdr:rowOff>
    </xdr:from>
    <xdr:to>
      <xdr:col>20</xdr:col>
      <xdr:colOff>593912</xdr:colOff>
      <xdr:row>86</xdr:row>
      <xdr:rowOff>11201</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22411</xdr:colOff>
      <xdr:row>358</xdr:row>
      <xdr:rowOff>190500</xdr:rowOff>
    </xdr:from>
    <xdr:to>
      <xdr:col>20</xdr:col>
      <xdr:colOff>313764</xdr:colOff>
      <xdr:row>372</xdr:row>
      <xdr:rowOff>161364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78441</xdr:colOff>
      <xdr:row>88</xdr:row>
      <xdr:rowOff>33619</xdr:rowOff>
    </xdr:from>
    <xdr:to>
      <xdr:col>20</xdr:col>
      <xdr:colOff>22412</xdr:colOff>
      <xdr:row>102</xdr:row>
      <xdr:rowOff>31375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G750"/>
  <sheetViews>
    <sheetView tabSelected="1" view="pageBreakPreview" topLeftCell="A105" zoomScale="85" zoomScaleNormal="85" zoomScaleSheetLayoutView="85" zoomScalePageLayoutView="85" workbookViewId="0">
      <selection activeCell="N117" sqref="N117"/>
    </sheetView>
  </sheetViews>
  <sheetFormatPr defaultRowHeight="15.75" outlineLevelRow="2" x14ac:dyDescent="0.25"/>
  <cols>
    <col min="1" max="2" width="9.140625" style="1"/>
    <col min="3" max="5" width="4.42578125" style="1" customWidth="1"/>
    <col min="6" max="6" width="9.42578125" style="1" customWidth="1"/>
    <col min="7" max="9" width="9.5703125" style="1" bestFit="1" customWidth="1"/>
    <col min="10" max="14" width="9.7109375" style="1" bestFit="1" customWidth="1"/>
    <col min="15" max="16" width="10.140625" style="1" bestFit="1" customWidth="1"/>
    <col min="17" max="19" width="10.140625" style="1" customWidth="1"/>
    <col min="20" max="20" width="9.5703125" style="1" bestFit="1" customWidth="1"/>
    <col min="21" max="23" width="9.140625" style="1"/>
    <col min="24" max="24" width="9.140625" style="1" customWidth="1"/>
    <col min="25" max="26" width="9.140625" style="1"/>
    <col min="27" max="27" width="12.28515625" style="1" bestFit="1" customWidth="1"/>
    <col min="28" max="29" width="9.140625" style="1"/>
    <col min="30" max="30" width="18.42578125" style="1" bestFit="1" customWidth="1"/>
    <col min="31" max="31" width="12.28515625" style="1" bestFit="1" customWidth="1"/>
    <col min="32" max="16384" width="9.140625" style="1"/>
  </cols>
  <sheetData>
    <row r="1" spans="1:20" ht="16.5" thickBot="1" x14ac:dyDescent="0.3"/>
    <row r="2" spans="1:20" ht="20.25" thickBot="1" x14ac:dyDescent="0.3">
      <c r="C2" s="431" t="str">
        <f>portfolio_name&amp;" Portfolio Risk as of " &amp; TEXT(asof2,"mm/dd/yyyy")</f>
        <v>FLMM Portfolio Risk as of 10/24/2018</v>
      </c>
      <c r="D2" s="432"/>
      <c r="E2" s="432"/>
      <c r="F2" s="432"/>
      <c r="G2" s="432"/>
      <c r="H2" s="432"/>
      <c r="I2" s="432"/>
      <c r="J2" s="432"/>
      <c r="K2" s="432"/>
      <c r="L2" s="432"/>
      <c r="M2" s="432"/>
      <c r="N2" s="432"/>
      <c r="O2" s="432"/>
      <c r="P2" s="432"/>
      <c r="Q2" s="432"/>
      <c r="R2" s="432"/>
      <c r="S2" s="432"/>
      <c r="T2" s="433"/>
    </row>
    <row r="3" spans="1:20" ht="6" customHeight="1" x14ac:dyDescent="0.25">
      <c r="E3" s="2"/>
      <c r="F3" s="3"/>
      <c r="M3" s="4"/>
      <c r="N3" s="4"/>
    </row>
    <row r="4" spans="1:20" x14ac:dyDescent="0.25">
      <c r="A4" s="5"/>
      <c r="C4" s="6" t="s">
        <v>0</v>
      </c>
      <c r="D4" s="7"/>
      <c r="E4" s="434">
        <f>asof2</f>
        <v>43397</v>
      </c>
      <c r="F4" s="434"/>
      <c r="G4" s="8"/>
      <c r="H4" s="7"/>
      <c r="I4" s="7"/>
      <c r="J4" s="7"/>
      <c r="K4" s="7"/>
      <c r="L4" s="7"/>
      <c r="M4" s="9"/>
      <c r="N4" s="9"/>
      <c r="O4" s="7"/>
      <c r="P4" s="7"/>
      <c r="Q4" s="7"/>
      <c r="R4" s="7"/>
      <c r="S4" s="10" t="s">
        <v>1</v>
      </c>
      <c r="T4" s="11">
        <f>no_strategies</f>
        <v>43</v>
      </c>
    </row>
    <row r="5" spans="1:20" x14ac:dyDescent="0.25">
      <c r="B5" s="12"/>
      <c r="C5" s="12" t="s">
        <v>2</v>
      </c>
      <c r="D5" s="13"/>
      <c r="F5" s="14">
        <f>Nav</f>
        <v>288517489.71064901</v>
      </c>
      <c r="H5" s="13"/>
      <c r="I5" s="13"/>
      <c r="J5" s="13"/>
      <c r="K5" s="13"/>
      <c r="L5" s="15"/>
      <c r="M5" s="16"/>
      <c r="N5" s="17"/>
      <c r="O5" s="17"/>
      <c r="P5" s="18"/>
      <c r="Q5" s="18"/>
      <c r="R5" s="13"/>
      <c r="S5" s="19" t="s">
        <v>3</v>
      </c>
      <c r="T5" s="20">
        <f>no_risk_themes</f>
        <v>21</v>
      </c>
    </row>
    <row r="6" spans="1:20" ht="6" customHeight="1" x14ac:dyDescent="0.25">
      <c r="E6" s="2"/>
      <c r="F6" s="3"/>
    </row>
    <row r="7" spans="1:20" ht="17.25" x14ac:dyDescent="0.3">
      <c r="C7" s="21" t="s">
        <v>4</v>
      </c>
      <c r="D7" s="22"/>
      <c r="E7" s="23"/>
      <c r="F7" s="24"/>
      <c r="G7" s="22"/>
      <c r="H7" s="22"/>
      <c r="I7" s="22"/>
      <c r="J7" s="22"/>
      <c r="K7" s="22"/>
      <c r="L7" s="22"/>
      <c r="M7" s="25"/>
      <c r="N7" s="25"/>
      <c r="O7" s="22"/>
      <c r="P7" s="22"/>
      <c r="Q7" s="22"/>
      <c r="R7" s="22"/>
      <c r="S7" s="22"/>
      <c r="T7" s="26"/>
    </row>
    <row r="8" spans="1:20" x14ac:dyDescent="0.25">
      <c r="E8" s="27" t="s">
        <v>5</v>
      </c>
      <c r="F8" s="28" t="s">
        <v>6</v>
      </c>
      <c r="G8" s="28" t="s">
        <v>7</v>
      </c>
      <c r="J8" s="29" t="s">
        <v>8</v>
      </c>
      <c r="K8" s="28" t="s">
        <v>6</v>
      </c>
      <c r="L8" s="28" t="s">
        <v>7</v>
      </c>
      <c r="N8" s="30" t="s">
        <v>9</v>
      </c>
      <c r="O8" s="28" t="s">
        <v>6</v>
      </c>
      <c r="P8" s="31" t="s">
        <v>7</v>
      </c>
      <c r="Q8" s="30" t="s">
        <v>10</v>
      </c>
      <c r="R8" s="31" t="s">
        <v>6</v>
      </c>
      <c r="S8" s="31" t="s">
        <v>7</v>
      </c>
    </row>
    <row r="9" spans="1:20" x14ac:dyDescent="0.25">
      <c r="E9" s="27" t="s">
        <v>245</v>
      </c>
      <c r="F9" s="32">
        <f>daily_pnl</f>
        <v>53041.017981041863</v>
      </c>
      <c r="G9" s="15">
        <f>F9/Nav</f>
        <v>1.8383987062356639E-4</v>
      </c>
      <c r="J9" s="27" t="s">
        <v>12</v>
      </c>
      <c r="K9" s="17">
        <f>portfolio_volatility</f>
        <v>9158955.7779123168</v>
      </c>
      <c r="L9" s="15">
        <f>K9/Nav</f>
        <v>3.174488932056678E-2</v>
      </c>
      <c r="M9" s="33"/>
      <c r="N9" s="27" t="s">
        <v>13</v>
      </c>
      <c r="O9" s="17">
        <f>t_bill</f>
        <v>247687606.9619841</v>
      </c>
      <c r="P9" s="18">
        <f>O9/Nav</f>
        <v>0.85848385555547169</v>
      </c>
      <c r="Q9" s="27" t="s">
        <v>14</v>
      </c>
      <c r="R9" s="17">
        <f>VLOOKUP(Q9,market_value_by_side,2)+IF(cash&gt;=0,cash,0)</f>
        <v>590823289.77517569</v>
      </c>
      <c r="S9" s="18">
        <f>R9/Nav</f>
        <v>2.0477902062980853</v>
      </c>
    </row>
    <row r="10" spans="1:20" x14ac:dyDescent="0.25">
      <c r="E10" s="27" t="s">
        <v>15</v>
      </c>
      <c r="F10" s="32">
        <f>wtd_pnl</f>
        <v>1370647.2384858197</v>
      </c>
      <c r="G10" s="15">
        <f>F10/Nav</f>
        <v>4.7506556356788857E-3</v>
      </c>
      <c r="J10" s="27" t="s">
        <v>16</v>
      </c>
      <c r="K10" s="17">
        <f>_95_var_weekly*2</f>
        <v>4413250.4362325333</v>
      </c>
      <c r="L10" s="339">
        <f>K10/Nav</f>
        <v>1.5296301242113721E-2</v>
      </c>
      <c r="N10" s="27" t="s">
        <v>9</v>
      </c>
      <c r="O10" s="17">
        <f>cash</f>
        <v>2866223</v>
      </c>
      <c r="P10" s="18">
        <f>O10/Nav</f>
        <v>9.9343128309985762E-3</v>
      </c>
      <c r="Q10" s="27" t="s">
        <v>17</v>
      </c>
      <c r="R10" s="34">
        <f>VLOOKUP(Q10,market_value_by_side,2)+IF(cash&lt;0,cash,0)</f>
        <v>-304502028.50411361</v>
      </c>
      <c r="S10" s="35">
        <f>R10/Nav</f>
        <v>-1.0554023217431128</v>
      </c>
    </row>
    <row r="11" spans="1:20" x14ac:dyDescent="0.25">
      <c r="E11" s="27" t="s">
        <v>18</v>
      </c>
      <c r="F11" s="32">
        <f>SUM(F19:F24)</f>
        <v>6901002.7106490321</v>
      </c>
      <c r="G11" s="15">
        <f>G25</f>
        <v>2.4504966964697047E-2</v>
      </c>
      <c r="J11" s="27" t="s">
        <v>19</v>
      </c>
      <c r="K11" s="17">
        <f>K73</f>
        <v>15360856.213211372</v>
      </c>
      <c r="L11" s="36">
        <f>K11/Nav</f>
        <v>5.3240641420444233E-2</v>
      </c>
      <c r="M11" s="36"/>
      <c r="N11" s="27" t="s">
        <v>20</v>
      </c>
      <c r="O11" s="34">
        <f>margin</f>
        <v>50978000</v>
      </c>
      <c r="P11" s="35">
        <f>O11/Nav</f>
        <v>0.17668946188019752</v>
      </c>
      <c r="Q11" s="37" t="s">
        <v>21</v>
      </c>
      <c r="R11" s="17">
        <f>R9+R10</f>
        <v>286321261.27106208</v>
      </c>
      <c r="S11" s="38">
        <f>R11/Nav</f>
        <v>0.99238788455497273</v>
      </c>
      <c r="T11" s="29" t="s">
        <v>22</v>
      </c>
    </row>
    <row r="12" spans="1:20" x14ac:dyDescent="0.25">
      <c r="E12" s="27" t="s">
        <v>23</v>
      </c>
      <c r="F12" s="39">
        <f>SUM(H19:H24)</f>
        <v>-1494100.9030909091</v>
      </c>
      <c r="G12" s="40">
        <f>ytd_pnl_bps/10000</f>
        <v>-1.6364282293758194E-3</v>
      </c>
      <c r="J12" s="27" t="s">
        <v>24</v>
      </c>
      <c r="K12" s="34">
        <f>K69</f>
        <v>3724248.9367862963</v>
      </c>
      <c r="L12" s="40">
        <f>K12/Nav</f>
        <v>1.2908225912132067E-2</v>
      </c>
      <c r="N12" s="27" t="s">
        <v>25</v>
      </c>
      <c r="O12" s="17">
        <f>O9+O10-O11</f>
        <v>199575829.9619841</v>
      </c>
      <c r="P12" s="18">
        <f>O12/Nav</f>
        <v>0.69172870650627272</v>
      </c>
      <c r="Q12" s="27" t="s">
        <v>26</v>
      </c>
      <c r="R12" s="34">
        <f>ABS(R10)+ABS(R9)</f>
        <v>895325318.27928925</v>
      </c>
      <c r="S12" s="41">
        <f>R12/Nav</f>
        <v>3.1031925280411978</v>
      </c>
      <c r="T12" s="42">
        <f ca="1">M273+O10/Nav</f>
        <v>1.2752505809162562</v>
      </c>
    </row>
    <row r="13" spans="1:20" ht="6" customHeight="1" thickBot="1" x14ac:dyDescent="0.3">
      <c r="E13" s="2"/>
      <c r="F13" s="3"/>
    </row>
    <row r="14" spans="1:20" ht="20.25" thickBot="1" x14ac:dyDescent="0.3">
      <c r="C14" s="418" t="s">
        <v>27</v>
      </c>
      <c r="D14" s="419"/>
      <c r="E14" s="419"/>
      <c r="F14" s="419"/>
      <c r="G14" s="419"/>
      <c r="H14" s="419"/>
      <c r="I14" s="419"/>
      <c r="J14" s="419"/>
      <c r="K14" s="419"/>
      <c r="L14" s="419"/>
      <c r="M14" s="419"/>
      <c r="N14" s="419"/>
      <c r="O14" s="419"/>
      <c r="P14" s="419"/>
      <c r="Q14" s="419"/>
      <c r="R14" s="419"/>
      <c r="S14" s="419"/>
      <c r="T14" s="420"/>
    </row>
    <row r="15" spans="1:20" ht="6" customHeight="1" x14ac:dyDescent="0.25">
      <c r="E15" s="2"/>
      <c r="F15" s="3"/>
    </row>
    <row r="16" spans="1:20" x14ac:dyDescent="0.25">
      <c r="C16" s="43" t="s">
        <v>28</v>
      </c>
      <c r="D16" s="22"/>
      <c r="E16" s="22"/>
      <c r="F16" s="22"/>
      <c r="G16" s="44"/>
      <c r="H16" s="22"/>
      <c r="I16" s="22"/>
      <c r="J16" s="22"/>
      <c r="M16" s="43" t="s">
        <v>29</v>
      </c>
      <c r="N16" s="22"/>
      <c r="O16" s="22"/>
      <c r="P16" s="45"/>
      <c r="Q16" s="45"/>
      <c r="R16" s="45"/>
      <c r="S16" s="45"/>
      <c r="T16" s="45"/>
    </row>
    <row r="17" spans="1:33" x14ac:dyDescent="0.25">
      <c r="F17" s="4" t="s">
        <v>18</v>
      </c>
      <c r="G17" s="4"/>
      <c r="H17" s="4" t="s">
        <v>23</v>
      </c>
      <c r="I17" s="4"/>
      <c r="J17" s="4"/>
      <c r="M17" s="46" t="s">
        <v>30</v>
      </c>
      <c r="N17" s="22"/>
      <c r="O17" s="22"/>
      <c r="P17" s="47"/>
      <c r="Q17" s="22"/>
      <c r="R17" s="22"/>
      <c r="S17" s="22"/>
      <c r="T17" s="22"/>
    </row>
    <row r="18" spans="1:33" ht="15.75" customHeight="1" x14ac:dyDescent="0.25">
      <c r="D18" s="13"/>
      <c r="E18" s="48" t="s">
        <v>31</v>
      </c>
      <c r="F18" s="49" t="s">
        <v>6</v>
      </c>
      <c r="G18" s="49" t="s">
        <v>7</v>
      </c>
      <c r="H18" s="49" t="s">
        <v>6</v>
      </c>
      <c r="I18" s="49" t="s">
        <v>7</v>
      </c>
      <c r="J18" s="50" t="s">
        <v>32</v>
      </c>
      <c r="N18" s="51" t="s">
        <v>18</v>
      </c>
      <c r="R18" s="50" t="s">
        <v>23</v>
      </c>
      <c r="T18" s="52"/>
      <c r="X18" s="1" t="s">
        <v>233</v>
      </c>
      <c r="AA18" s="3"/>
      <c r="AB18" s="53"/>
      <c r="AD18" s="54"/>
      <c r="AE18" s="3"/>
      <c r="AG18" s="3"/>
    </row>
    <row r="19" spans="1:33" x14ac:dyDescent="0.25">
      <c r="C19" s="13"/>
      <c r="D19" s="13"/>
      <c r="E19" s="55" t="s">
        <v>33</v>
      </c>
      <c r="F19" s="56">
        <f t="shared" ref="F19:F24" si="0">IFERROR(VLOOKUP($X19,mtd_ytd_pnl_by_tag_level_5,2,FALSE),0)</f>
        <v>530593.95065258839</v>
      </c>
      <c r="G19" s="57">
        <f t="shared" ref="G19:G24" si="1">IFERROR(VLOOKUP($X19,mtd_ytd_pnl_by_tag_level_5,3,FALSE)/10000,0)</f>
        <v>1.8841011629144731E-3</v>
      </c>
      <c r="H19" s="56">
        <f t="shared" ref="H19:H24" si="2">IFERROR(VLOOKUP($X19,mtd_ytd_pnl_by_tag_level_5,4,FALSE),0)</f>
        <v>-5234901.6193563165</v>
      </c>
      <c r="I19" s="57">
        <f t="shared" ref="I19:I24" si="3">IFERROR(VLOOKUP($X19,mtd_ytd_pnl_by_tag_level_5,5,FALSE)/10000,0)</f>
        <v>-2.025405167114247E-2</v>
      </c>
      <c r="J19" s="58">
        <f>H19/$H$25</f>
        <v>3.5037135768586021</v>
      </c>
      <c r="M19" s="22"/>
      <c r="N19" s="22"/>
      <c r="O19" s="47" t="s">
        <v>7</v>
      </c>
      <c r="Q19" s="22"/>
      <c r="R19" s="22"/>
      <c r="S19" s="47" t="s">
        <v>7</v>
      </c>
      <c r="T19" s="52"/>
      <c r="X19" s="311" t="str">
        <f>UPPER(E19)</f>
        <v>FX</v>
      </c>
      <c r="AA19" s="3"/>
      <c r="AB19" s="53"/>
      <c r="AD19" s="54"/>
      <c r="AE19" s="3"/>
      <c r="AG19" s="3"/>
    </row>
    <row r="20" spans="1:33" x14ac:dyDescent="0.25">
      <c r="C20" s="13"/>
      <c r="D20" s="13"/>
      <c r="E20" s="55" t="s">
        <v>34</v>
      </c>
      <c r="F20" s="59">
        <f t="shared" si="0"/>
        <v>2297889.9991195281</v>
      </c>
      <c r="G20" s="60">
        <f t="shared" si="1"/>
        <v>8.1596430081152527E-3</v>
      </c>
      <c r="H20" s="59">
        <f t="shared" si="2"/>
        <v>-2212523.6344663054</v>
      </c>
      <c r="I20" s="60">
        <f t="shared" si="3"/>
        <v>-6.2011000481170253E-3</v>
      </c>
      <c r="J20" s="61">
        <f t="shared" ref="J20:J24" si="4">H20/$H$25</f>
        <v>1.4808395001228933</v>
      </c>
      <c r="L20" s="1">
        <v>1</v>
      </c>
      <c r="M20" s="62" t="str">
        <f>IF(ISBLANK(Data!A31),"",Data!A31)</f>
        <v>VIX CS VS PS</v>
      </c>
      <c r="O20" s="15">
        <f>Data!B31/10000</f>
        <v>9.712325542928885E-3</v>
      </c>
      <c r="P20" s="1">
        <v>1</v>
      </c>
      <c r="Q20" s="62" t="str">
        <f>IF(ISBLANK(Data!G31),"",Data!G31)</f>
        <v>USD 1Y2Y1Y MIDCURVE PAYERS</v>
      </c>
      <c r="S20" s="15">
        <f>Data!H31/10000</f>
        <v>1.205819969482147E-2</v>
      </c>
      <c r="T20" s="52"/>
      <c r="X20" s="314" t="str">
        <f>UPPER(E20)</f>
        <v>RATES</v>
      </c>
      <c r="AA20" s="3"/>
      <c r="AB20" s="53"/>
      <c r="AD20" s="54"/>
      <c r="AE20" s="3"/>
      <c r="AG20" s="3"/>
    </row>
    <row r="21" spans="1:33" x14ac:dyDescent="0.25">
      <c r="C21" s="13"/>
      <c r="D21" s="13"/>
      <c r="E21" s="55" t="s">
        <v>35</v>
      </c>
      <c r="F21" s="59">
        <f t="shared" si="0"/>
        <v>1919638.7719976231</v>
      </c>
      <c r="G21" s="60">
        <f t="shared" si="1"/>
        <v>6.8164999586747396E-3</v>
      </c>
      <c r="H21" s="59">
        <f t="shared" si="2"/>
        <v>468041.10822308902</v>
      </c>
      <c r="I21" s="60">
        <f t="shared" si="3"/>
        <v>3.5374113433044307E-3</v>
      </c>
      <c r="J21" s="61">
        <f t="shared" si="4"/>
        <v>-0.31325937040452406</v>
      </c>
      <c r="L21" s="1">
        <v>2</v>
      </c>
      <c r="M21" s="62" t="str">
        <f>IF(ISBLANK(Data!A32),"",Data!A32)</f>
        <v>10Y-2Y CMS CURVE CAP</v>
      </c>
      <c r="O21" s="15">
        <f>Data!B32/10000</f>
        <v>5.0681214826313421E-3</v>
      </c>
      <c r="P21" s="1">
        <v>2</v>
      </c>
      <c r="Q21" s="62" t="str">
        <f>IF(ISBLANK(Data!G32),"",Data!G32)</f>
        <v>TBILL</v>
      </c>
      <c r="S21" s="15">
        <f>Data!H32/10000</f>
        <v>9.2379231332009315E-3</v>
      </c>
      <c r="T21" s="52"/>
      <c r="X21" s="314" t="str">
        <f>UPPER(E21)</f>
        <v>CREDIT</v>
      </c>
      <c r="AA21" s="3"/>
      <c r="AB21" s="53"/>
      <c r="AD21" s="54"/>
      <c r="AE21" s="3"/>
    </row>
    <row r="22" spans="1:33" x14ac:dyDescent="0.25">
      <c r="C22" s="13"/>
      <c r="D22" s="13"/>
      <c r="E22" s="55" t="s">
        <v>36</v>
      </c>
      <c r="F22" s="59">
        <f t="shared" si="0"/>
        <v>1872476.5340484518</v>
      </c>
      <c r="G22" s="60">
        <f t="shared" si="1"/>
        <v>6.6490302254514373E-3</v>
      </c>
      <c r="H22" s="59">
        <f t="shared" si="2"/>
        <v>1684993.0563008222</v>
      </c>
      <c r="I22" s="60">
        <f t="shared" si="3"/>
        <v>7.0016415785660868E-3</v>
      </c>
      <c r="J22" s="61">
        <f t="shared" si="4"/>
        <v>-1.1277638965447423</v>
      </c>
      <c r="L22" s="1">
        <v>3</v>
      </c>
      <c r="M22" s="62" t="str">
        <f>IF(ISBLANK(Data!A33),"",Data!A33)</f>
        <v>US CREDIT DISPERSION</v>
      </c>
      <c r="O22" s="15">
        <f>Data!B33/10000</f>
        <v>4.5402762874299238E-3</v>
      </c>
      <c r="P22" s="1">
        <v>3</v>
      </c>
      <c r="Q22" s="62" t="str">
        <f>IF(ISBLANK(Data!G33),"",Data!G33)</f>
        <v>LONG EURO STOXX VS MIB</v>
      </c>
      <c r="S22" s="15">
        <f>Data!H33/10000</f>
        <v>8.4912895266378019E-3</v>
      </c>
      <c r="T22" s="63"/>
      <c r="X22" s="314" t="str">
        <f>UPPER(E22)</f>
        <v>EQUITY</v>
      </c>
      <c r="AD22" s="54"/>
      <c r="AE22" s="3"/>
    </row>
    <row r="23" spans="1:33" ht="15.75" customHeight="1" x14ac:dyDescent="0.25">
      <c r="C23" s="13"/>
      <c r="D23" s="13"/>
      <c r="E23" s="55" t="s">
        <v>37</v>
      </c>
      <c r="F23" s="59">
        <f t="shared" si="0"/>
        <v>-35147</v>
      </c>
      <c r="G23" s="60">
        <f t="shared" si="1"/>
        <v>-1.2480448277163545E-4</v>
      </c>
      <c r="H23" s="59">
        <f t="shared" si="2"/>
        <v>579961</v>
      </c>
      <c r="I23" s="60">
        <f t="shared" si="3"/>
        <v>3.1195031238819807E-3</v>
      </c>
      <c r="J23" s="61">
        <f t="shared" si="4"/>
        <v>-0.38816722404772691</v>
      </c>
      <c r="L23" s="1">
        <v>4</v>
      </c>
      <c r="M23" s="62" t="str">
        <f>IF(ISBLANK(Data!A34),"",Data!A34)</f>
        <v>LONG USD 5Y30Y VEGA</v>
      </c>
      <c r="O23" s="15">
        <f>Data!B34/10000</f>
        <v>4.4431790727461956E-3</v>
      </c>
      <c r="P23" s="1">
        <v>4</v>
      </c>
      <c r="Q23" s="62" t="str">
        <f>IF(ISBLANK(Data!G34),"",Data!G34)</f>
        <v>LONG SPX CALLS</v>
      </c>
      <c r="S23" s="15">
        <f>Data!H34/10000</f>
        <v>8.1926805488006238E-3</v>
      </c>
      <c r="T23" s="52"/>
      <c r="X23" s="314" t="str">
        <f>UPPER(E23)</f>
        <v>COMMODITY</v>
      </c>
      <c r="AD23" s="54"/>
      <c r="AE23" s="3"/>
    </row>
    <row r="24" spans="1:33" x14ac:dyDescent="0.25">
      <c r="C24" s="13"/>
      <c r="D24" s="13"/>
      <c r="E24" s="55" t="s">
        <v>9</v>
      </c>
      <c r="F24" s="64">
        <f t="shared" si="0"/>
        <v>315550.45483083994</v>
      </c>
      <c r="G24" s="65">
        <f t="shared" si="1"/>
        <v>1.1204970923127801E-3</v>
      </c>
      <c r="H24" s="64">
        <f t="shared" si="2"/>
        <v>3220329.1862078011</v>
      </c>
      <c r="I24" s="65">
        <f t="shared" si="3"/>
        <v>1.2856041547565812E-2</v>
      </c>
      <c r="J24" s="66">
        <f t="shared" si="4"/>
        <v>-2.1553625859845016</v>
      </c>
      <c r="L24" s="1">
        <v>5</v>
      </c>
      <c r="M24" s="67" t="str">
        <f>IF(ISBLANK(Data!A35),"",Data!A35)</f>
        <v>USD 1Y2Y1Y MIDCURVE PAYERS</v>
      </c>
      <c r="N24" s="22"/>
      <c r="O24" s="40">
        <f>Data!B35/10000</f>
        <v>3.7257389267951529E-3</v>
      </c>
      <c r="P24" s="1">
        <v>5</v>
      </c>
      <c r="Q24" s="67" t="str">
        <f>IF(ISBLANK(Data!G35),"",Data!G35)</f>
        <v>USD 30Y SWAP SPREAD</v>
      </c>
      <c r="R24" s="22"/>
      <c r="S24" s="40">
        <f>Data!H35/10000</f>
        <v>4.7956867124696601E-3</v>
      </c>
      <c r="T24" s="52"/>
      <c r="X24" s="314" t="s">
        <v>87</v>
      </c>
      <c r="AD24" s="54"/>
      <c r="AE24" s="3"/>
    </row>
    <row r="25" spans="1:33" x14ac:dyDescent="0.25">
      <c r="C25" s="13"/>
      <c r="D25" s="13"/>
      <c r="E25" s="68" t="s">
        <v>38</v>
      </c>
      <c r="F25" s="32">
        <f>SUM(F19:F24)</f>
        <v>6901002.7106490321</v>
      </c>
      <c r="G25" s="310">
        <f t="shared" ref="G25:J25" si="5">SUM(G19:G24)</f>
        <v>2.4504966964697047E-2</v>
      </c>
      <c r="H25" s="32">
        <f t="shared" si="5"/>
        <v>-1494100.9030909091</v>
      </c>
      <c r="I25" s="404">
        <f>ytd_pnl_bps/10000</f>
        <v>-1.6364282293758194E-3</v>
      </c>
      <c r="J25" s="371">
        <f t="shared" si="5"/>
        <v>1</v>
      </c>
      <c r="M25" s="71" t="s">
        <v>38</v>
      </c>
      <c r="O25" s="36">
        <f>SUM(O20:O24)</f>
        <v>2.7489641312531499E-2</v>
      </c>
      <c r="Q25" s="71" t="s">
        <v>38</v>
      </c>
      <c r="S25" s="36">
        <f>SUM(S20:S24)</f>
        <v>4.2775779615930487E-2</v>
      </c>
      <c r="T25" s="52"/>
      <c r="AD25" s="54"/>
      <c r="AE25" s="3"/>
    </row>
    <row r="26" spans="1:33" x14ac:dyDescent="0.25">
      <c r="C26" s="13"/>
      <c r="D26" s="13"/>
      <c r="H26" s="32"/>
      <c r="Q26" s="13"/>
      <c r="R26" s="52"/>
      <c r="S26" s="52"/>
      <c r="T26" s="52"/>
      <c r="AD26" s="54"/>
      <c r="AE26" s="3"/>
    </row>
    <row r="27" spans="1:33" x14ac:dyDescent="0.25">
      <c r="Q27" s="13"/>
      <c r="R27" s="52"/>
      <c r="S27" s="52"/>
      <c r="T27" s="52"/>
      <c r="AD27" s="54"/>
      <c r="AE27" s="3"/>
    </row>
    <row r="28" spans="1:33" x14ac:dyDescent="0.25">
      <c r="C28" s="13"/>
      <c r="D28" s="13"/>
      <c r="E28" s="68"/>
      <c r="F28" s="32"/>
      <c r="G28" s="38"/>
      <c r="H28" s="32"/>
      <c r="I28" s="38"/>
      <c r="J28" s="13"/>
      <c r="AD28" s="54"/>
      <c r="AE28" s="3"/>
    </row>
    <row r="29" spans="1:33" x14ac:dyDescent="0.25">
      <c r="C29" s="13"/>
      <c r="D29" s="13"/>
      <c r="E29" s="13"/>
      <c r="F29" s="72" t="s">
        <v>18</v>
      </c>
      <c r="G29" s="16"/>
      <c r="H29" s="73" t="s">
        <v>23</v>
      </c>
      <c r="I29" s="4"/>
      <c r="J29" s="4"/>
      <c r="M29" s="46" t="s">
        <v>39</v>
      </c>
      <c r="N29" s="22"/>
      <c r="O29" s="22"/>
      <c r="P29" s="47"/>
      <c r="Q29" s="22"/>
      <c r="R29" s="22"/>
      <c r="S29" s="22"/>
      <c r="T29" s="22"/>
      <c r="AD29" s="54"/>
      <c r="AE29" s="3"/>
    </row>
    <row r="30" spans="1:33" x14ac:dyDescent="0.25">
      <c r="D30" s="13"/>
      <c r="E30" s="48" t="s">
        <v>40</v>
      </c>
      <c r="F30" s="74" t="s">
        <v>6</v>
      </c>
      <c r="G30" s="49" t="s">
        <v>7</v>
      </c>
      <c r="H30" s="74" t="s">
        <v>6</v>
      </c>
      <c r="I30" s="49" t="s">
        <v>7</v>
      </c>
      <c r="J30" s="50" t="s">
        <v>32</v>
      </c>
      <c r="N30" s="51" t="s">
        <v>18</v>
      </c>
      <c r="R30" s="50" t="s">
        <v>23</v>
      </c>
      <c r="AD30" s="54"/>
      <c r="AE30" s="3"/>
    </row>
    <row r="31" spans="1:33" x14ac:dyDescent="0.25">
      <c r="A31" s="2"/>
      <c r="C31" s="13"/>
      <c r="D31" s="13"/>
      <c r="E31" s="55" t="s">
        <v>41</v>
      </c>
      <c r="F31" s="56">
        <f t="shared" ref="F31:F37" si="6">IFERROR(VLOOKUP($E31,mtd_ytd_pnl_by_tag_level_4,2,FALSE),0)</f>
        <v>4793104.953519457</v>
      </c>
      <c r="G31" s="57">
        <f t="shared" ref="G31:G37" si="7">IFERROR(VLOOKUP($E31,mtd_ytd_pnl_by_tag_level_4,3,FALSE)/10000,0)</f>
        <v>1.7019972816859463E-2</v>
      </c>
      <c r="H31" s="56">
        <f t="shared" ref="H31:H37" si="8">IFERROR(VLOOKUP($E31,mtd_ytd_pnl_by_tag_level_4,4,FALSE),0)</f>
        <v>3026497.5063590584</v>
      </c>
      <c r="I31" s="57">
        <f t="shared" ref="I31:I37" si="9">IFERROR(VLOOKUP($E31,mtd_ytd_pnl_by_tag_level_4,5,FALSE)/10000,0)</f>
        <v>1.467744998055287E-2</v>
      </c>
      <c r="J31" s="58">
        <f>H31/$H$38</f>
        <v>-2.0256312676727655</v>
      </c>
      <c r="M31" s="22"/>
      <c r="N31" s="31"/>
      <c r="O31" s="47" t="s">
        <v>7</v>
      </c>
      <c r="Q31" s="22"/>
      <c r="R31" s="31"/>
      <c r="S31" s="47" t="s">
        <v>7</v>
      </c>
      <c r="AD31" s="54"/>
      <c r="AE31" s="3"/>
    </row>
    <row r="32" spans="1:33" x14ac:dyDescent="0.25">
      <c r="A32" s="2"/>
      <c r="C32" s="13"/>
      <c r="D32" s="13"/>
      <c r="E32" s="55" t="s">
        <v>42</v>
      </c>
      <c r="F32" s="59">
        <f t="shared" si="6"/>
        <v>747303.54880589363</v>
      </c>
      <c r="G32" s="60">
        <f t="shared" si="7"/>
        <v>2.6536214437114735E-3</v>
      </c>
      <c r="H32" s="59">
        <f t="shared" si="8"/>
        <v>-2908869.7184887491</v>
      </c>
      <c r="I32" s="60">
        <f t="shared" si="9"/>
        <v>-1.0048520847258491E-2</v>
      </c>
      <c r="J32" s="61">
        <f t="shared" ref="J32:J37" si="10">H32/$H$38</f>
        <v>1.9469031258003071</v>
      </c>
      <c r="L32" s="1">
        <v>1</v>
      </c>
      <c r="M32" s="62" t="str">
        <f>IF(ISBLANK(Data!D31),"",Data!D31)</f>
        <v>LONG SPX CALLS</v>
      </c>
      <c r="O32" s="15">
        <f>Data!E31/10000</f>
        <v>-5.2028558967145986E-3</v>
      </c>
      <c r="P32" s="1">
        <v>1</v>
      </c>
      <c r="Q32" s="62" t="str">
        <f>IF(ISBLANK(Data!J31),"",Data!J31)</f>
        <v>BANKOFCHINA V SOV SPREAD</v>
      </c>
      <c r="S32" s="15">
        <f>Data!K31/10000</f>
        <v>-7.1593736990286372E-3</v>
      </c>
    </row>
    <row r="33" spans="1:19" x14ac:dyDescent="0.25">
      <c r="A33" s="2"/>
      <c r="C33" s="13"/>
      <c r="D33" s="13"/>
      <c r="E33" s="55" t="s">
        <v>43</v>
      </c>
      <c r="F33" s="59">
        <f t="shared" si="6"/>
        <v>-747419.4238564535</v>
      </c>
      <c r="G33" s="60">
        <f t="shared" si="7"/>
        <v>-2.6540329077269307E-3</v>
      </c>
      <c r="H33" s="59">
        <f t="shared" si="8"/>
        <v>578851.32964195521</v>
      </c>
      <c r="I33" s="60">
        <f t="shared" si="9"/>
        <v>3.2510794089462003E-3</v>
      </c>
      <c r="J33" s="61">
        <f t="shared" si="10"/>
        <v>-0.38742452296525753</v>
      </c>
      <c r="L33" s="1">
        <v>2</v>
      </c>
      <c r="M33" s="62" t="str">
        <f>IF(ISBLANK(Data!D32),"",Data!D32)</f>
        <v>USD 30Y SWAP SPREAD</v>
      </c>
      <c r="O33" s="15">
        <f>Data!E32/10000</f>
        <v>-1.2176803120605569E-3</v>
      </c>
      <c r="P33" s="1">
        <v>2</v>
      </c>
      <c r="Q33" s="62" t="str">
        <f>IF(ISBLANK(Data!J32),"",Data!J32)</f>
        <v>ERZ9 SELLOFF</v>
      </c>
      <c r="S33" s="15">
        <f>Data!K32/10000</f>
        <v>-6.8431405600971598E-3</v>
      </c>
    </row>
    <row r="34" spans="1:19" x14ac:dyDescent="0.25">
      <c r="A34" s="2"/>
      <c r="C34" s="13"/>
      <c r="D34" s="13"/>
      <c r="E34" s="55" t="s">
        <v>44</v>
      </c>
      <c r="F34" s="59">
        <f t="shared" si="6"/>
        <v>553362.8910010613</v>
      </c>
      <c r="G34" s="60">
        <f t="shared" si="7"/>
        <v>1.9649520413237073E-3</v>
      </c>
      <c r="H34" s="59">
        <f t="shared" si="8"/>
        <v>-3017739.3468393264</v>
      </c>
      <c r="I34" s="60">
        <f t="shared" si="9"/>
        <v>-1.1520436448021809E-2</v>
      </c>
      <c r="J34" s="61">
        <f t="shared" si="10"/>
        <v>2.0197694416731871</v>
      </c>
      <c r="L34" s="1">
        <v>3</v>
      </c>
      <c r="M34" s="62" t="str">
        <f>IF(ISBLANK(Data!D33),"",Data!D33)</f>
        <v>USD 3M1Y1Y MISWEIGHTED FLY</v>
      </c>
      <c r="O34" s="15">
        <f>Data!E33/10000</f>
        <v>-1.2134874759461654E-3</v>
      </c>
      <c r="P34" s="1">
        <v>3</v>
      </c>
      <c r="Q34" s="62" t="str">
        <f>IF(ISBLANK(Data!J33),"",Data!J33)</f>
        <v>EUR 7M1Y AND 7M1Y4Y VS 7M5Y DECORRELATION</v>
      </c>
      <c r="S34" s="15">
        <f>Data!K33/10000</f>
        <v>-6.0785025342173782E-3</v>
      </c>
    </row>
    <row r="35" spans="1:19" x14ac:dyDescent="0.25">
      <c r="A35" s="2"/>
      <c r="C35" s="13"/>
      <c r="D35" s="13"/>
      <c r="E35" s="55" t="s">
        <v>213</v>
      </c>
      <c r="F35" s="59">
        <f t="shared" si="6"/>
        <v>1239100.2863482372</v>
      </c>
      <c r="G35" s="60">
        <f t="shared" si="7"/>
        <v>4.3999564782165523E-3</v>
      </c>
      <c r="H35" s="59">
        <f t="shared" si="8"/>
        <v>-2393169.8599716458</v>
      </c>
      <c r="I35" s="60">
        <f t="shared" si="9"/>
        <v>-9.3991850088739337E-3</v>
      </c>
      <c r="J35" s="61">
        <f t="shared" si="10"/>
        <v>1.6017458091490326</v>
      </c>
      <c r="L35" s="1">
        <v>4</v>
      </c>
      <c r="M35" s="62" t="str">
        <f>IF(ISBLANK(Data!D34),"",Data!D34)</f>
        <v>BANKOFCHINA V SOV SPREAD</v>
      </c>
      <c r="O35" s="15">
        <f>Data!E34/10000</f>
        <v>-9.5134903122662566E-4</v>
      </c>
      <c r="P35" s="1">
        <v>4</v>
      </c>
      <c r="Q35" s="62" t="str">
        <f>IF(ISBLANK(Data!J34),"",Data!J34)</f>
        <v>USDJPY 5Y ATMS CALL</v>
      </c>
      <c r="S35" s="15">
        <f>Data!K34/10000</f>
        <v>-5.9815092202278874E-3</v>
      </c>
    </row>
    <row r="36" spans="1:19" x14ac:dyDescent="0.25">
      <c r="A36" s="2"/>
      <c r="C36" s="13"/>
      <c r="D36" s="13"/>
      <c r="E36" s="55" t="s">
        <v>212</v>
      </c>
      <c r="F36" s="59">
        <f t="shared" si="6"/>
        <v>315550.45483083994</v>
      </c>
      <c r="G36" s="60">
        <f t="shared" si="7"/>
        <v>1.1204970923127801E-3</v>
      </c>
      <c r="H36" s="59">
        <f t="shared" si="8"/>
        <v>3220329.1862078011</v>
      </c>
      <c r="I36" s="60">
        <f t="shared" si="9"/>
        <v>1.2856041547565812E-2</v>
      </c>
      <c r="J36" s="61">
        <f t="shared" si="10"/>
        <v>-2.1553625859845043</v>
      </c>
      <c r="L36" s="1">
        <v>5</v>
      </c>
      <c r="M36" s="67" t="str">
        <f>IF(ISBLANK(Data!D35),"",Data!D35)</f>
        <v>GREEK BANKS BASKET</v>
      </c>
      <c r="N36" s="22"/>
      <c r="O36" s="40">
        <f>Data!E35/10000</f>
        <v>-9.4905120363762132E-4</v>
      </c>
      <c r="P36" s="1">
        <v>5</v>
      </c>
      <c r="Q36" s="67" t="str">
        <f>IF(ISBLANK(Data!J35),"",Data!J35)</f>
        <v>EUR 5-10 CMS CURVE OPT TRIANGLE</v>
      </c>
      <c r="R36" s="22"/>
      <c r="S36" s="40">
        <f>Data!K35/10000</f>
        <v>-4.1113333114505268E-3</v>
      </c>
    </row>
    <row r="37" spans="1:19" x14ac:dyDescent="0.25">
      <c r="A37" s="2"/>
      <c r="C37" s="13"/>
      <c r="D37" s="13"/>
      <c r="E37" s="55" t="s">
        <v>47</v>
      </c>
      <c r="F37" s="64">
        <f t="shared" si="6"/>
        <v>0</v>
      </c>
      <c r="G37" s="65">
        <f t="shared" si="7"/>
        <v>0</v>
      </c>
      <c r="H37" s="64">
        <f t="shared" si="8"/>
        <v>0</v>
      </c>
      <c r="I37" s="65">
        <f t="shared" si="9"/>
        <v>0</v>
      </c>
      <c r="J37" s="66">
        <f t="shared" si="10"/>
        <v>0</v>
      </c>
      <c r="M37" s="71" t="s">
        <v>38</v>
      </c>
      <c r="O37" s="36">
        <f>SUM(O32:O36)</f>
        <v>-9.5344239195855676E-3</v>
      </c>
      <c r="Q37" s="71" t="s">
        <v>38</v>
      </c>
      <c r="S37" s="36">
        <f>SUM(S32:S36)</f>
        <v>-3.017385932502159E-2</v>
      </c>
    </row>
    <row r="38" spans="1:19" x14ac:dyDescent="0.25">
      <c r="A38" s="2"/>
      <c r="C38" s="13"/>
      <c r="D38" s="13"/>
      <c r="E38" s="68" t="s">
        <v>38</v>
      </c>
      <c r="F38" s="32">
        <f>SUM(F31:F37)</f>
        <v>6901002.7106490359</v>
      </c>
      <c r="G38" s="69">
        <f t="shared" ref="G38:J38" si="11">SUM(G31:G37)</f>
        <v>2.4504966964697047E-2</v>
      </c>
      <c r="H38" s="32">
        <f t="shared" si="11"/>
        <v>-1494100.9030909073</v>
      </c>
      <c r="I38" s="404">
        <f>ytd_pnl_bps/10000</f>
        <v>-1.6364282293758194E-3</v>
      </c>
      <c r="J38" s="70">
        <f t="shared" si="11"/>
        <v>0.99999999999999956</v>
      </c>
    </row>
    <row r="39" spans="1:19" x14ac:dyDescent="0.25">
      <c r="C39" s="13"/>
      <c r="D39" s="13"/>
    </row>
    <row r="40" spans="1:19" ht="15.75" hidden="1" customHeight="1" outlineLevel="1" x14ac:dyDescent="0.25">
      <c r="E40" s="75"/>
      <c r="F40" s="17"/>
      <c r="G40" s="38"/>
      <c r="H40" s="17"/>
      <c r="I40" s="38"/>
      <c r="K40" s="17"/>
      <c r="L40" s="17"/>
      <c r="M40" s="17"/>
      <c r="N40" s="38"/>
      <c r="O40" s="38"/>
      <c r="P40" s="17"/>
    </row>
    <row r="41" spans="1:19" ht="15.75" hidden="1" customHeight="1" outlineLevel="1" x14ac:dyDescent="0.25">
      <c r="I41" s="76"/>
      <c r="J41" s="50"/>
      <c r="K41" s="50"/>
    </row>
    <row r="42" spans="1:19" ht="15.75" hidden="1" customHeight="1" outlineLevel="1" x14ac:dyDescent="0.25">
      <c r="I42" s="55"/>
      <c r="J42" s="13"/>
      <c r="K42" s="13"/>
    </row>
    <row r="43" spans="1:19" ht="15.75" hidden="1" customHeight="1" outlineLevel="1" x14ac:dyDescent="0.25">
      <c r="I43" s="55"/>
      <c r="J43" s="13"/>
      <c r="K43" s="13"/>
    </row>
    <row r="44" spans="1:19" ht="15.75" hidden="1" customHeight="1" outlineLevel="1" x14ac:dyDescent="0.25">
      <c r="I44" s="68"/>
      <c r="J44" s="13"/>
      <c r="K44" s="13"/>
    </row>
    <row r="45" spans="1:19" ht="15.75" hidden="1" customHeight="1" outlineLevel="1" x14ac:dyDescent="0.25"/>
    <row r="46" spans="1:19" ht="15.75" hidden="1" customHeight="1" outlineLevel="1" x14ac:dyDescent="0.25"/>
    <row r="47" spans="1:19" ht="15.75" hidden="1" customHeight="1" outlineLevel="1" x14ac:dyDescent="0.25">
      <c r="C47" s="50"/>
      <c r="D47" s="50"/>
      <c r="E47" s="50"/>
      <c r="F47" s="50"/>
      <c r="G47" s="50"/>
    </row>
    <row r="48" spans="1:19" ht="15.75" hidden="1" customHeight="1" outlineLevel="1" x14ac:dyDescent="0.25">
      <c r="C48" s="50"/>
      <c r="D48" s="50"/>
      <c r="E48" s="50"/>
      <c r="F48" s="50"/>
      <c r="G48" s="50"/>
    </row>
    <row r="49" spans="3:20" ht="15.75" hidden="1" customHeight="1" outlineLevel="1" x14ac:dyDescent="0.25">
      <c r="C49" s="50"/>
      <c r="D49" s="50"/>
      <c r="E49" s="50"/>
      <c r="F49" s="50"/>
      <c r="G49" s="50"/>
    </row>
    <row r="50" spans="3:20" ht="15.75" hidden="1" customHeight="1" outlineLevel="1" x14ac:dyDescent="0.25">
      <c r="C50" s="50"/>
      <c r="D50" s="50"/>
      <c r="E50" s="50"/>
      <c r="F50" s="50"/>
      <c r="G50" s="50"/>
    </row>
    <row r="51" spans="3:20" ht="15.75" hidden="1" customHeight="1" outlineLevel="1" x14ac:dyDescent="0.25">
      <c r="C51" s="50"/>
      <c r="D51" s="50"/>
      <c r="E51" s="50"/>
      <c r="F51" s="50"/>
      <c r="G51" s="50"/>
    </row>
    <row r="52" spans="3:20" ht="15.75" hidden="1" customHeight="1" outlineLevel="1" x14ac:dyDescent="0.25">
      <c r="C52" s="50"/>
      <c r="D52" s="50"/>
      <c r="E52" s="50"/>
      <c r="F52" s="50"/>
      <c r="G52" s="50"/>
    </row>
    <row r="53" spans="3:20" ht="15.75" hidden="1" customHeight="1" outlineLevel="1" x14ac:dyDescent="0.25"/>
    <row r="54" spans="3:20" ht="15.75" hidden="1" customHeight="1" outlineLevel="1" x14ac:dyDescent="0.25"/>
    <row r="55" spans="3:20" ht="15.75" hidden="1" customHeight="1" outlineLevel="1" x14ac:dyDescent="0.25"/>
    <row r="56" spans="3:20" ht="15.75" hidden="1" customHeight="1" outlineLevel="1" x14ac:dyDescent="0.25"/>
    <row r="57" spans="3:20" ht="15.75" hidden="1" customHeight="1" outlineLevel="1" x14ac:dyDescent="0.25">
      <c r="I57" s="77"/>
    </row>
    <row r="58" spans="3:20" ht="15.75" hidden="1" customHeight="1" outlineLevel="1" x14ac:dyDescent="0.25">
      <c r="I58" s="78"/>
      <c r="J58" s="78"/>
      <c r="K58" s="78"/>
      <c r="L58" s="78"/>
      <c r="M58" s="78"/>
      <c r="N58" s="78"/>
      <c r="O58" s="78"/>
      <c r="P58" s="78"/>
      <c r="Q58" s="78"/>
      <c r="R58" s="78"/>
      <c r="S58" s="78"/>
    </row>
    <row r="59" spans="3:20" ht="15.75" hidden="1" customHeight="1" outlineLevel="1" x14ac:dyDescent="0.25">
      <c r="I59" s="78"/>
      <c r="J59" s="78"/>
      <c r="K59" s="78"/>
      <c r="L59" s="78"/>
      <c r="M59" s="78"/>
      <c r="N59" s="78"/>
      <c r="O59" s="78"/>
      <c r="P59" s="78"/>
      <c r="Q59" s="78"/>
      <c r="R59" s="78"/>
      <c r="S59" s="78"/>
    </row>
    <row r="60" spans="3:20" ht="6" customHeight="1" collapsed="1" thickBot="1" x14ac:dyDescent="0.3">
      <c r="E60" s="2"/>
      <c r="F60" s="3"/>
    </row>
    <row r="61" spans="3:20" ht="20.25" thickBot="1" x14ac:dyDescent="0.3">
      <c r="C61" s="418" t="s">
        <v>48</v>
      </c>
      <c r="D61" s="419"/>
      <c r="E61" s="419"/>
      <c r="F61" s="419"/>
      <c r="G61" s="419"/>
      <c r="H61" s="419"/>
      <c r="I61" s="419"/>
      <c r="J61" s="419"/>
      <c r="K61" s="419"/>
      <c r="L61" s="419"/>
      <c r="M61" s="419"/>
      <c r="N61" s="419"/>
      <c r="O61" s="419"/>
      <c r="P61" s="419"/>
      <c r="Q61" s="419"/>
      <c r="R61" s="419"/>
      <c r="S61" s="419"/>
      <c r="T61" s="420"/>
    </row>
    <row r="62" spans="3:20" ht="6" customHeight="1" x14ac:dyDescent="0.25">
      <c r="E62" s="2"/>
      <c r="F62" s="3"/>
    </row>
    <row r="63" spans="3:20" x14ac:dyDescent="0.25">
      <c r="C63" s="43" t="s">
        <v>49</v>
      </c>
      <c r="D63" s="22"/>
      <c r="E63" s="22"/>
      <c r="F63" s="79"/>
      <c r="G63" s="79"/>
      <c r="H63" s="79"/>
      <c r="I63" s="79"/>
      <c r="J63" s="79"/>
      <c r="K63" s="79"/>
      <c r="L63" s="22"/>
      <c r="M63" s="22"/>
      <c r="N63" s="79"/>
      <c r="O63" s="79"/>
      <c r="P63" s="79"/>
      <c r="Q63" s="79"/>
      <c r="R63" s="79"/>
      <c r="S63" s="79"/>
      <c r="T63" s="22"/>
    </row>
    <row r="64" spans="3:20" ht="15.75" customHeight="1" x14ac:dyDescent="0.25">
      <c r="F64" s="435" t="s">
        <v>12</v>
      </c>
      <c r="G64" s="435"/>
      <c r="H64" s="435"/>
      <c r="I64" s="80"/>
      <c r="J64" s="80"/>
      <c r="K64" s="435" t="s">
        <v>50</v>
      </c>
      <c r="L64" s="435"/>
      <c r="M64" s="435"/>
      <c r="N64" s="81"/>
      <c r="O64" s="81"/>
      <c r="P64" s="81"/>
      <c r="Q64" s="81"/>
      <c r="R64" s="82"/>
      <c r="S64" s="82"/>
    </row>
    <row r="65" spans="1:24" ht="15.75" customHeight="1" x14ac:dyDescent="0.25">
      <c r="F65" s="436"/>
      <c r="G65" s="436"/>
      <c r="H65" s="436"/>
      <c r="K65" s="436"/>
      <c r="L65" s="436"/>
      <c r="M65" s="436"/>
    </row>
    <row r="66" spans="1:24" x14ac:dyDescent="0.25">
      <c r="E66" s="48" t="s">
        <v>31</v>
      </c>
      <c r="F66" s="80" t="s">
        <v>6</v>
      </c>
      <c r="G66" s="80" t="s">
        <v>7</v>
      </c>
      <c r="H66" s="50" t="s">
        <v>51</v>
      </c>
      <c r="J66" s="48" t="s">
        <v>31</v>
      </c>
      <c r="K66" s="80" t="s">
        <v>6</v>
      </c>
      <c r="L66" s="80" t="s">
        <v>7</v>
      </c>
      <c r="M66" s="50" t="s">
        <v>51</v>
      </c>
      <c r="X66" s="1" t="s">
        <v>233</v>
      </c>
    </row>
    <row r="67" spans="1:24" x14ac:dyDescent="0.25">
      <c r="E67" s="55" t="s">
        <v>33</v>
      </c>
      <c r="F67" s="56">
        <f t="shared" ref="F67:F72" ca="1" si="12">IFERROR(INDEX(mcr_tag_5, MATCH($X67,OFFSET(mcr_tag_5,0,0,,1),0),2),0)</f>
        <v>3297227.2039633179</v>
      </c>
      <c r="G67" s="57">
        <f t="shared" ref="G67:G72" ca="1" si="13">F67/Nav</f>
        <v>1.1428170982875494E-2</v>
      </c>
      <c r="H67" s="58">
        <f t="shared" ref="H67:H72" ca="1" si="14">IFERROR(INDEX(mcr_tag_5,MATCH(X67,OFFSET(mcr_tag_5,0,0,,1),0),2)/SUM(mcr_tag_5),0)</f>
        <v>0.36000034107762474</v>
      </c>
      <c r="J67" s="55" t="s">
        <v>33</v>
      </c>
      <c r="K67" s="56">
        <f t="shared" ref="K67:K72" si="15">IFERROR(VLOOKUP(X67,extreme_loss_tag5,2,0)/SQRT(12),0)</f>
        <v>4949588.3429169944</v>
      </c>
      <c r="L67" s="57">
        <f t="shared" ref="L67:L72" si="16">K67/Nav</f>
        <v>1.7155245416424776E-2</v>
      </c>
      <c r="M67" s="355">
        <f>K67/$K$73</f>
        <v>0.32222086283575874</v>
      </c>
      <c r="X67" s="1" t="str">
        <f>UPPER(E67)</f>
        <v>FX</v>
      </c>
    </row>
    <row r="68" spans="1:24" x14ac:dyDescent="0.25">
      <c r="E68" s="55" t="s">
        <v>34</v>
      </c>
      <c r="F68" s="59">
        <f t="shared" ca="1" si="12"/>
        <v>4033765.2171951872</v>
      </c>
      <c r="G68" s="60">
        <f t="shared" ca="1" si="13"/>
        <v>1.398100760283408E-2</v>
      </c>
      <c r="H68" s="61">
        <f t="shared" ca="1" si="14"/>
        <v>0.44041758853372664</v>
      </c>
      <c r="J68" s="55" t="s">
        <v>34</v>
      </c>
      <c r="K68" s="59">
        <f t="shared" si="15"/>
        <v>6545488.0271704588</v>
      </c>
      <c r="L68" s="60">
        <f t="shared" si="16"/>
        <v>2.268662476487944E-2</v>
      </c>
      <c r="M68" s="356">
        <f t="shared" ref="M68:M72" si="17">K68/$K$73</f>
        <v>0.42611479049852036</v>
      </c>
      <c r="X68" s="308" t="str">
        <f t="shared" ref="X68:X71" si="18">UPPER(E68)</f>
        <v>RATES</v>
      </c>
    </row>
    <row r="69" spans="1:24" x14ac:dyDescent="0.25">
      <c r="E69" s="55" t="s">
        <v>35</v>
      </c>
      <c r="F69" s="59">
        <f t="shared" ca="1" si="12"/>
        <v>1797674.1837563054</v>
      </c>
      <c r="G69" s="60">
        <f t="shared" ca="1" si="13"/>
        <v>6.2307286312492625E-3</v>
      </c>
      <c r="H69" s="61">
        <f t="shared" ca="1" si="14"/>
        <v>0.19627501511597695</v>
      </c>
      <c r="J69" s="55" t="s">
        <v>35</v>
      </c>
      <c r="K69" s="59">
        <f t="shared" si="15"/>
        <v>3724248.9367862963</v>
      </c>
      <c r="L69" s="60">
        <f t="shared" si="16"/>
        <v>1.2908225912132067E-2</v>
      </c>
      <c r="M69" s="356">
        <f t="shared" si="17"/>
        <v>0.24245060855287423</v>
      </c>
      <c r="X69" s="308" t="str">
        <f t="shared" si="18"/>
        <v>CREDIT</v>
      </c>
    </row>
    <row r="70" spans="1:24" x14ac:dyDescent="0.25">
      <c r="E70" s="55" t="s">
        <v>36</v>
      </c>
      <c r="F70" s="59">
        <f t="shared" ca="1" si="12"/>
        <v>30289.172997511127</v>
      </c>
      <c r="G70" s="60">
        <f t="shared" ca="1" si="13"/>
        <v>1.0498210360795736E-4</v>
      </c>
      <c r="H70" s="61">
        <f t="shared" ca="1" si="14"/>
        <v>3.3070552726716181E-3</v>
      </c>
      <c r="J70" s="55" t="s">
        <v>36</v>
      </c>
      <c r="K70" s="59">
        <f t="shared" si="15"/>
        <v>141530.90633762372</v>
      </c>
      <c r="L70" s="60">
        <f t="shared" si="16"/>
        <v>4.9054532700795186E-4</v>
      </c>
      <c r="M70" s="356">
        <f t="shared" si="17"/>
        <v>9.2137381128467033E-3</v>
      </c>
      <c r="X70" s="308" t="str">
        <f t="shared" si="18"/>
        <v>EQUITY</v>
      </c>
    </row>
    <row r="71" spans="1:24" x14ac:dyDescent="0.25">
      <c r="E71" s="55" t="s">
        <v>37</v>
      </c>
      <c r="F71" s="59">
        <f t="shared" ca="1" si="12"/>
        <v>0</v>
      </c>
      <c r="G71" s="60">
        <f t="shared" ca="1" si="13"/>
        <v>0</v>
      </c>
      <c r="H71" s="61">
        <f t="shared" ca="1" si="14"/>
        <v>0</v>
      </c>
      <c r="J71" s="55" t="s">
        <v>37</v>
      </c>
      <c r="K71" s="59">
        <f t="shared" si="15"/>
        <v>0</v>
      </c>
      <c r="L71" s="60">
        <f t="shared" si="16"/>
        <v>0</v>
      </c>
      <c r="M71" s="356">
        <f t="shared" si="17"/>
        <v>0</v>
      </c>
      <c r="X71" s="308" t="str">
        <f t="shared" si="18"/>
        <v>COMMODITY</v>
      </c>
    </row>
    <row r="72" spans="1:24" x14ac:dyDescent="0.25">
      <c r="E72" s="55" t="s">
        <v>9</v>
      </c>
      <c r="F72" s="64">
        <f t="shared" ca="1" si="12"/>
        <v>0</v>
      </c>
      <c r="G72" s="65">
        <f t="shared" ca="1" si="13"/>
        <v>0</v>
      </c>
      <c r="H72" s="66">
        <f t="shared" ca="1" si="14"/>
        <v>0</v>
      </c>
      <c r="J72" s="55" t="s">
        <v>9</v>
      </c>
      <c r="K72" s="64">
        <f t="shared" si="15"/>
        <v>0</v>
      </c>
      <c r="L72" s="65">
        <f t="shared" si="16"/>
        <v>0</v>
      </c>
      <c r="M72" s="357">
        <f t="shared" si="17"/>
        <v>0</v>
      </c>
      <c r="X72" s="308" t="s">
        <v>87</v>
      </c>
    </row>
    <row r="73" spans="1:24" x14ac:dyDescent="0.25">
      <c r="E73" s="68" t="s">
        <v>38</v>
      </c>
      <c r="F73" s="32">
        <f ca="1">SUM(F67:F72)</f>
        <v>9158955.7779123224</v>
      </c>
      <c r="G73" s="69">
        <f ca="1">SUM(G67:G72)</f>
        <v>3.1744889320566794E-2</v>
      </c>
      <c r="H73" s="83">
        <v>0.99999999999999989</v>
      </c>
      <c r="J73" s="84" t="s">
        <v>38</v>
      </c>
      <c r="K73" s="32">
        <f>SUM(K67:K72)</f>
        <v>15360856.213211372</v>
      </c>
      <c r="L73" s="36">
        <f t="shared" ref="L73:M73" si="19">SUM(L67:L72)</f>
        <v>5.3240641420444233E-2</v>
      </c>
      <c r="M73" s="344">
        <f t="shared" si="19"/>
        <v>1</v>
      </c>
    </row>
    <row r="74" spans="1:24" x14ac:dyDescent="0.25">
      <c r="F74" s="85"/>
      <c r="K74" s="85"/>
    </row>
    <row r="75" spans="1:24" x14ac:dyDescent="0.25">
      <c r="F75" s="85"/>
      <c r="K75" s="85"/>
    </row>
    <row r="76" spans="1:24" x14ac:dyDescent="0.25">
      <c r="E76" s="48" t="s">
        <v>40</v>
      </c>
      <c r="F76" s="86" t="s">
        <v>6</v>
      </c>
      <c r="G76" s="80" t="s">
        <v>7</v>
      </c>
      <c r="H76" s="50" t="s">
        <v>51</v>
      </c>
      <c r="J76" s="48" t="s">
        <v>40</v>
      </c>
      <c r="K76" s="86" t="s">
        <v>6</v>
      </c>
      <c r="L76" s="80" t="s">
        <v>7</v>
      </c>
      <c r="M76" s="50" t="s">
        <v>51</v>
      </c>
      <c r="X76" s="1" t="s">
        <v>233</v>
      </c>
    </row>
    <row r="77" spans="1:24" x14ac:dyDescent="0.25">
      <c r="A77" s="2"/>
      <c r="E77" s="55" t="s">
        <v>41</v>
      </c>
      <c r="F77" s="56">
        <f t="shared" ref="F77:F83" ca="1" si="20">IFERROR(INDEX(mcr_tag_4, MATCH($X77,OFFSET(mcr_tag_4,0,0,,1),0),2),0)</f>
        <v>2221439.9964403645</v>
      </c>
      <c r="G77" s="57">
        <f t="shared" ref="G77:G83" ca="1" si="21">F77/Nav</f>
        <v>7.6994985595785614E-3</v>
      </c>
      <c r="H77" s="58">
        <f t="shared" ref="H77:H83" ca="1" si="22">IFERROR(INDEX(mcr_tag_4,MATCH(X77,OFFSET(mcr_tag_4,0,0,,1),0),2)/SUM(mcr_tag_4),0)</f>
        <v>0.24254293287424469</v>
      </c>
      <c r="J77" s="55" t="s">
        <v>41</v>
      </c>
      <c r="K77" s="56">
        <f t="shared" ref="K77:K83" si="23">IFERROR(VLOOKUP(X77,extreme_loss_tag4,2,0)/SQRT(12),0)</f>
        <v>3818983.649432831</v>
      </c>
      <c r="L77" s="347">
        <f t="shared" ref="L77:L83" si="24">K77/Nav</f>
        <v>1.3236575894455644E-2</v>
      </c>
      <c r="M77" s="348">
        <f>K77/$K$84</f>
        <v>0.24861788929110915</v>
      </c>
      <c r="X77" s="1" t="str">
        <f>UPPER(E77)</f>
        <v>DIRECTIONAL</v>
      </c>
    </row>
    <row r="78" spans="1:24" x14ac:dyDescent="0.25">
      <c r="A78" s="2"/>
      <c r="E78" s="55" t="s">
        <v>42</v>
      </c>
      <c r="F78" s="59">
        <f t="shared" ca="1" si="20"/>
        <v>3042242.6436809916</v>
      </c>
      <c r="G78" s="60">
        <f t="shared" ca="1" si="21"/>
        <v>1.0544395928066693E-2</v>
      </c>
      <c r="H78" s="61">
        <f t="shared" ca="1" si="22"/>
        <v>0.33216042499273152</v>
      </c>
      <c r="J78" s="55" t="s">
        <v>42</v>
      </c>
      <c r="K78" s="59">
        <f t="shared" si="23"/>
        <v>5394578.6845010296</v>
      </c>
      <c r="L78" s="349">
        <f t="shared" si="24"/>
        <v>1.8697579442796319E-2</v>
      </c>
      <c r="M78" s="350">
        <f t="shared" ref="M78:M83" si="25">K78/$K$84</f>
        <v>0.35118997337279467</v>
      </c>
      <c r="X78" s="308" t="str">
        <f t="shared" ref="X78:X83" si="26">UPPER(E78)</f>
        <v>TERM STRUCTURE</v>
      </c>
    </row>
    <row r="79" spans="1:24" x14ac:dyDescent="0.25">
      <c r="A79" s="2"/>
      <c r="E79" s="55" t="s">
        <v>43</v>
      </c>
      <c r="F79" s="59">
        <f t="shared" ca="1" si="20"/>
        <v>396999.84649383888</v>
      </c>
      <c r="G79" s="60">
        <f t="shared" ca="1" si="21"/>
        <v>1.3759992397410141E-3</v>
      </c>
      <c r="H79" s="61">
        <f t="shared" ca="1" si="22"/>
        <v>4.334553590172812E-2</v>
      </c>
      <c r="J79" s="55" t="s">
        <v>43</v>
      </c>
      <c r="K79" s="59">
        <f t="shared" si="23"/>
        <v>1321021.0045526526</v>
      </c>
      <c r="L79" s="349">
        <f t="shared" si="24"/>
        <v>4.5786513873993908E-3</v>
      </c>
      <c r="M79" s="350">
        <f t="shared" si="25"/>
        <v>8.5999177794300649E-2</v>
      </c>
      <c r="X79" s="308" t="str">
        <f t="shared" si="26"/>
        <v>BASIS</v>
      </c>
    </row>
    <row r="80" spans="1:24" x14ac:dyDescent="0.25">
      <c r="A80" s="2"/>
      <c r="E80" s="55" t="s">
        <v>44</v>
      </c>
      <c r="F80" s="59">
        <f t="shared" ca="1" si="20"/>
        <v>469023.29100288445</v>
      </c>
      <c r="G80" s="60">
        <f t="shared" ca="1" si="21"/>
        <v>1.625632094169621E-3</v>
      </c>
      <c r="H80" s="61">
        <f t="shared" ca="1" si="22"/>
        <v>5.1209253803144006E-2</v>
      </c>
      <c r="J80" s="55" t="s">
        <v>44</v>
      </c>
      <c r="K80" s="59">
        <f t="shared" si="23"/>
        <v>1184322.8434571358</v>
      </c>
      <c r="L80" s="349">
        <f t="shared" si="24"/>
        <v>4.1048563282762513E-3</v>
      </c>
      <c r="M80" s="350">
        <f t="shared" si="25"/>
        <v>7.7100053995592915E-2</v>
      </c>
      <c r="X80" s="308" t="str">
        <f t="shared" si="26"/>
        <v>CARRY</v>
      </c>
    </row>
    <row r="81" spans="1:33" x14ac:dyDescent="0.25">
      <c r="A81" s="2"/>
      <c r="E81" s="55" t="s">
        <v>45</v>
      </c>
      <c r="F81" s="59">
        <f t="shared" ca="1" si="20"/>
        <v>3015568.8167719506</v>
      </c>
      <c r="G81" s="60">
        <f t="shared" ca="1" si="21"/>
        <v>1.0451944593709834E-2</v>
      </c>
      <c r="H81" s="61">
        <f t="shared" ca="1" si="22"/>
        <v>0.32924810315650566</v>
      </c>
      <c r="J81" s="55" t="s">
        <v>45</v>
      </c>
      <c r="K81" s="59">
        <f t="shared" si="23"/>
        <v>3620247.8951060213</v>
      </c>
      <c r="L81" s="349">
        <f t="shared" si="24"/>
        <v>1.2547758885385866E-2</v>
      </c>
      <c r="M81" s="350">
        <f t="shared" si="25"/>
        <v>0.23568008481144195</v>
      </c>
      <c r="X81" s="308" t="s">
        <v>88</v>
      </c>
    </row>
    <row r="82" spans="1:33" x14ac:dyDescent="0.25">
      <c r="A82" s="2"/>
      <c r="E82" s="55" t="s">
        <v>46</v>
      </c>
      <c r="F82" s="59">
        <f t="shared" ca="1" si="20"/>
        <v>13681.183522294803</v>
      </c>
      <c r="G82" s="60">
        <f t="shared" ca="1" si="21"/>
        <v>4.7418905301080742E-5</v>
      </c>
      <c r="H82" s="61">
        <f t="shared" ca="1" si="22"/>
        <v>1.4937492716460376E-3</v>
      </c>
      <c r="J82" s="55" t="s">
        <v>46</v>
      </c>
      <c r="K82" s="59">
        <f t="shared" si="23"/>
        <v>21702.136161702158</v>
      </c>
      <c r="L82" s="349">
        <f t="shared" si="24"/>
        <v>7.5219482130760906E-5</v>
      </c>
      <c r="M82" s="350">
        <f t="shared" si="25"/>
        <v>1.4128207347606611E-3</v>
      </c>
      <c r="X82" s="308" t="str">
        <f>UPPER(E82) &amp; " RATE"</f>
        <v>HURDLE RATE</v>
      </c>
    </row>
    <row r="83" spans="1:33" x14ac:dyDescent="0.25">
      <c r="A83" s="2"/>
      <c r="E83" s="55" t="s">
        <v>47</v>
      </c>
      <c r="F83" s="64">
        <f t="shared" ca="1" si="20"/>
        <v>0</v>
      </c>
      <c r="G83" s="65">
        <f t="shared" ca="1" si="21"/>
        <v>0</v>
      </c>
      <c r="H83" s="66">
        <f t="shared" ca="1" si="22"/>
        <v>0</v>
      </c>
      <c r="J83" s="55" t="s">
        <v>47</v>
      </c>
      <c r="K83" s="64">
        <f t="shared" si="23"/>
        <v>0</v>
      </c>
      <c r="L83" s="351">
        <f t="shared" si="24"/>
        <v>0</v>
      </c>
      <c r="M83" s="352">
        <f t="shared" si="25"/>
        <v>0</v>
      </c>
      <c r="X83" s="308" t="str">
        <f t="shared" si="26"/>
        <v>HEDGE</v>
      </c>
    </row>
    <row r="84" spans="1:33" x14ac:dyDescent="0.25">
      <c r="E84" s="68" t="s">
        <v>38</v>
      </c>
      <c r="F84" s="32">
        <f ca="1">SUM(F77:F83)</f>
        <v>9158955.7779123262</v>
      </c>
      <c r="G84" s="69">
        <f ca="1">SUM(G77:G83)</f>
        <v>3.1744889320566801E-2</v>
      </c>
      <c r="H84" s="83">
        <v>0.99999999999999989</v>
      </c>
      <c r="J84" s="84" t="s">
        <v>38</v>
      </c>
      <c r="K84" s="32">
        <f>SUM(K77:K83)</f>
        <v>15360856.213211372</v>
      </c>
      <c r="L84" s="353">
        <f t="shared" ref="L84" si="27">SUM(L77:L83)</f>
        <v>5.3240641420444233E-2</v>
      </c>
      <c r="M84" s="354">
        <f>SUM(M77:M83)</f>
        <v>1</v>
      </c>
    </row>
    <row r="85" spans="1:33" x14ac:dyDescent="0.25">
      <c r="E85" s="68"/>
      <c r="F85" s="32"/>
      <c r="G85" s="69"/>
      <c r="H85" s="83"/>
      <c r="M85" s="75"/>
    </row>
    <row r="86" spans="1:33" x14ac:dyDescent="0.25">
      <c r="E86" s="68"/>
      <c r="F86" s="32"/>
      <c r="G86" s="69"/>
      <c r="H86" s="83"/>
      <c r="M86" s="75"/>
    </row>
    <row r="87" spans="1:33" ht="6" customHeight="1" thickBot="1" x14ac:dyDescent="0.3">
      <c r="E87" s="2"/>
      <c r="F87" s="3"/>
    </row>
    <row r="88" spans="1:33" ht="20.25" thickBot="1" x14ac:dyDescent="0.3">
      <c r="C88" s="418" t="s">
        <v>52</v>
      </c>
      <c r="D88" s="419"/>
      <c r="E88" s="419"/>
      <c r="F88" s="419"/>
      <c r="G88" s="419"/>
      <c r="H88" s="419"/>
      <c r="I88" s="419"/>
      <c r="J88" s="419"/>
      <c r="K88" s="419"/>
      <c r="L88" s="419"/>
      <c r="M88" s="419"/>
      <c r="N88" s="419"/>
      <c r="O88" s="419"/>
      <c r="P88" s="419"/>
      <c r="Q88" s="419"/>
      <c r="R88" s="419"/>
      <c r="S88" s="419"/>
      <c r="T88" s="420"/>
    </row>
    <row r="89" spans="1:33" ht="6" customHeight="1" x14ac:dyDescent="0.25">
      <c r="E89" s="2"/>
      <c r="F89" s="3"/>
    </row>
    <row r="90" spans="1:33" ht="17.25" x14ac:dyDescent="0.3">
      <c r="C90" s="87" t="s">
        <v>53</v>
      </c>
      <c r="E90" s="2"/>
      <c r="F90" s="3"/>
    </row>
    <row r="91" spans="1:33" x14ac:dyDescent="0.25">
      <c r="F91" s="88" t="s">
        <v>54</v>
      </c>
      <c r="G91" s="4"/>
      <c r="H91" s="4"/>
      <c r="I91" s="4"/>
      <c r="J91" s="4"/>
      <c r="K91" s="4"/>
      <c r="X91"/>
      <c r="Y91"/>
      <c r="Z91"/>
      <c r="AA91"/>
      <c r="AB91"/>
      <c r="AC91"/>
      <c r="AD91"/>
      <c r="AE91"/>
      <c r="AF91"/>
      <c r="AG91"/>
    </row>
    <row r="92" spans="1:33" ht="17.25" customHeight="1" x14ac:dyDescent="0.3">
      <c r="C92" s="87"/>
      <c r="E92" s="2"/>
      <c r="F92" s="89" t="s">
        <v>55</v>
      </c>
      <c r="G92" s="4"/>
      <c r="H92" s="4"/>
      <c r="I92" s="89" t="s">
        <v>56</v>
      </c>
      <c r="J92" s="4"/>
      <c r="K92" s="4"/>
      <c r="L92" s="421" t="s">
        <v>57</v>
      </c>
      <c r="X92"/>
      <c r="Y92"/>
      <c r="Z92"/>
      <c r="AA92"/>
      <c r="AB92"/>
      <c r="AC92"/>
      <c r="AD92"/>
      <c r="AE92"/>
      <c r="AF92"/>
      <c r="AG92"/>
    </row>
    <row r="93" spans="1:33" ht="15.75" customHeight="1" x14ac:dyDescent="0.25">
      <c r="E93" s="48" t="s">
        <v>31</v>
      </c>
      <c r="F93" s="50" t="s">
        <v>58</v>
      </c>
      <c r="G93" s="50" t="s">
        <v>59</v>
      </c>
      <c r="H93" s="1" t="s">
        <v>60</v>
      </c>
      <c r="I93" s="50" t="s">
        <v>58</v>
      </c>
      <c r="J93" s="50" t="s">
        <v>59</v>
      </c>
      <c r="K93" s="1" t="s">
        <v>60</v>
      </c>
      <c r="L93" s="421"/>
      <c r="X93"/>
      <c r="Y93"/>
      <c r="Z93"/>
      <c r="AA93"/>
      <c r="AB93"/>
      <c r="AC93"/>
      <c r="AD93"/>
      <c r="AE93"/>
      <c r="AF93"/>
      <c r="AG93"/>
    </row>
    <row r="94" spans="1:33" x14ac:dyDescent="0.25">
      <c r="E94" s="55" t="s">
        <v>33</v>
      </c>
      <c r="F94" s="90">
        <f>IFERROR(INDEX(liquidity_by_tag_5,MATCH($E94,Data!$A$181:$A$189,0),MATCH(1,Data!$A$181:$F$181,0))/SUM(liquidity_by_tag_5),0)</f>
        <v>0.22014587638524846</v>
      </c>
      <c r="G94" s="323">
        <f>IFERROR(INDEX(liquidity_by_tag_5,MATCH($E94,Data!$A$181:$A$189,0),MATCH(2,Data!$A$181:$F$181,0))/SUM(liquidity_by_tag_5),0)</f>
        <v>0</v>
      </c>
      <c r="H94" s="324">
        <f>IFERROR(INDEX(liquidity_by_tag_5,MATCH($E94,Data!$A$181:$A$189,0),MATCH(3,Data!$A$181:$F$181,0))/SUM(liquidity_by_tag_5),0)</f>
        <v>0</v>
      </c>
      <c r="I94" s="323">
        <f>IFERROR(INDEX(stressed_liquidity_by_tag_5,MATCH($E94,Data!$A$181:$A$189,0),MATCH(1,Data!$A$181:$F$181,0))/SUM(stressed_liquidity_by_tag_5),0)</f>
        <v>0.22448613608107887</v>
      </c>
      <c r="J94" s="323">
        <f>IFERROR(INDEX(stressed_liquidity_by_tag_5,MATCH($E94,Data!$A$181:$A$189,0),MATCH(2,Data!$A$181:$F$181,0))/SUM(stressed_liquidity_by_tag_5),0)</f>
        <v>0</v>
      </c>
      <c r="K94" s="323">
        <f>IFERROR(INDEX(stressed_liquidity_by_tag_5,MATCH($E94,Data!$A$181:$A$189,0),MATCH(3,Data!$A$181:$F$181,0))/SUM(stressed_liquidity_by_tag_5),0)</f>
        <v>0</v>
      </c>
      <c r="L94" s="336">
        <f t="shared" ref="L94:L99" ca="1" si="28">VLOOKUP(E94,$E$588:$I$593,5,FALSE)</f>
        <v>1.7896934505111214E-3</v>
      </c>
      <c r="X94"/>
      <c r="Y94"/>
      <c r="Z94"/>
      <c r="AA94"/>
      <c r="AB94"/>
      <c r="AC94"/>
      <c r="AD94"/>
      <c r="AE94"/>
      <c r="AF94"/>
      <c r="AG94"/>
    </row>
    <row r="95" spans="1:33" x14ac:dyDescent="0.25">
      <c r="E95" s="55" t="s">
        <v>34</v>
      </c>
      <c r="F95" s="94">
        <f>IFERROR(INDEX(liquidity_by_tag_5,MATCH($E95,Data!$A$181:$A$189,0),MATCH(1,Data!$A$181:$F$181,0))/SUM(liquidity_by_tag_5),0)</f>
        <v>0.26227857978885655</v>
      </c>
      <c r="G95" s="101">
        <f>IFERROR(INDEX(liquidity_by_tag_5,MATCH($E95,Data!$A$181:$A$189,0),MATCH(2,Data!$A$181:$F$181,0))/SUM(liquidity_by_tag_5),0)</f>
        <v>0</v>
      </c>
      <c r="H95" s="325">
        <f>IFERROR(INDEX(liquidity_by_tag_5,MATCH($E95,Data!$A$181:$A$189,0),MATCH(3,Data!$A$181:$F$181,0))/SUM(liquidity_by_tag_5),0)</f>
        <v>0</v>
      </c>
      <c r="I95" s="101">
        <f>IFERROR(INDEX(stressed_liquidity_by_tag_5,MATCH($E95,Data!$A$181:$A$189,0),MATCH(1,Data!$A$181:$F$181,0))/SUM(stressed_liquidity_by_tag_5),0)</f>
        <v>0.26744950175945537</v>
      </c>
      <c r="J95" s="101">
        <f>IFERROR(INDEX(stressed_liquidity_by_tag_5,MATCH($E95,Data!$A$181:$A$189,0),MATCH(2,Data!$A$181:$F$181,0))/SUM(stressed_liquidity_by_tag_5),0)</f>
        <v>0</v>
      </c>
      <c r="K95" s="101">
        <f>IFERROR(INDEX(stressed_liquidity_by_tag_5,MATCH($E95,Data!$A$181:$A$189,0),MATCH(3,Data!$A$181:$F$181,0))/SUM(stressed_liquidity_by_tag_5),0)</f>
        <v>0</v>
      </c>
      <c r="L95" s="337">
        <f t="shared" ca="1" si="28"/>
        <v>3.3050393587871437E-3</v>
      </c>
      <c r="X95"/>
      <c r="Y95"/>
      <c r="Z95"/>
      <c r="AA95"/>
      <c r="AB95"/>
      <c r="AC95"/>
      <c r="AD95"/>
      <c r="AE95"/>
      <c r="AF95"/>
      <c r="AG95"/>
    </row>
    <row r="96" spans="1:33" x14ac:dyDescent="0.25">
      <c r="E96" s="55" t="s">
        <v>35</v>
      </c>
      <c r="F96" s="94">
        <f>IFERROR(INDEX(liquidity_by_tag_5,MATCH($E96,Data!$A$181:$A$189,0),MATCH(1,Data!$A$181:$F$181,0))/SUM(liquidity_by_tag_5),0)</f>
        <v>0.165382513097898</v>
      </c>
      <c r="G96" s="101">
        <f>IFERROR(INDEX(liquidity_by_tag_5,MATCH($E96,Data!$A$181:$A$189,0),MATCH(2,Data!$A$181:$F$181,0))/SUM(liquidity_by_tag_5),0)</f>
        <v>0.15988437540506931</v>
      </c>
      <c r="H96" s="325">
        <f>IFERROR(INDEX(liquidity_by_tag_5,MATCH($E96,Data!$A$181:$A$189,0),MATCH(3,Data!$A$181:$F$181,0))/SUM(liquidity_by_tag_5),0)</f>
        <v>0.17163472234384358</v>
      </c>
      <c r="I96" s="101">
        <f>IFERROR(INDEX(stressed_liquidity_by_tag_5,MATCH($E96,Data!$A$181:$A$189,0),MATCH(1,Data!$A$181:$F$181,0))/SUM(stressed_liquidity_by_tag_5),0)</f>
        <v>0.15959859890286154</v>
      </c>
      <c r="J96" s="101">
        <f>IFERROR(INDEX(stressed_liquidity_by_tag_5,MATCH($E96,Data!$A$181:$A$189,0),MATCH(2,Data!$A$181:$F$181,0))/SUM(stressed_liquidity_by_tag_5),0)</f>
        <v>0.15250202119042419</v>
      </c>
      <c r="K96" s="101">
        <f>IFERROR(INDEX(stressed_liquidity_by_tag_5,MATCH($E96,Data!$A$181:$A$189,0),MATCH(3,Data!$A$181:$F$181,0))/SUM(stressed_liquidity_by_tag_5),0)</f>
        <v>0.17488221463410533</v>
      </c>
      <c r="L96" s="337">
        <f t="shared" ca="1" si="28"/>
        <v>1.3889664820389429E-2</v>
      </c>
      <c r="X96"/>
      <c r="Y96"/>
      <c r="Z96"/>
      <c r="AA96"/>
      <c r="AB96"/>
      <c r="AC96"/>
      <c r="AD96"/>
      <c r="AE96"/>
      <c r="AF96"/>
      <c r="AG96"/>
    </row>
    <row r="97" spans="3:33" x14ac:dyDescent="0.25">
      <c r="E97" s="55" t="s">
        <v>36</v>
      </c>
      <c r="F97" s="94">
        <f>IFERROR(INDEX(liquidity_by_tag_5,MATCH($E97,Data!$A$181:$A$189,0),MATCH(1,Data!$A$181:$F$181,0))/SUM(liquidity_by_tag_5),0)</f>
        <v>2.0672079576410676E-2</v>
      </c>
      <c r="G97" s="101">
        <f>IFERROR(INDEX(liquidity_by_tag_5,MATCH($E97,Data!$A$181:$A$189,0),MATCH(2,Data!$A$181:$F$181,0))/SUM(liquidity_by_tag_5),0)</f>
        <v>0</v>
      </c>
      <c r="H97" s="325">
        <f>IFERROR(INDEX(liquidity_by_tag_5,MATCH($E97,Data!$A$181:$A$189,0),MATCH(3,Data!$A$181:$F$181,0))/SUM(liquidity_by_tag_5),0)</f>
        <v>0</v>
      </c>
      <c r="I97" s="101">
        <f>IFERROR(INDEX(stressed_liquidity_by_tag_5,MATCH($E97,Data!$A$181:$A$189,0),MATCH(1,Data!$A$181:$F$181,0))/SUM(stressed_liquidity_by_tag_5),0)</f>
        <v>2.1079637488862702E-2</v>
      </c>
      <c r="J97" s="101">
        <f>IFERROR(INDEX(stressed_liquidity_by_tag_5,MATCH($E97,Data!$A$181:$A$189,0),MATCH(2,Data!$A$181:$F$181,0))/SUM(stressed_liquidity_by_tag_5),0)</f>
        <v>0</v>
      </c>
      <c r="K97" s="101">
        <f>IFERROR(INDEX(stressed_liquidity_by_tag_5,MATCH($E97,Data!$A$181:$A$189,0),MATCH(3,Data!$A$181:$F$181,0))/SUM(stressed_liquidity_by_tag_5),0)</f>
        <v>0</v>
      </c>
      <c r="L97" s="337">
        <f t="shared" ca="1" si="28"/>
        <v>1.4831409331862282E-6</v>
      </c>
      <c r="X97"/>
      <c r="Y97"/>
      <c r="Z97"/>
      <c r="AA97"/>
      <c r="AB97"/>
      <c r="AC97"/>
      <c r="AD97"/>
      <c r="AE97"/>
      <c r="AF97"/>
      <c r="AG97"/>
    </row>
    <row r="98" spans="3:33" x14ac:dyDescent="0.25">
      <c r="E98" s="55" t="s">
        <v>37</v>
      </c>
      <c r="F98" s="94">
        <f>IFERROR(INDEX(liquidity_by_tag_5,MATCH($E98,Data!$A$181:$A$189,0),MATCH(1,Data!$A$181:$F$181,0))/SUM(liquidity_by_tag_5),0)</f>
        <v>0</v>
      </c>
      <c r="G98" s="101">
        <f>IFERROR(INDEX(liquidity_by_tag_5,MATCH($E98,Data!$A$181:$A$189,0),MATCH(2,Data!$A$181:$F$181,0))/SUM(liquidity_by_tag_5),0)</f>
        <v>0</v>
      </c>
      <c r="H98" s="325">
        <f>IFERROR(INDEX(liquidity_by_tag_5,MATCH($E98,Data!$A$181:$A$189,0),MATCH(3,Data!$A$181:$F$181,0))/SUM(liquidity_by_tag_5),0)</f>
        <v>0</v>
      </c>
      <c r="I98" s="101">
        <f>IFERROR(INDEX(stressed_liquidity_by_tag_5,MATCH($E98,Data!$A$181:$A$189,0),MATCH(1,Data!$A$181:$F$181,0))/SUM(stressed_liquidity_by_tag_5),0)</f>
        <v>0</v>
      </c>
      <c r="J98" s="101">
        <f>IFERROR(INDEX(stressed_liquidity_by_tag_5,MATCH($E98,Data!$A$181:$A$189,0),MATCH(2,Data!$A$181:$F$181,0))/SUM(stressed_liquidity_by_tag_5),0)</f>
        <v>0</v>
      </c>
      <c r="K98" s="101">
        <f>IFERROR(INDEX(stressed_liquidity_by_tag_5,MATCH($E98,Data!$A$181:$A$189,0),MATCH(3,Data!$A$181:$F$181,0))/SUM(stressed_liquidity_by_tag_5),0)</f>
        <v>0</v>
      </c>
      <c r="L98" s="337">
        <f t="shared" ca="1" si="28"/>
        <v>0</v>
      </c>
      <c r="X98"/>
      <c r="Y98"/>
      <c r="Z98"/>
      <c r="AA98"/>
      <c r="AB98"/>
      <c r="AC98"/>
      <c r="AD98"/>
      <c r="AE98"/>
      <c r="AF98"/>
      <c r="AG98"/>
    </row>
    <row r="99" spans="3:33" x14ac:dyDescent="0.25">
      <c r="E99" s="55" t="s">
        <v>46</v>
      </c>
      <c r="F99" s="97">
        <f>IFERROR(INDEX(liquidity_by_tag_5,MATCH($E99,Data!$A$181:$A$189,0),MATCH(1,Data!$A$181:$F$181,0))/SUM(liquidity_by_tag_5),0)</f>
        <v>0</v>
      </c>
      <c r="G99" s="326">
        <f>IFERROR(INDEX(liquidity_by_tag_5,MATCH($E99,Data!$A$181:$A$189,0),MATCH(2,Data!$A$181:$F$181,0))/SUM(liquidity_by_tag_5),0)</f>
        <v>0</v>
      </c>
      <c r="H99" s="327">
        <f>IFERROR(INDEX(liquidity_by_tag_5,MATCH($E99,Data!$A$181:$A$189,0),MATCH(3,Data!$A$181:$F$181,0))/SUM(liquidity_by_tag_5),0)</f>
        <v>0</v>
      </c>
      <c r="I99" s="326">
        <f>IFERROR(INDEX(stressed_liquidity_by_tag_5,MATCH($E99,Data!$A$181:$A$189,0),MATCH(1,Data!$A$181:$F$181,0))/SUM(stressed_liquidity_by_tag_5),0)</f>
        <v>0</v>
      </c>
      <c r="J99" s="326">
        <f>IFERROR(INDEX(stressed_liquidity_by_tag_5,MATCH($E99,Data!$A$181:$A$189,0),MATCH(2,Data!$A$181:$F$181,0))/SUM(stressed_liquidity_by_tag_5),0)</f>
        <v>0</v>
      </c>
      <c r="K99" s="326">
        <f>IFERROR(INDEX(stressed_liquidity_by_tag_5,MATCH($E99,Data!$A$181:$A$189,0),MATCH(3,Data!$A$181:$F$181,0))/SUM(stressed_liquidity_by_tag_5),0)</f>
        <v>0</v>
      </c>
      <c r="L99" s="338">
        <f t="shared" ca="1" si="28"/>
        <v>0</v>
      </c>
      <c r="X99"/>
      <c r="Y99"/>
      <c r="Z99"/>
      <c r="AA99"/>
      <c r="AB99"/>
      <c r="AC99"/>
      <c r="AD99"/>
      <c r="AE99"/>
      <c r="AF99"/>
      <c r="AG99"/>
    </row>
    <row r="100" spans="3:33" x14ac:dyDescent="0.25">
      <c r="E100" s="68" t="s">
        <v>38</v>
      </c>
      <c r="F100" s="101">
        <f>SUM(F94:F99)</f>
        <v>0.66847904884841369</v>
      </c>
      <c r="G100" s="102">
        <f t="shared" ref="G100:K100" si="29">SUM(G94:G99)</f>
        <v>0.15988437540506931</v>
      </c>
      <c r="H100" s="102">
        <f t="shared" si="29"/>
        <v>0.17163472234384358</v>
      </c>
      <c r="I100" s="101">
        <f t="shared" si="29"/>
        <v>0.67261387423225849</v>
      </c>
      <c r="J100" s="102">
        <f t="shared" si="29"/>
        <v>0.15250202119042419</v>
      </c>
      <c r="K100" s="102">
        <f t="shared" si="29"/>
        <v>0.17488221463410533</v>
      </c>
      <c r="L100" s="103">
        <f ca="1">SUM(L94:L99)</f>
        <v>1.898588077062088E-2</v>
      </c>
      <c r="X100"/>
      <c r="Y100"/>
      <c r="Z100"/>
      <c r="AA100"/>
      <c r="AB100"/>
      <c r="AC100"/>
      <c r="AD100"/>
      <c r="AE100"/>
      <c r="AF100"/>
      <c r="AG100"/>
    </row>
    <row r="101" spans="3:33" x14ac:dyDescent="0.25">
      <c r="E101" s="68"/>
      <c r="F101" s="101"/>
      <c r="G101" s="102"/>
      <c r="H101" s="102"/>
      <c r="I101" s="101"/>
      <c r="J101" s="102"/>
      <c r="K101" s="102"/>
      <c r="L101" s="103"/>
    </row>
    <row r="102" spans="3:33" x14ac:dyDescent="0.25">
      <c r="C102" s="403" t="s">
        <v>312</v>
      </c>
      <c r="E102" s="68"/>
      <c r="F102" s="32"/>
      <c r="G102" s="69"/>
      <c r="H102" s="83"/>
      <c r="M102" s="75"/>
    </row>
    <row r="103" spans="3:33" ht="6" customHeight="1" thickBot="1" x14ac:dyDescent="0.3">
      <c r="E103" s="2"/>
      <c r="F103" s="3"/>
    </row>
    <row r="104" spans="3:33" ht="20.25" thickBot="1" x14ac:dyDescent="0.3">
      <c r="C104" s="418" t="s">
        <v>61</v>
      </c>
      <c r="D104" s="419"/>
      <c r="E104" s="419"/>
      <c r="F104" s="419"/>
      <c r="G104" s="419"/>
      <c r="H104" s="419"/>
      <c r="I104" s="419"/>
      <c r="J104" s="419"/>
      <c r="K104" s="419"/>
      <c r="L104" s="419"/>
      <c r="M104" s="419"/>
      <c r="N104" s="419"/>
      <c r="O104" s="419"/>
      <c r="P104" s="419"/>
      <c r="Q104" s="419"/>
      <c r="R104" s="419"/>
      <c r="S104" s="419"/>
      <c r="T104" s="420"/>
    </row>
    <row r="105" spans="3:33" ht="6.75" customHeight="1" x14ac:dyDescent="0.25">
      <c r="E105" s="2"/>
      <c r="F105" s="3"/>
    </row>
    <row r="106" spans="3:33" ht="17.25" x14ac:dyDescent="0.3">
      <c r="C106" s="104" t="s">
        <v>62</v>
      </c>
      <c r="D106" s="22"/>
      <c r="E106" s="22"/>
      <c r="F106" s="22"/>
      <c r="G106" s="22"/>
      <c r="H106" s="22"/>
      <c r="I106" s="22"/>
      <c r="J106" s="22"/>
      <c r="K106" s="43" t="s">
        <v>63</v>
      </c>
      <c r="L106" s="22"/>
      <c r="M106" s="22"/>
      <c r="N106" s="104"/>
      <c r="O106" s="22"/>
      <c r="P106" s="22"/>
      <c r="Q106" s="22"/>
      <c r="R106" s="22"/>
      <c r="S106" s="22"/>
      <c r="T106" s="22"/>
    </row>
    <row r="107" spans="3:33" x14ac:dyDescent="0.25">
      <c r="E107" s="55" t="s">
        <v>64</v>
      </c>
      <c r="F107" s="105">
        <v>0.95</v>
      </c>
      <c r="G107" s="106"/>
      <c r="H107" s="105">
        <v>0.99</v>
      </c>
      <c r="I107" s="106"/>
      <c r="M107" s="107" t="s">
        <v>6</v>
      </c>
      <c r="N107" s="107" t="s">
        <v>7</v>
      </c>
      <c r="R107" s="107" t="s">
        <v>6</v>
      </c>
      <c r="S107" s="107" t="s">
        <v>7</v>
      </c>
    </row>
    <row r="108" spans="3:33" x14ac:dyDescent="0.25">
      <c r="F108" s="108" t="s">
        <v>6</v>
      </c>
      <c r="G108" s="108" t="s">
        <v>7</v>
      </c>
      <c r="H108" s="108" t="s">
        <v>6</v>
      </c>
      <c r="I108" s="108" t="s">
        <v>7</v>
      </c>
      <c r="L108" s="109" t="s">
        <v>65</v>
      </c>
      <c r="M108" s="367">
        <f ca="1">SUM(N117:N166)</f>
        <v>37388951.498543441</v>
      </c>
      <c r="N108" s="359">
        <f ca="1">M108/Nav</f>
        <v>0.12958989604422388</v>
      </c>
      <c r="Q108" s="109" t="s">
        <v>66</v>
      </c>
      <c r="R108" s="111">
        <f>worst_week_in_rv</f>
        <v>-3615461.1433066148</v>
      </c>
      <c r="S108" s="112">
        <f>R108/Nav</f>
        <v>-1.253116803051531E-2</v>
      </c>
    </row>
    <row r="109" spans="3:33" x14ac:dyDescent="0.25">
      <c r="E109" s="2" t="s">
        <v>67</v>
      </c>
      <c r="F109" s="358">
        <f>_95_var_weekly</f>
        <v>2206625.2181162667</v>
      </c>
      <c r="G109" s="359">
        <f>F109/Nav</f>
        <v>7.6481506210568607E-3</v>
      </c>
      <c r="H109" s="358">
        <f>_99_var_weekly</f>
        <v>2720517.4544051127</v>
      </c>
      <c r="I109" s="359">
        <f>H109/Nav</f>
        <v>9.4292982277555844E-3</v>
      </c>
      <c r="L109" s="109" t="s">
        <v>12</v>
      </c>
      <c r="M109" s="368">
        <f ca="1">+N116</f>
        <v>9158955.777912315</v>
      </c>
      <c r="N109" s="361">
        <f ca="1">M109/Nav</f>
        <v>3.1744889320566773E-2</v>
      </c>
    </row>
    <row r="110" spans="3:33" x14ac:dyDescent="0.25">
      <c r="E110" s="2" t="s">
        <v>68</v>
      </c>
      <c r="F110" s="360">
        <f>_95_cvar_weekly</f>
        <v>2662277.192834469</v>
      </c>
      <c r="G110" s="361">
        <f>F110/Nav</f>
        <v>9.227437808031801E-3</v>
      </c>
      <c r="H110" s="360">
        <f>_99_cvar_weekly</f>
        <v>3170449.073008718</v>
      </c>
      <c r="I110" s="361">
        <f>H110/Nav</f>
        <v>1.0988758692543479E-2</v>
      </c>
      <c r="L110" s="109" t="s">
        <v>63</v>
      </c>
      <c r="M110" s="369">
        <f ca="1">1-M109/M108</f>
        <v>0.75503576829991825</v>
      </c>
      <c r="N110" s="370"/>
    </row>
    <row r="111" spans="3:33" x14ac:dyDescent="0.25">
      <c r="E111" s="2" t="s">
        <v>69</v>
      </c>
      <c r="F111" s="362">
        <f>F109*2</f>
        <v>4413250.4362325333</v>
      </c>
      <c r="G111" s="363">
        <f>F111/Nav</f>
        <v>1.5296301242113721E-2</v>
      </c>
      <c r="H111" s="362">
        <f>_99_var_weekly*2</f>
        <v>5441034.9088102253</v>
      </c>
      <c r="I111" s="363">
        <f>H111/Nav</f>
        <v>1.8858596455511169E-2</v>
      </c>
      <c r="K111" s="13"/>
      <c r="L111" s="109" t="s">
        <v>70</v>
      </c>
      <c r="M111" s="369">
        <f ca="1">SUMPRODUCT(ABS(INDIRECT("R117:"&amp;"R"&amp;116+Data!A204))*INDIRECT("S117:"&amp;"S"&amp;116+Data!A204))/SUM(INDIRECT("R117:"&amp;"R"&amp;116+Data!A204))</f>
        <v>0.56217252689369235</v>
      </c>
      <c r="N111" s="369"/>
    </row>
    <row r="112" spans="3:33" ht="15" customHeight="1" x14ac:dyDescent="0.25">
      <c r="E112" s="2"/>
      <c r="F112" s="3"/>
      <c r="K112" s="13"/>
    </row>
    <row r="113" spans="3:20" ht="17.25" x14ac:dyDescent="0.3">
      <c r="C113" s="87" t="s">
        <v>71</v>
      </c>
      <c r="D113"/>
      <c r="E113"/>
      <c r="F113"/>
      <c r="G113"/>
      <c r="H113"/>
      <c r="I113"/>
      <c r="J113"/>
      <c r="K113"/>
      <c r="L113" s="116"/>
      <c r="M113"/>
      <c r="N113"/>
      <c r="O113" s="117" t="s">
        <v>72</v>
      </c>
      <c r="P113" s="16"/>
      <c r="Q113" s="118"/>
      <c r="R113" s="118"/>
    </row>
    <row r="114" spans="3:20" ht="17.25" x14ac:dyDescent="0.3">
      <c r="C114"/>
      <c r="D114" s="87"/>
      <c r="E114"/>
      <c r="F114"/>
      <c r="G114"/>
      <c r="H114" s="119" t="s">
        <v>73</v>
      </c>
      <c r="I114" s="106"/>
      <c r="J114" s="106"/>
      <c r="K114" s="106"/>
      <c r="L114" s="106"/>
      <c r="M114" s="120"/>
      <c r="N114" s="119" t="s">
        <v>6</v>
      </c>
      <c r="O114" s="120"/>
      <c r="P114" s="119" t="s">
        <v>74</v>
      </c>
      <c r="Q114" s="120"/>
    </row>
    <row r="115" spans="3:20" ht="31.5" x14ac:dyDescent="0.25">
      <c r="C115" s="22"/>
      <c r="D115" s="121"/>
      <c r="E115" s="121"/>
      <c r="F115" s="122"/>
      <c r="G115" s="123"/>
      <c r="H115" s="124" t="str">
        <f t="array" aca="1" ref="H115:M115" ca="1">OFFSET(macro_factor_exposures,0,1,1,6)</f>
        <v>USD Index¹</v>
      </c>
      <c r="I115" s="125" t="str">
        <f ca="1"/>
        <v>US 10 Year²</v>
      </c>
      <c r="J115" s="126" t="str">
        <f ca="1"/>
        <v>US 2y10y Spread²</v>
      </c>
      <c r="K115" s="125" t="str">
        <f ca="1"/>
        <v>EMBI EM Spread²</v>
      </c>
      <c r="L115" s="125" t="str">
        <f ca="1"/>
        <v>S&amp;P 500 Index¹</v>
      </c>
      <c r="M115" s="125" t="str">
        <f ca="1"/>
        <v>OIL¹</v>
      </c>
      <c r="N115" s="127" t="s">
        <v>45</v>
      </c>
      <c r="O115" s="128" t="s">
        <v>75</v>
      </c>
      <c r="P115" s="129" t="s">
        <v>45</v>
      </c>
      <c r="Q115" s="130" t="s">
        <v>75</v>
      </c>
      <c r="R115" s="131" t="s">
        <v>76</v>
      </c>
      <c r="S115" s="131" t="s">
        <v>220</v>
      </c>
    </row>
    <row r="116" spans="3:20" x14ac:dyDescent="0.25">
      <c r="C116" s="22"/>
      <c r="D116" s="121"/>
      <c r="E116" s="121"/>
      <c r="F116" s="121"/>
      <c r="G116" s="132" t="s">
        <v>77</v>
      </c>
      <c r="H116" s="133">
        <f t="shared" ref="H116:L116" ca="1" si="30">SUM(H117:H182)</f>
        <v>60185252.037197948</v>
      </c>
      <c r="I116" s="133">
        <f t="shared" ca="1" si="30"/>
        <v>38498.095187472849</v>
      </c>
      <c r="J116" s="133">
        <f t="shared" ca="1" si="30"/>
        <v>117306.42876753777</v>
      </c>
      <c r="K116" s="133">
        <f t="shared" ca="1" si="30"/>
        <v>30767.623551301054</v>
      </c>
      <c r="L116" s="133">
        <f t="shared" ca="1" si="30"/>
        <v>-17350780.205375344</v>
      </c>
      <c r="M116" s="133">
        <f ca="1">SUM(M117:M182)</f>
        <v>-2138185.4043426374</v>
      </c>
      <c r="N116" s="134">
        <f ca="1">SUM(O117:O186)</f>
        <v>9158955.777912315</v>
      </c>
      <c r="O116" s="135">
        <f ca="1">SUM(O117:O186)</f>
        <v>9158955.777912315</v>
      </c>
      <c r="P116" s="136">
        <f ca="1">SUM(Q117:Q186)</f>
        <v>3.1744889320566773E-2</v>
      </c>
      <c r="Q116" s="112">
        <f ca="1">SUM(Q117:Q186)</f>
        <v>3.1744889320566773E-2</v>
      </c>
      <c r="R116" s="58">
        <f ca="1">SUM(R117:R186)</f>
        <v>0.99999999999999956</v>
      </c>
      <c r="S116" s="137">
        <v>1</v>
      </c>
    </row>
    <row r="117" spans="3:20" x14ac:dyDescent="0.25">
      <c r="C117"/>
      <c r="D117"/>
      <c r="E117" s="138"/>
      <c r="F117"/>
      <c r="G117" s="55" t="str">
        <f t="array" aca="1" ref="G117:G186" ca="1">OFFSET(macro_factor_exposures,1,0,1000,1)</f>
        <v>DISH CDS FLATTENER</v>
      </c>
      <c r="H117" s="139">
        <f t="shared" ref="H117:M126" ca="1" si="31">IF(NOT(ISTEXT($G117)),"",IFERROR(INDEX(macro_factor_exposures,MATCH($G117,OFFSET(macro_factor_exposures,0,0,,1),0),MATCH(H$115,OFFSET(macro_factor_exposures,0,0,1),0)),0))</f>
        <v>372722.65419692895</v>
      </c>
      <c r="I117" s="140">
        <f t="shared" ca="1" si="31"/>
        <v>1477.8709797825641</v>
      </c>
      <c r="J117" s="140">
        <f t="shared" ca="1" si="31"/>
        <v>397.05666683323375</v>
      </c>
      <c r="K117" s="140">
        <f t="shared" ca="1" si="31"/>
        <v>-1393.3552721574506</v>
      </c>
      <c r="L117" s="140">
        <f t="shared" ca="1" si="31"/>
        <v>2736732.922620635</v>
      </c>
      <c r="M117" s="140">
        <f t="shared" ca="1" si="31"/>
        <v>205683.03455288344</v>
      </c>
      <c r="N117" s="134">
        <f t="shared" ref="N117:O136" ca="1" si="32">IF(NOT(ISTEXT($G117)),"",IFERROR(INDEX(macro_factor_exposures,MATCH($G117,OFFSET(macro_factor_exposures,0,0,,1),0),MATCH(N$115&amp;LEFT($N$114,1),OFFSET(macro_factor_exposures,0,0,1),0)),0))</f>
        <v>862930.31764008047</v>
      </c>
      <c r="O117" s="135">
        <f t="shared" ca="1" si="32"/>
        <v>-1569.3582370697911</v>
      </c>
      <c r="P117" s="141">
        <f t="shared" ref="P117:P148" ca="1" si="33">IF(NOT(ISTEXT($G117)),"",N117/Nav)</f>
        <v>2.9909116376463127E-3</v>
      </c>
      <c r="Q117" s="141">
        <f t="shared" ref="Q117:Q148" ca="1" si="34">IF(NOT(ISTEXT($G117)),"",O117/Nav)</f>
        <v>-5.4393868414829307E-6</v>
      </c>
      <c r="R117" s="355">
        <f t="shared" ref="R117:R148" ca="1" si="35">IF(NOT(ISTEXT($G117)),"",O117/portfolio_volatility)</f>
        <v>-1.7134685166342282E-4</v>
      </c>
      <c r="S117" s="95">
        <f t="shared" ref="S117:S148" ca="1" si="36">IF(NOT(ISTEXT($G117)),"",IFERROR(INDEX(macro_factor_exposures,MATCH($G117,OFFSET(macro_factor_exposures,0,0,,1),0),MATCH(SUBSTITUTE(S$115," ",""),OFFSET(macro_factor_exposures,0,0,1),0)),0))</f>
        <v>-1.8186384288382863E-3</v>
      </c>
      <c r="T117" s="142"/>
    </row>
    <row r="118" spans="3:20" x14ac:dyDescent="0.25">
      <c r="C118"/>
      <c r="D118"/>
      <c r="E118" s="138"/>
      <c r="F118"/>
      <c r="G118" s="55" t="str">
        <f ca="1"/>
        <v>BANKOFCHINA V SOV SPREAD</v>
      </c>
      <c r="H118" s="143">
        <f t="shared" ca="1" si="31"/>
        <v>1166522.7630990136</v>
      </c>
      <c r="I118" s="144">
        <f t="shared" ca="1" si="31"/>
        <v>-1693.3543274069132</v>
      </c>
      <c r="J118" s="144">
        <f t="shared" ca="1" si="31"/>
        <v>-3468.3488141195394</v>
      </c>
      <c r="K118" s="144">
        <f t="shared" ca="1" si="31"/>
        <v>-3147.9487965394692</v>
      </c>
      <c r="L118" s="144">
        <f t="shared" ca="1" si="31"/>
        <v>134035.4968729564</v>
      </c>
      <c r="M118" s="144">
        <f t="shared" ca="1" si="31"/>
        <v>-420958.31945575844</v>
      </c>
      <c r="N118" s="145">
        <f t="shared" ca="1" si="32"/>
        <v>1884309.890551134</v>
      </c>
      <c r="O118" s="146">
        <f t="shared" ca="1" si="32"/>
        <v>396999.84649383905</v>
      </c>
      <c r="P118" s="36">
        <f t="shared" ca="1" si="33"/>
        <v>6.5310075047474159E-3</v>
      </c>
      <c r="Q118" s="36">
        <f t="shared" ca="1" si="34"/>
        <v>1.3759992397410147E-3</v>
      </c>
      <c r="R118" s="356">
        <f t="shared" ca="1" si="35"/>
        <v>4.3345535901728176E-2</v>
      </c>
      <c r="S118" s="95">
        <f t="shared" ca="1" si="36"/>
        <v>0.21068713192272309</v>
      </c>
      <c r="T118" s="142"/>
    </row>
    <row r="119" spans="3:20" x14ac:dyDescent="0.25">
      <c r="C119"/>
      <c r="D119"/>
      <c r="E119" s="138"/>
      <c r="F119"/>
      <c r="G119" s="148" t="str">
        <f ca="1"/>
        <v>JPY CDS</v>
      </c>
      <c r="H119" s="143">
        <f t="shared" ca="1" si="31"/>
        <v>-1616699.8518566831</v>
      </c>
      <c r="I119" s="144">
        <f t="shared" ca="1" si="31"/>
        <v>-4719.5371637999542</v>
      </c>
      <c r="J119" s="144">
        <f t="shared" ca="1" si="31"/>
        <v>-12216.359737899073</v>
      </c>
      <c r="K119" s="144">
        <f t="shared" ca="1" si="31"/>
        <v>-4789.1933607259853</v>
      </c>
      <c r="L119" s="144">
        <f t="shared" ca="1" si="31"/>
        <v>2754657.1473626322</v>
      </c>
      <c r="M119" s="144">
        <f t="shared" ca="1" si="31"/>
        <v>803253.91714305058</v>
      </c>
      <c r="N119" s="145">
        <f t="shared" ca="1" si="32"/>
        <v>1698910.2553535551</v>
      </c>
      <c r="O119" s="146">
        <f t="shared" ca="1" si="32"/>
        <v>145595.39165845508</v>
      </c>
      <c r="P119" s="36">
        <f t="shared" ca="1" si="33"/>
        <v>5.8884134097290713E-3</v>
      </c>
      <c r="Q119" s="36">
        <f t="shared" ca="1" si="34"/>
        <v>5.0463281031756888E-4</v>
      </c>
      <c r="R119" s="356">
        <f t="shared" ca="1" si="35"/>
        <v>1.5896505583046054E-2</v>
      </c>
      <c r="S119" s="95">
        <f t="shared" ca="1" si="36"/>
        <v>8.5699283525812631E-2</v>
      </c>
      <c r="T119" s="142"/>
    </row>
    <row r="120" spans="3:20" x14ac:dyDescent="0.25">
      <c r="C120"/>
      <c r="D120"/>
      <c r="E120" s="138"/>
      <c r="F120"/>
      <c r="G120" s="148" t="str">
        <f ca="1"/>
        <v>US CREDIT BASKET</v>
      </c>
      <c r="H120" s="143">
        <f t="shared" ca="1" si="31"/>
        <v>815398.95714852342</v>
      </c>
      <c r="I120" s="144">
        <f t="shared" ca="1" si="31"/>
        <v>-338.28622998185779</v>
      </c>
      <c r="J120" s="144">
        <f t="shared" ca="1" si="31"/>
        <v>-638.44065411813745</v>
      </c>
      <c r="K120" s="144">
        <f t="shared" ca="1" si="31"/>
        <v>1296.6459056915901</v>
      </c>
      <c r="L120" s="144">
        <f t="shared" ca="1" si="31"/>
        <v>-1457185.1809015428</v>
      </c>
      <c r="M120" s="144">
        <f t="shared" ca="1" si="31"/>
        <v>-367434.70176398358</v>
      </c>
      <c r="N120" s="145">
        <f t="shared" ca="1" si="32"/>
        <v>287612.64842166926</v>
      </c>
      <c r="O120" s="146">
        <f t="shared" ca="1" si="32"/>
        <v>39888.188365487244</v>
      </c>
      <c r="P120" s="36">
        <f t="shared" ca="1" si="33"/>
        <v>9.9686382517092048E-4</v>
      </c>
      <c r="Q120" s="36">
        <f t="shared" ca="1" si="34"/>
        <v>1.3825223699780095E-4</v>
      </c>
      <c r="R120" s="356">
        <f t="shared" ca="1" si="35"/>
        <v>4.3551021898895247E-3</v>
      </c>
      <c r="S120" s="95">
        <f t="shared" ca="1" si="36"/>
        <v>0.13868718425417478</v>
      </c>
      <c r="T120" s="142"/>
    </row>
    <row r="121" spans="3:20" x14ac:dyDescent="0.25">
      <c r="C121"/>
      <c r="D121"/>
      <c r="E121" s="138"/>
      <c r="F121"/>
      <c r="G121" s="148" t="str">
        <f ca="1"/>
        <v>US CREDIT DISPERSION</v>
      </c>
      <c r="H121" s="143">
        <f t="shared" ca="1" si="31"/>
        <v>9258865.4293443002</v>
      </c>
      <c r="I121" s="144">
        <f t="shared" ca="1" si="31"/>
        <v>6186.1020113271779</v>
      </c>
      <c r="J121" s="144">
        <f t="shared" ca="1" si="31"/>
        <v>2475.0555984062185</v>
      </c>
      <c r="K121" s="144">
        <f t="shared" ca="1" si="31"/>
        <v>-3178.7930931634119</v>
      </c>
      <c r="L121" s="144">
        <f t="shared" ca="1" si="31"/>
        <v>58079.14805045072</v>
      </c>
      <c r="M121" s="144">
        <f t="shared" ca="1" si="31"/>
        <v>-1169039.7427589833</v>
      </c>
      <c r="N121" s="145">
        <f t="shared" ca="1" si="32"/>
        <v>3030258.7639047159</v>
      </c>
      <c r="O121" s="146">
        <f t="shared" ca="1" si="32"/>
        <v>1216760.1154755931</v>
      </c>
      <c r="P121" s="36">
        <f t="shared" ca="1" si="33"/>
        <v>1.0502859868023006E-2</v>
      </c>
      <c r="Q121" s="36">
        <f t="shared" ca="1" si="34"/>
        <v>4.2172837310343585E-3</v>
      </c>
      <c r="R121" s="356">
        <f t="shared" ca="1" si="35"/>
        <v>0.13284921829297666</v>
      </c>
      <c r="S121" s="95">
        <f t="shared" ca="1" si="36"/>
        <v>0.41568063509395659</v>
      </c>
      <c r="T121" s="142"/>
    </row>
    <row r="122" spans="3:20" x14ac:dyDescent="0.25">
      <c r="C122"/>
      <c r="D122"/>
      <c r="E122" s="138"/>
      <c r="F122"/>
      <c r="G122" s="148" t="str">
        <f ca="1"/>
        <v>LONG DISH CALLS</v>
      </c>
      <c r="H122" s="143">
        <f t="shared" ca="1" si="31"/>
        <v>-38694.1589821128</v>
      </c>
      <c r="I122" s="144">
        <f t="shared" ca="1" si="31"/>
        <v>29.285643553599837</v>
      </c>
      <c r="J122" s="144">
        <f t="shared" ca="1" si="31"/>
        <v>-13.641780778116029</v>
      </c>
      <c r="K122" s="144">
        <f t="shared" ca="1" si="31"/>
        <v>-27.494669923192355</v>
      </c>
      <c r="L122" s="144">
        <f t="shared" ca="1" si="31"/>
        <v>81865.475444624288</v>
      </c>
      <c r="M122" s="144">
        <f t="shared" ca="1" si="31"/>
        <v>1314.6138474199633</v>
      </c>
      <c r="N122" s="145">
        <f t="shared" ca="1" si="32"/>
        <v>50792.960582682696</v>
      </c>
      <c r="O122" s="146">
        <f t="shared" ca="1" si="32"/>
        <v>6224.9708294982411</v>
      </c>
      <c r="P122" s="36">
        <f t="shared" ca="1" si="33"/>
        <v>1.7604811629833044E-4</v>
      </c>
      <c r="Q122" s="36">
        <f t="shared" ca="1" si="34"/>
        <v>2.157571395668663E-5</v>
      </c>
      <c r="R122" s="356">
        <f t="shared" ca="1" si="35"/>
        <v>6.7965944813385207E-4</v>
      </c>
      <c r="S122" s="95">
        <f t="shared" ca="1" si="36"/>
        <v>0.12255577855842832</v>
      </c>
      <c r="T122" s="142"/>
    </row>
    <row r="123" spans="3:20" x14ac:dyDescent="0.25">
      <c r="C123"/>
      <c r="D123"/>
      <c r="E123"/>
      <c r="F123"/>
      <c r="G123" s="148" t="str">
        <f ca="1"/>
        <v>GREEK BANKS BASKET</v>
      </c>
      <c r="H123" s="143">
        <f t="shared" ca="1" si="31"/>
        <v>1268576.1608105241</v>
      </c>
      <c r="I123" s="144">
        <f t="shared" ca="1" si="31"/>
        <v>1147.0798584085405</v>
      </c>
      <c r="J123" s="144">
        <f t="shared" ca="1" si="31"/>
        <v>1056.1248483509703</v>
      </c>
      <c r="K123" s="144">
        <f t="shared" ca="1" si="31"/>
        <v>-459.17183726082726</v>
      </c>
      <c r="L123" s="144">
        <f t="shared" ca="1" si="31"/>
        <v>1420868.3146027315</v>
      </c>
      <c r="M123" s="144">
        <f t="shared" ca="1" si="31"/>
        <v>163108.13054621749</v>
      </c>
      <c r="N123" s="145">
        <f t="shared" ca="1" si="32"/>
        <v>477954.06585133495</v>
      </c>
      <c r="O123" s="146">
        <f t="shared" ca="1" si="32"/>
        <v>24064.202168012951</v>
      </c>
      <c r="P123" s="36">
        <f t="shared" ca="1" si="33"/>
        <v>1.6565861096693646E-3</v>
      </c>
      <c r="Q123" s="36">
        <f t="shared" ca="1" si="34"/>
        <v>8.340638965127096E-5</v>
      </c>
      <c r="R123" s="356">
        <f t="shared" ca="1" si="35"/>
        <v>2.6273958245377751E-3</v>
      </c>
      <c r="S123" s="95">
        <f t="shared" ca="1" si="36"/>
        <v>5.0348357483160022E-2</v>
      </c>
      <c r="T123" s="13"/>
    </row>
    <row r="124" spans="3:20" outlineLevel="1" x14ac:dyDescent="0.25">
      <c r="C124"/>
      <c r="D124"/>
      <c r="E124"/>
      <c r="F124"/>
      <c r="G124" s="148" t="str">
        <f ca="1"/>
        <v>AUDJPY OT CALENDAR SPREAD</v>
      </c>
      <c r="H124" s="143">
        <f t="shared" ca="1" si="31"/>
        <v>211907.87949348913</v>
      </c>
      <c r="I124" s="144">
        <f t="shared" ca="1" si="31"/>
        <v>237.06717936837322</v>
      </c>
      <c r="J124" s="144">
        <f t="shared" ca="1" si="31"/>
        <v>268.15106517674576</v>
      </c>
      <c r="K124" s="144">
        <f t="shared" ca="1" si="31"/>
        <v>-557.52645639058278</v>
      </c>
      <c r="L124" s="144">
        <f t="shared" ca="1" si="31"/>
        <v>524409.35338254413</v>
      </c>
      <c r="M124" s="144">
        <f t="shared" ca="1" si="31"/>
        <v>57751.278701561976</v>
      </c>
      <c r="N124" s="145">
        <f t="shared" ca="1" si="32"/>
        <v>210793.31426332207</v>
      </c>
      <c r="O124" s="146">
        <f t="shared" ca="1" si="32"/>
        <v>-13374.45798574929</v>
      </c>
      <c r="P124" s="36">
        <f t="shared" ca="1" si="33"/>
        <v>7.3060844413530817E-4</v>
      </c>
      <c r="Q124" s="36">
        <f t="shared" ca="1" si="34"/>
        <v>-4.6355796312945833E-5</v>
      </c>
      <c r="R124" s="356">
        <f t="shared" ca="1" si="35"/>
        <v>-1.4602601333661915E-3</v>
      </c>
      <c r="S124" s="95">
        <f t="shared" ca="1" si="36"/>
        <v>-6.3448207702840057E-2</v>
      </c>
      <c r="T124" s="142"/>
    </row>
    <row r="125" spans="3:20" outlineLevel="1" x14ac:dyDescent="0.25">
      <c r="C125"/>
      <c r="D125"/>
      <c r="E125"/>
      <c r="F125"/>
      <c r="G125" s="148" t="str">
        <f ca="1"/>
        <v>EURCAD PUT SPREAD</v>
      </c>
      <c r="H125" s="143">
        <f t="shared" ca="1" si="31"/>
        <v>1241581.7861674717</v>
      </c>
      <c r="I125" s="144">
        <f t="shared" ca="1" si="31"/>
        <v>741.05284581117121</v>
      </c>
      <c r="J125" s="144">
        <f t="shared" ca="1" si="31"/>
        <v>2894.094369255678</v>
      </c>
      <c r="K125" s="144">
        <f t="shared" ca="1" si="31"/>
        <v>383.65046461124132</v>
      </c>
      <c r="L125" s="144">
        <f t="shared" ca="1" si="31"/>
        <v>931240.12260022841</v>
      </c>
      <c r="M125" s="144">
        <f t="shared" ca="1" si="31"/>
        <v>704009.93505892297</v>
      </c>
      <c r="N125" s="145">
        <f t="shared" ca="1" si="32"/>
        <v>836275.10177793039</v>
      </c>
      <c r="O125" s="146">
        <f t="shared" ca="1" si="32"/>
        <v>125739.86898559809</v>
      </c>
      <c r="P125" s="36">
        <f t="shared" ca="1" si="33"/>
        <v>2.8985248090735208E-3</v>
      </c>
      <c r="Q125" s="36">
        <f t="shared" ca="1" si="34"/>
        <v>4.3581368017481785E-4</v>
      </c>
      <c r="R125" s="356">
        <f t="shared" ca="1" si="35"/>
        <v>1.3728624969325828E-2</v>
      </c>
      <c r="S125" s="95">
        <f t="shared" ca="1" si="36"/>
        <v>0.15035706398321969</v>
      </c>
      <c r="T125" s="149"/>
    </row>
    <row r="126" spans="3:20" outlineLevel="1" x14ac:dyDescent="0.25">
      <c r="C126"/>
      <c r="D126"/>
      <c r="E126" s="138"/>
      <c r="F126"/>
      <c r="G126" s="148" t="str">
        <f ca="1"/>
        <v>EURNOK 5M KI SPREAD</v>
      </c>
      <c r="H126" s="143">
        <f t="shared" ca="1" si="31"/>
        <v>-2102285.2404775731</v>
      </c>
      <c r="I126" s="144">
        <f t="shared" ca="1" si="31"/>
        <v>-1413.7700809175199</v>
      </c>
      <c r="J126" s="144">
        <f t="shared" ca="1" si="31"/>
        <v>-1749.7929764496093</v>
      </c>
      <c r="K126" s="144">
        <f t="shared" ca="1" si="31"/>
        <v>-1515.0908298549543</v>
      </c>
      <c r="L126" s="144">
        <f t="shared" ca="1" si="31"/>
        <v>1043648.1433009605</v>
      </c>
      <c r="M126" s="144">
        <f t="shared" ca="1" si="31"/>
        <v>685835.98714810226</v>
      </c>
      <c r="N126" s="145">
        <f t="shared" ca="1" si="32"/>
        <v>545522.16313805792</v>
      </c>
      <c r="O126" s="146">
        <f t="shared" ca="1" si="32"/>
        <v>11331.396102879873</v>
      </c>
      <c r="P126" s="36">
        <f t="shared" ca="1" si="33"/>
        <v>1.8907767556315426E-3</v>
      </c>
      <c r="Q126" s="36">
        <f t="shared" ca="1" si="34"/>
        <v>3.9274555293836795E-5</v>
      </c>
      <c r="R126" s="356">
        <f t="shared" ca="1" si="35"/>
        <v>1.2371930138811893E-3</v>
      </c>
      <c r="S126" s="95">
        <f t="shared" ca="1" si="36"/>
        <v>2.0771651215227005E-2</v>
      </c>
      <c r="T126" s="70"/>
    </row>
    <row r="127" spans="3:20" outlineLevel="1" x14ac:dyDescent="0.25">
      <c r="C127"/>
      <c r="D127"/>
      <c r="E127" s="138"/>
      <c r="F127"/>
      <c r="G127" s="148" t="str">
        <f ca="1"/>
        <v>NOKSEK OT CALENDAR SPREAD</v>
      </c>
      <c r="H127" s="143">
        <f t="shared" ref="H127:M136" ca="1" si="37">IF(NOT(ISTEXT($G127)),"",IFERROR(INDEX(macro_factor_exposures,MATCH($G127,OFFSET(macro_factor_exposures,0,0,,1),0),MATCH(H$115,OFFSET(macro_factor_exposures,0,0,1),0)),0))</f>
        <v>-344190.02340239193</v>
      </c>
      <c r="I127" s="144">
        <f t="shared" ca="1" si="37"/>
        <v>-1623.7585289245289</v>
      </c>
      <c r="J127" s="144">
        <f t="shared" ca="1" si="37"/>
        <v>-2377.0419330584741</v>
      </c>
      <c r="K127" s="144">
        <f t="shared" ca="1" si="37"/>
        <v>831.27513442821532</v>
      </c>
      <c r="L127" s="144">
        <f t="shared" ca="1" si="37"/>
        <v>-169244.31155950314</v>
      </c>
      <c r="M127" s="144">
        <f t="shared" ca="1" si="37"/>
        <v>391435.22977135377</v>
      </c>
      <c r="N127" s="145">
        <f t="shared" ca="1" si="32"/>
        <v>386694.56796571263</v>
      </c>
      <c r="O127" s="146">
        <f t="shared" ca="1" si="32"/>
        <v>38814.677585606049</v>
      </c>
      <c r="P127" s="36">
        <f t="shared" ca="1" si="33"/>
        <v>1.3402812022020722E-3</v>
      </c>
      <c r="Q127" s="36">
        <f t="shared" ca="1" si="34"/>
        <v>1.3453145465993363E-4</v>
      </c>
      <c r="R127" s="356">
        <f t="shared" ca="1" si="35"/>
        <v>4.2378933283214772E-3</v>
      </c>
      <c r="S127" s="95">
        <f t="shared" ca="1" si="36"/>
        <v>0.10037554390742753</v>
      </c>
      <c r="T127" s="13"/>
    </row>
    <row r="128" spans="3:20" outlineLevel="1" x14ac:dyDescent="0.25">
      <c r="C128"/>
      <c r="D128"/>
      <c r="E128" s="138"/>
      <c r="F128"/>
      <c r="G128" s="148" t="str">
        <f ca="1"/>
        <v>EURUSD/EURBRL DUAL BINARY</v>
      </c>
      <c r="H128" s="143">
        <f t="shared" ca="1" si="37"/>
        <v>7422799.6914355615</v>
      </c>
      <c r="I128" s="144">
        <f t="shared" ca="1" si="37"/>
        <v>1903.2736723861153</v>
      </c>
      <c r="J128" s="144">
        <f t="shared" ca="1" si="37"/>
        <v>2936.8184621398577</v>
      </c>
      <c r="K128" s="144">
        <f t="shared" ca="1" si="37"/>
        <v>1724.139210778892</v>
      </c>
      <c r="L128" s="144">
        <f t="shared" ca="1" si="37"/>
        <v>44656.793321624136</v>
      </c>
      <c r="M128" s="144">
        <f t="shared" ca="1" si="37"/>
        <v>-234030.64214727073</v>
      </c>
      <c r="N128" s="145">
        <f t="shared" ca="1" si="32"/>
        <v>475277.57439562795</v>
      </c>
      <c r="O128" s="146">
        <f t="shared" ca="1" si="32"/>
        <v>167654.56776057254</v>
      </c>
      <c r="P128" s="36">
        <f t="shared" ca="1" si="33"/>
        <v>1.6473094053059956E-3</v>
      </c>
      <c r="Q128" s="36">
        <f t="shared" ca="1" si="34"/>
        <v>5.8108979087788208E-4</v>
      </c>
      <c r="R128" s="356">
        <f t="shared" ca="1" si="35"/>
        <v>1.8304987143281912E-2</v>
      </c>
      <c r="S128" s="95">
        <f t="shared" ca="1" si="36"/>
        <v>0.35275084875141682</v>
      </c>
      <c r="T128" s="13"/>
    </row>
    <row r="129" spans="3:20" outlineLevel="1" x14ac:dyDescent="0.25">
      <c r="C129"/>
      <c r="D129"/>
      <c r="E129" s="138"/>
      <c r="F129"/>
      <c r="G129" s="148" t="str">
        <f ca="1"/>
        <v>CNHTWD CALL SPREAD</v>
      </c>
      <c r="H129" s="143">
        <f t="shared" ca="1" si="37"/>
        <v>-15367.70986634033</v>
      </c>
      <c r="I129" s="144">
        <f t="shared" ca="1" si="37"/>
        <v>1050.3218473692964</v>
      </c>
      <c r="J129" s="144">
        <f t="shared" ca="1" si="37"/>
        <v>1934.7561108133</v>
      </c>
      <c r="K129" s="144">
        <f t="shared" ca="1" si="37"/>
        <v>533.88948612025615</v>
      </c>
      <c r="L129" s="144">
        <f t="shared" ca="1" si="37"/>
        <v>-415019.84859555657</v>
      </c>
      <c r="M129" s="144">
        <f t="shared" ca="1" si="37"/>
        <v>85907.613815751392</v>
      </c>
      <c r="N129" s="145">
        <f t="shared" ca="1" si="32"/>
        <v>349108.39903439634</v>
      </c>
      <c r="O129" s="146">
        <f t="shared" ca="1" si="32"/>
        <v>60089.53864353284</v>
      </c>
      <c r="P129" s="36">
        <f t="shared" ca="1" si="33"/>
        <v>1.2100077516427627E-3</v>
      </c>
      <c r="Q129" s="36">
        <f t="shared" ca="1" si="34"/>
        <v>2.0827000367913906E-4</v>
      </c>
      <c r="R129" s="356">
        <f t="shared" ca="1" si="35"/>
        <v>6.560741213364564E-3</v>
      </c>
      <c r="S129" s="95">
        <f t="shared" ca="1" si="36"/>
        <v>0.17212286730922333</v>
      </c>
      <c r="T129" s="142"/>
    </row>
    <row r="130" spans="3:20" outlineLevel="1" x14ac:dyDescent="0.25">
      <c r="C130"/>
      <c r="D130"/>
      <c r="E130" s="138"/>
      <c r="F130"/>
      <c r="G130" s="148" t="str">
        <f ca="1"/>
        <v>EURHUF OT SPREAD</v>
      </c>
      <c r="H130" s="143">
        <f t="shared" ca="1" si="37"/>
        <v>3890441.0353972856</v>
      </c>
      <c r="I130" s="144">
        <f t="shared" ca="1" si="37"/>
        <v>1895.7879728322628</v>
      </c>
      <c r="J130" s="144">
        <f t="shared" ca="1" si="37"/>
        <v>5314.2880584776522</v>
      </c>
      <c r="K130" s="144">
        <f t="shared" ca="1" si="37"/>
        <v>4318.7509959847175</v>
      </c>
      <c r="L130" s="144">
        <f t="shared" ca="1" si="37"/>
        <v>-1508425.6587239027</v>
      </c>
      <c r="M130" s="144">
        <f t="shared" ca="1" si="37"/>
        <v>-9126.7815341737587</v>
      </c>
      <c r="N130" s="145">
        <f t="shared" ca="1" si="32"/>
        <v>813884.52686865639</v>
      </c>
      <c r="O130" s="146">
        <f t="shared" ca="1" si="32"/>
        <v>224868.61627844386</v>
      </c>
      <c r="P130" s="36">
        <f t="shared" ca="1" si="33"/>
        <v>2.8209192021076161E-3</v>
      </c>
      <c r="Q130" s="36">
        <f t="shared" ca="1" si="34"/>
        <v>7.7939336192049257E-4</v>
      </c>
      <c r="R130" s="356">
        <f t="shared" ca="1" si="35"/>
        <v>2.4551774430523584E-2</v>
      </c>
      <c r="S130" s="95">
        <f t="shared" ca="1" si="36"/>
        <v>0.27629056562065912</v>
      </c>
      <c r="T130" s="13"/>
    </row>
    <row r="131" spans="3:20" outlineLevel="1" x14ac:dyDescent="0.25">
      <c r="C131"/>
      <c r="D131"/>
      <c r="E131" s="138"/>
      <c r="F131" s="68"/>
      <c r="G131" s="148" t="str">
        <f ca="1"/>
        <v>EURTRY 5.061/4.44 NOV18 PS</v>
      </c>
      <c r="H131" s="143">
        <f t="shared" ca="1" si="37"/>
        <v>3.8254105092254051E-4</v>
      </c>
      <c r="I131" s="144">
        <f t="shared" ca="1" si="37"/>
        <v>-3.549615571543179E-7</v>
      </c>
      <c r="J131" s="144">
        <f t="shared" ca="1" si="37"/>
        <v>-1.5171397916882683E-7</v>
      </c>
      <c r="K131" s="144">
        <f t="shared" ca="1" si="37"/>
        <v>8.9295410280455405E-7</v>
      </c>
      <c r="L131" s="144">
        <f t="shared" ca="1" si="37"/>
        <v>-4.9522462256487263E-5</v>
      </c>
      <c r="M131" s="144">
        <f t="shared" ca="1" si="37"/>
        <v>-2.6774891447321429E-5</v>
      </c>
      <c r="N131" s="145">
        <f t="shared" ca="1" si="32"/>
        <v>1.6160111840565392E-4</v>
      </c>
      <c r="O131" s="146">
        <f t="shared" ca="1" si="32"/>
        <v>5.7994567962269516E-7</v>
      </c>
      <c r="P131" s="36">
        <f t="shared" ca="1" si="33"/>
        <v>5.6010856938940476E-13</v>
      </c>
      <c r="Q131" s="36">
        <f t="shared" ca="1" si="34"/>
        <v>2.0100884705614076E-15</v>
      </c>
      <c r="R131" s="356">
        <f t="shared" ca="1" si="35"/>
        <v>6.332006548402479E-14</v>
      </c>
      <c r="S131" s="95">
        <f t="shared" ca="1" si="36"/>
        <v>3.5887479328387344E-3</v>
      </c>
      <c r="T131" s="142"/>
    </row>
    <row r="132" spans="3:20" outlineLevel="1" x14ac:dyDescent="0.25">
      <c r="C132" s="150"/>
      <c r="D132" s="150"/>
      <c r="E132" s="150"/>
      <c r="F132" s="151"/>
      <c r="G132" s="148" t="str">
        <f ca="1"/>
        <v>GBPINR KI SPREAD</v>
      </c>
      <c r="H132" s="143">
        <f t="shared" ca="1" si="37"/>
        <v>1177635.7510584751</v>
      </c>
      <c r="I132" s="144">
        <f t="shared" ca="1" si="37"/>
        <v>-532.82045455176183</v>
      </c>
      <c r="J132" s="144">
        <f t="shared" ca="1" si="37"/>
        <v>-707.96327269026892</v>
      </c>
      <c r="K132" s="144">
        <f t="shared" ca="1" si="37"/>
        <v>225.47293708498501</v>
      </c>
      <c r="L132" s="144">
        <f t="shared" ca="1" si="37"/>
        <v>-155301.14659466347</v>
      </c>
      <c r="M132" s="144">
        <f t="shared" ca="1" si="37"/>
        <v>-186561.21598803118</v>
      </c>
      <c r="N132" s="145">
        <f t="shared" ca="1" si="32"/>
        <v>177737.04246741769</v>
      </c>
      <c r="O132" s="146">
        <f t="shared" ca="1" si="32"/>
        <v>18368.832998742244</v>
      </c>
      <c r="P132" s="36">
        <f t="shared" ca="1" si="33"/>
        <v>6.1603559162277542E-4</v>
      </c>
      <c r="Q132" s="36">
        <f t="shared" ca="1" si="34"/>
        <v>6.3666272076483627E-5</v>
      </c>
      <c r="R132" s="356">
        <f t="shared" ca="1" si="35"/>
        <v>2.005559743288685E-3</v>
      </c>
      <c r="S132" s="95">
        <f t="shared" ca="1" si="36"/>
        <v>0.10334836646170466</v>
      </c>
      <c r="T132" s="142"/>
    </row>
    <row r="133" spans="3:20" outlineLevel="1" x14ac:dyDescent="0.25">
      <c r="C133" s="150"/>
      <c r="D133" s="150"/>
      <c r="E133" s="150"/>
      <c r="F133" s="151"/>
      <c r="G133" s="148" t="str">
        <f ca="1"/>
        <v>USDIDR PUT SPREAD</v>
      </c>
      <c r="H133" s="143">
        <f t="shared" ca="1" si="37"/>
        <v>-3789.6771104295476</v>
      </c>
      <c r="I133" s="144">
        <f t="shared" ca="1" si="37"/>
        <v>-8.6965461465601912E-2</v>
      </c>
      <c r="J133" s="144">
        <f t="shared" ca="1" si="37"/>
        <v>-0.79201285044600467</v>
      </c>
      <c r="K133" s="144">
        <f t="shared" ca="1" si="37"/>
        <v>0.15237335409871414</v>
      </c>
      <c r="L133" s="144">
        <f t="shared" ca="1" si="37"/>
        <v>1788.9924097536896</v>
      </c>
      <c r="M133" s="144">
        <f t="shared" ca="1" si="37"/>
        <v>-39.798586074172533</v>
      </c>
      <c r="N133" s="145">
        <f t="shared" ca="1" si="32"/>
        <v>1422.0626139146414</v>
      </c>
      <c r="O133" s="146">
        <f t="shared" ca="1" si="32"/>
        <v>-125.80185019533268</v>
      </c>
      <c r="P133" s="36">
        <f t="shared" ca="1" si="33"/>
        <v>4.9288610383405605E-6</v>
      </c>
      <c r="Q133" s="36">
        <f t="shared" ca="1" si="34"/>
        <v>-4.3602850669988136E-7</v>
      </c>
      <c r="R133" s="356">
        <f t="shared" ca="1" si="35"/>
        <v>-1.3735392248395355E-5</v>
      </c>
      <c r="S133" s="95">
        <f t="shared" ca="1" si="36"/>
        <v>-8.8464353794539818E-2</v>
      </c>
      <c r="T133" s="70"/>
    </row>
    <row r="134" spans="3:20" outlineLevel="1" x14ac:dyDescent="0.25">
      <c r="C134" s="150"/>
      <c r="D134" s="150"/>
      <c r="E134" s="150"/>
      <c r="F134" s="151"/>
      <c r="G134" s="148" t="str">
        <f ca="1"/>
        <v>USDTRY CALENDAR SPREAD</v>
      </c>
      <c r="H134" s="143">
        <f t="shared" ca="1" si="37"/>
        <v>0</v>
      </c>
      <c r="I134" s="144">
        <f t="shared" ca="1" si="37"/>
        <v>0</v>
      </c>
      <c r="J134" s="144">
        <f t="shared" ca="1" si="37"/>
        <v>0</v>
      </c>
      <c r="K134" s="144">
        <f t="shared" ca="1" si="37"/>
        <v>0</v>
      </c>
      <c r="L134" s="144">
        <f t="shared" ca="1" si="37"/>
        <v>0</v>
      </c>
      <c r="M134" s="144">
        <f t="shared" ca="1" si="37"/>
        <v>0</v>
      </c>
      <c r="N134" s="145">
        <f t="shared" ca="1" si="32"/>
        <v>0</v>
      </c>
      <c r="O134" s="146">
        <f t="shared" ca="1" si="32"/>
        <v>0</v>
      </c>
      <c r="P134" s="36">
        <f t="shared" ca="1" si="33"/>
        <v>0</v>
      </c>
      <c r="Q134" s="36">
        <f t="shared" ca="1" si="34"/>
        <v>0</v>
      </c>
      <c r="R134" s="356">
        <f t="shared" ca="1" si="35"/>
        <v>0</v>
      </c>
      <c r="S134" s="95">
        <f t="shared" ca="1" si="36"/>
        <v>0</v>
      </c>
      <c r="T134" s="13"/>
    </row>
    <row r="135" spans="3:20" outlineLevel="1" x14ac:dyDescent="0.25">
      <c r="C135" s="150"/>
      <c r="D135" s="150"/>
      <c r="E135" s="150"/>
      <c r="F135" s="151"/>
      <c r="G135" s="148" t="str">
        <f ca="1"/>
        <v>AUDCAD KI CALL SPREAD</v>
      </c>
      <c r="H135" s="143">
        <f t="shared" ca="1" si="37"/>
        <v>-1069127.7833798632</v>
      </c>
      <c r="I135" s="144">
        <f t="shared" ca="1" si="37"/>
        <v>-1075.9987045998266</v>
      </c>
      <c r="J135" s="144">
        <f t="shared" ca="1" si="37"/>
        <v>-1879.380097198147</v>
      </c>
      <c r="K135" s="144">
        <f t="shared" ca="1" si="37"/>
        <v>-779.17833731265182</v>
      </c>
      <c r="L135" s="144">
        <f t="shared" ca="1" si="37"/>
        <v>234797.72672760321</v>
      </c>
      <c r="M135" s="144">
        <f t="shared" ca="1" si="37"/>
        <v>-252365.48198755091</v>
      </c>
      <c r="N135" s="145">
        <f t="shared" ca="1" si="32"/>
        <v>329631.96272441954</v>
      </c>
      <c r="O135" s="146">
        <f t="shared" ca="1" si="32"/>
        <v>-69401.295140109374</v>
      </c>
      <c r="P135" s="36">
        <f t="shared" ca="1" si="33"/>
        <v>1.1425025327060892E-3</v>
      </c>
      <c r="Q135" s="36">
        <f t="shared" ca="1" si="34"/>
        <v>-2.4054449943298467E-4</v>
      </c>
      <c r="R135" s="356">
        <f t="shared" ca="1" si="35"/>
        <v>-7.5774244163813002E-3</v>
      </c>
      <c r="S135" s="95">
        <f t="shared" ca="1" si="36"/>
        <v>-0.21054176471997785</v>
      </c>
      <c r="T135" s="13"/>
    </row>
    <row r="136" spans="3:20" outlineLevel="1" x14ac:dyDescent="0.25">
      <c r="C136" s="150"/>
      <c r="D136" s="150"/>
      <c r="E136" s="150"/>
      <c r="F136" s="151"/>
      <c r="G136" s="148" t="str">
        <f ca="1"/>
        <v>USDMXN KI PUT SPREAD</v>
      </c>
      <c r="H136" s="143">
        <f t="shared" ca="1" si="37"/>
        <v>-895274.71617043158</v>
      </c>
      <c r="I136" s="144">
        <f t="shared" ca="1" si="37"/>
        <v>-521.42614747379707</v>
      </c>
      <c r="J136" s="144">
        <f t="shared" ca="1" si="37"/>
        <v>-605.95513804112238</v>
      </c>
      <c r="K136" s="144">
        <f t="shared" ca="1" si="37"/>
        <v>-911.75030086342167</v>
      </c>
      <c r="L136" s="144">
        <f t="shared" ca="1" si="37"/>
        <v>146885.80628134153</v>
      </c>
      <c r="M136" s="144">
        <f t="shared" ca="1" si="37"/>
        <v>38291.690035310741</v>
      </c>
      <c r="N136" s="145">
        <f t="shared" ca="1" si="32"/>
        <v>181001.60996861185</v>
      </c>
      <c r="O136" s="146">
        <f t="shared" ca="1" si="32"/>
        <v>-19605.229277788556</v>
      </c>
      <c r="P136" s="36">
        <f t="shared" ca="1" si="33"/>
        <v>6.273505642591593E-4</v>
      </c>
      <c r="Q136" s="36">
        <f t="shared" ca="1" si="34"/>
        <v>-6.7951614640243894E-5</v>
      </c>
      <c r="R136" s="356">
        <f t="shared" ca="1" si="35"/>
        <v>-2.1405528919648691E-3</v>
      </c>
      <c r="S136" s="95">
        <f t="shared" ca="1" si="36"/>
        <v>-0.10831522040709103</v>
      </c>
      <c r="T136" s="152"/>
    </row>
    <row r="137" spans="3:20" outlineLevel="1" x14ac:dyDescent="0.25">
      <c r="C137" s="150"/>
      <c r="D137" s="150"/>
      <c r="E137" s="150"/>
      <c r="F137" s="151"/>
      <c r="G137" s="148" t="str">
        <f ca="1"/>
        <v>USDKRW OT VS DIGI</v>
      </c>
      <c r="H137" s="143">
        <f t="shared" ref="H137:M146" ca="1" si="38">IF(NOT(ISTEXT($G137)),"",IFERROR(INDEX(macro_factor_exposures,MATCH($G137,OFFSET(macro_factor_exposures,0,0,,1),0),MATCH(H$115,OFFSET(macro_factor_exposures,0,0,1),0)),0))</f>
        <v>1080924.380083398</v>
      </c>
      <c r="I137" s="144">
        <f t="shared" ca="1" si="38"/>
        <v>1533.7806840440601</v>
      </c>
      <c r="J137" s="144">
        <f t="shared" ca="1" si="38"/>
        <v>2625.6700662618741</v>
      </c>
      <c r="K137" s="144">
        <f t="shared" ca="1" si="38"/>
        <v>606.72354455380355</v>
      </c>
      <c r="L137" s="144">
        <f t="shared" ca="1" si="38"/>
        <v>-454385.21969207318</v>
      </c>
      <c r="M137" s="144">
        <f t="shared" ca="1" si="38"/>
        <v>28105.420880915466</v>
      </c>
      <c r="N137" s="145">
        <f t="shared" ref="N137:O156" ca="1" si="39">IF(NOT(ISTEXT($G137)),"",IFERROR(INDEX(macro_factor_exposures,MATCH($G137,OFFSET(macro_factor_exposures,0,0,,1),0),MATCH(N$115&amp;LEFT($N$114,1),OFFSET(macro_factor_exposures,0,0,1),0)),0))</f>
        <v>429704.37066184497</v>
      </c>
      <c r="O137" s="146">
        <f t="shared" ca="1" si="39"/>
        <v>24193.402197664476</v>
      </c>
      <c r="P137" s="36">
        <f t="shared" ca="1" si="33"/>
        <v>1.4893529369494748E-3</v>
      </c>
      <c r="Q137" s="36">
        <f t="shared" ca="1" si="34"/>
        <v>8.3854196228893337E-5</v>
      </c>
      <c r="R137" s="356">
        <f t="shared" ca="1" si="35"/>
        <v>2.641502239371997E-3</v>
      </c>
      <c r="S137" s="95">
        <f t="shared" ca="1" si="36"/>
        <v>5.6302434532841401E-2</v>
      </c>
      <c r="T137" s="153"/>
    </row>
    <row r="138" spans="3:20" outlineLevel="1" x14ac:dyDescent="0.25">
      <c r="C138" s="150"/>
      <c r="D138" s="150"/>
      <c r="E138" s="150"/>
      <c r="F138" s="151"/>
      <c r="G138" s="148" t="str">
        <f ca="1"/>
        <v>USDTWD DIGITAL</v>
      </c>
      <c r="H138" s="143">
        <f t="shared" ca="1" si="38"/>
        <v>18609772.68582096</v>
      </c>
      <c r="I138" s="144">
        <f t="shared" ca="1" si="38"/>
        <v>13804.67411522664</v>
      </c>
      <c r="J138" s="144">
        <f t="shared" ca="1" si="38"/>
        <v>20444.479057083845</v>
      </c>
      <c r="K138" s="144">
        <f t="shared" ca="1" si="38"/>
        <v>5960.662681575368</v>
      </c>
      <c r="L138" s="144">
        <f t="shared" ca="1" si="38"/>
        <v>-2053535.697335009</v>
      </c>
      <c r="M138" s="144">
        <f t="shared" ca="1" si="38"/>
        <v>-147958.05475140654</v>
      </c>
      <c r="N138" s="145">
        <f t="shared" ca="1" si="39"/>
        <v>1923042.6780155136</v>
      </c>
      <c r="O138" s="146">
        <f t="shared" ca="1" si="39"/>
        <v>641143.63367618993</v>
      </c>
      <c r="P138" s="36">
        <f t="shared" ca="1" si="33"/>
        <v>6.6652551287067962E-3</v>
      </c>
      <c r="Q138" s="36">
        <f t="shared" ca="1" si="34"/>
        <v>2.2222002358303675E-3</v>
      </c>
      <c r="R138" s="356">
        <f t="shared" ca="1" si="35"/>
        <v>7.0001826542537532E-2</v>
      </c>
      <c r="S138" s="95">
        <f t="shared" ca="1" si="36"/>
        <v>0.33340062652058144</v>
      </c>
      <c r="T138" s="153"/>
    </row>
    <row r="139" spans="3:20" outlineLevel="1" x14ac:dyDescent="0.25">
      <c r="E139" s="75"/>
      <c r="F139" s="13"/>
      <c r="G139" s="148" t="str">
        <f ca="1"/>
        <v>USDTWD RKI CALL SPREAD</v>
      </c>
      <c r="H139" s="143">
        <f t="shared" ca="1" si="38"/>
        <v>8203149.1737171281</v>
      </c>
      <c r="I139" s="144">
        <f t="shared" ca="1" si="38"/>
        <v>5807.3017402039986</v>
      </c>
      <c r="J139" s="144">
        <f t="shared" ca="1" si="38"/>
        <v>8587.9476072038924</v>
      </c>
      <c r="K139" s="144">
        <f t="shared" ca="1" si="38"/>
        <v>2710.5281688054743</v>
      </c>
      <c r="L139" s="144">
        <f t="shared" ca="1" si="38"/>
        <v>-858091.15433570719</v>
      </c>
      <c r="M139" s="144">
        <f t="shared" ca="1" si="38"/>
        <v>-63041.382069422951</v>
      </c>
      <c r="N139" s="145">
        <f t="shared" ca="1" si="39"/>
        <v>832852.11889959301</v>
      </c>
      <c r="O139" s="146">
        <f t="shared" ca="1" si="39"/>
        <v>269695.12333295902</v>
      </c>
      <c r="P139" s="36">
        <f t="shared" ca="1" si="33"/>
        <v>2.8866607696290828E-3</v>
      </c>
      <c r="Q139" s="36">
        <f t="shared" ca="1" si="34"/>
        <v>9.34761783777591E-4</v>
      </c>
      <c r="R139" s="356">
        <f t="shared" ca="1" si="35"/>
        <v>2.944605584660144E-2</v>
      </c>
      <c r="S139" s="95">
        <f t="shared" ca="1" si="36"/>
        <v>0.32382114088788511</v>
      </c>
      <c r="T139" s="142"/>
    </row>
    <row r="140" spans="3:20" outlineLevel="1" x14ac:dyDescent="0.25">
      <c r="E140" s="75"/>
      <c r="F140" s="13"/>
      <c r="G140" s="148" t="str">
        <f ca="1"/>
        <v>USDRUB OCT18 ONE TOUCH</v>
      </c>
      <c r="H140" s="143">
        <f t="shared" ca="1" si="38"/>
        <v>0</v>
      </c>
      <c r="I140" s="144">
        <f t="shared" ca="1" si="38"/>
        <v>0</v>
      </c>
      <c r="J140" s="144">
        <f t="shared" ca="1" si="38"/>
        <v>0</v>
      </c>
      <c r="K140" s="144">
        <f t="shared" ca="1" si="38"/>
        <v>0</v>
      </c>
      <c r="L140" s="144">
        <f t="shared" ca="1" si="38"/>
        <v>0</v>
      </c>
      <c r="M140" s="144">
        <f t="shared" ca="1" si="38"/>
        <v>0</v>
      </c>
      <c r="N140" s="145">
        <f t="shared" ca="1" si="39"/>
        <v>0</v>
      </c>
      <c r="O140" s="146">
        <f t="shared" ca="1" si="39"/>
        <v>0</v>
      </c>
      <c r="P140" s="36">
        <f t="shared" ca="1" si="33"/>
        <v>0</v>
      </c>
      <c r="Q140" s="36">
        <f t="shared" ca="1" si="34"/>
        <v>0</v>
      </c>
      <c r="R140" s="356">
        <f t="shared" ca="1" si="35"/>
        <v>0</v>
      </c>
      <c r="S140" s="95">
        <f t="shared" ca="1" si="36"/>
        <v>0</v>
      </c>
      <c r="T140" s="149"/>
    </row>
    <row r="141" spans="3:20" outlineLevel="1" x14ac:dyDescent="0.25">
      <c r="E141" s="75"/>
      <c r="F141" s="13"/>
      <c r="G141" s="148" t="str">
        <f ca="1"/>
        <v>USDSEK CALENDAR SPREAD</v>
      </c>
      <c r="H141" s="143">
        <f t="shared" ca="1" si="38"/>
        <v>-7207159.3609940521</v>
      </c>
      <c r="I141" s="144">
        <f t="shared" ca="1" si="38"/>
        <v>-1151.312332476954</v>
      </c>
      <c r="J141" s="144">
        <f t="shared" ca="1" si="38"/>
        <v>-1392.3647816963644</v>
      </c>
      <c r="K141" s="144">
        <f t="shared" ca="1" si="38"/>
        <v>-2831.6726821298926</v>
      </c>
      <c r="L141" s="144">
        <f t="shared" ca="1" si="38"/>
        <v>591068.62778217916</v>
      </c>
      <c r="M141" s="144">
        <f t="shared" ca="1" si="38"/>
        <v>278518.50723824673</v>
      </c>
      <c r="N141" s="145">
        <f t="shared" ca="1" si="39"/>
        <v>583397.51116735034</v>
      </c>
      <c r="O141" s="146">
        <f t="shared" ca="1" si="39"/>
        <v>-139698.72407423923</v>
      </c>
      <c r="P141" s="36">
        <f t="shared" ca="1" si="33"/>
        <v>2.0220524993213866E-3</v>
      </c>
      <c r="Q141" s="36">
        <f t="shared" ca="1" si="34"/>
        <v>-4.8419499356639189E-4</v>
      </c>
      <c r="R141" s="356">
        <f t="shared" ca="1" si="35"/>
        <v>-1.5252691186820209E-2</v>
      </c>
      <c r="S141" s="95">
        <f t="shared" ca="1" si="36"/>
        <v>-0.23945718211020262</v>
      </c>
      <c r="T141" s="70"/>
    </row>
    <row r="142" spans="3:20" outlineLevel="1" x14ac:dyDescent="0.25">
      <c r="E142" s="75"/>
      <c r="F142" s="13"/>
      <c r="G142" s="148" t="str">
        <f ca="1"/>
        <v>USDJPY 5Y ATMS CALL</v>
      </c>
      <c r="H142" s="143">
        <f t="shared" ca="1" si="38"/>
        <v>25284804.921314631</v>
      </c>
      <c r="I142" s="144">
        <f t="shared" ca="1" si="38"/>
        <v>15068.319001194222</v>
      </c>
      <c r="J142" s="144">
        <f t="shared" ca="1" si="38"/>
        <v>31897.764589003171</v>
      </c>
      <c r="K142" s="144">
        <f t="shared" ca="1" si="38"/>
        <v>11198.238256222219</v>
      </c>
      <c r="L142" s="144">
        <f t="shared" ca="1" si="38"/>
        <v>-3257741.4086579671</v>
      </c>
      <c r="M142" s="144">
        <f t="shared" ca="1" si="38"/>
        <v>-742685.80395253829</v>
      </c>
      <c r="N142" s="145">
        <f t="shared" ca="1" si="39"/>
        <v>3073362.6981034367</v>
      </c>
      <c r="O142" s="146">
        <f t="shared" ca="1" si="39"/>
        <v>1957533.0547286298</v>
      </c>
      <c r="P142" s="36">
        <f t="shared" ca="1" si="33"/>
        <v>1.0652257862030057E-2</v>
      </c>
      <c r="Q142" s="36">
        <f t="shared" ca="1" si="34"/>
        <v>6.7847985808133088E-3</v>
      </c>
      <c r="R142" s="356">
        <f t="shared" ca="1" si="35"/>
        <v>0.21372884662784428</v>
      </c>
      <c r="S142" s="95">
        <f t="shared" ca="1" si="36"/>
        <v>0.63693525529434436</v>
      </c>
      <c r="T142" s="142"/>
    </row>
    <row r="143" spans="3:20" outlineLevel="1" x14ac:dyDescent="0.25">
      <c r="E143" s="75"/>
      <c r="F143" s="13"/>
      <c r="G143" s="148" t="str">
        <f ca="1"/>
        <v>TBILL</v>
      </c>
      <c r="H143" s="143">
        <f t="shared" ca="1" si="38"/>
        <v>-227176.77629394131</v>
      </c>
      <c r="I143" s="144">
        <f t="shared" ca="1" si="38"/>
        <v>-516.92181493487828</v>
      </c>
      <c r="J143" s="144">
        <f t="shared" ca="1" si="38"/>
        <v>-270.12885582794462</v>
      </c>
      <c r="K143" s="144">
        <f t="shared" ca="1" si="38"/>
        <v>93.290422673278911</v>
      </c>
      <c r="L143" s="144">
        <f t="shared" ca="1" si="38"/>
        <v>-111793.73998979172</v>
      </c>
      <c r="M143" s="144">
        <f t="shared" ca="1" si="38"/>
        <v>76554.099378502957</v>
      </c>
      <c r="N143" s="145">
        <f t="shared" ca="1" si="39"/>
        <v>115153.59315876418</v>
      </c>
      <c r="O143" s="146">
        <f t="shared" ca="1" si="39"/>
        <v>13681.183522294803</v>
      </c>
      <c r="P143" s="154">
        <f t="shared" ca="1" si="33"/>
        <v>3.9912170757568435E-4</v>
      </c>
      <c r="Q143" s="36">
        <f t="shared" ca="1" si="34"/>
        <v>4.7418905301080742E-5</v>
      </c>
      <c r="R143" s="356">
        <f t="shared" ca="1" si="35"/>
        <v>1.4937492716460389E-3</v>
      </c>
      <c r="S143" s="95">
        <f t="shared" ca="1" si="36"/>
        <v>0.1188081339627183</v>
      </c>
      <c r="T143" s="142"/>
    </row>
    <row r="144" spans="3:20" outlineLevel="1" x14ac:dyDescent="0.25">
      <c r="E144" s="75"/>
      <c r="F144" s="13"/>
      <c r="G144" s="148" t="str">
        <f ca="1"/>
        <v>L Z8 91/92/93 CALL FLY</v>
      </c>
      <c r="H144" s="143">
        <f t="shared" ca="1" si="38"/>
        <v>163647.38772499069</v>
      </c>
      <c r="I144" s="144">
        <f t="shared" ca="1" si="38"/>
        <v>11.12877267184386</v>
      </c>
      <c r="J144" s="144">
        <f t="shared" ca="1" si="38"/>
        <v>13.174206736882056</v>
      </c>
      <c r="K144" s="144">
        <f t="shared" ca="1" si="38"/>
        <v>39.324870601368772</v>
      </c>
      <c r="L144" s="144">
        <f t="shared" ca="1" si="38"/>
        <v>-12491.786004499281</v>
      </c>
      <c r="M144" s="144">
        <f t="shared" ca="1" si="38"/>
        <v>-17442.916554323605</v>
      </c>
      <c r="N144" s="145">
        <f t="shared" ca="1" si="39"/>
        <v>14609.446680426829</v>
      </c>
      <c r="O144" s="146">
        <f t="shared" ca="1" si="39"/>
        <v>3310.6202434461024</v>
      </c>
      <c r="P144" s="154">
        <f t="shared" ca="1" si="33"/>
        <v>5.0636260197184167E-5</v>
      </c>
      <c r="Q144" s="36">
        <f t="shared" ca="1" si="34"/>
        <v>1.1474591182552873E-5</v>
      </c>
      <c r="R144" s="356">
        <f t="shared" ca="1" si="35"/>
        <v>3.6146262998997924E-4</v>
      </c>
      <c r="S144" s="95">
        <f t="shared" ca="1" si="36"/>
        <v>0.22660818824039006</v>
      </c>
      <c r="T144" s="142"/>
    </row>
    <row r="145" spans="5:20" x14ac:dyDescent="0.25">
      <c r="E145" s="75"/>
      <c r="F145" s="13"/>
      <c r="G145" s="148" t="str">
        <f ca="1"/>
        <v xml:space="preserve"> EDZ8 PUT CONDOR</v>
      </c>
      <c r="H145" s="143">
        <f t="shared" ca="1" si="38"/>
        <v>-11.990345337731807</v>
      </c>
      <c r="I145" s="144">
        <f t="shared" ca="1" si="38"/>
        <v>2.2242033642031679E-2</v>
      </c>
      <c r="J145" s="144">
        <f t="shared" ca="1" si="38"/>
        <v>4.0796825658193758E-2</v>
      </c>
      <c r="K145" s="144">
        <f t="shared" ca="1" si="38"/>
        <v>-2.8641170694176873E-2</v>
      </c>
      <c r="L145" s="144">
        <f t="shared" ca="1" si="38"/>
        <v>3.2432620762445268</v>
      </c>
      <c r="M145" s="144">
        <f t="shared" ca="1" si="38"/>
        <v>19.24134151970862</v>
      </c>
      <c r="N145" s="145">
        <f t="shared" ca="1" si="39"/>
        <v>21.029403140439268</v>
      </c>
      <c r="O145" s="146">
        <f t="shared" ca="1" si="39"/>
        <v>-0.50919166486168888</v>
      </c>
      <c r="P145" s="154">
        <f t="shared" ca="1" si="33"/>
        <v>7.2887793254854056E-8</v>
      </c>
      <c r="Q145" s="36">
        <f t="shared" ca="1" si="34"/>
        <v>-1.7648554525146866E-9</v>
      </c>
      <c r="R145" s="356">
        <f t="shared" ca="1" si="35"/>
        <v>-5.5594947416347665E-8</v>
      </c>
      <c r="S145" s="95">
        <f t="shared" ca="1" si="36"/>
        <v>-3.4576619260908013E-2</v>
      </c>
      <c r="T145" s="13"/>
    </row>
    <row r="146" spans="5:20" x14ac:dyDescent="0.25">
      <c r="E146" s="75"/>
      <c r="F146" s="13"/>
      <c r="G146" s="148" t="str">
        <f ca="1"/>
        <v>EDZ8 PUT FLY</v>
      </c>
      <c r="H146" s="143">
        <f t="shared" ca="1" si="38"/>
        <v>194524.26215508243</v>
      </c>
      <c r="I146" s="144">
        <f t="shared" ca="1" si="38"/>
        <v>499.9965820524568</v>
      </c>
      <c r="J146" s="144">
        <f t="shared" ca="1" si="38"/>
        <v>478.73093056741936</v>
      </c>
      <c r="K146" s="144">
        <f t="shared" ca="1" si="38"/>
        <v>-135.20574009895381</v>
      </c>
      <c r="L146" s="144">
        <f t="shared" ca="1" si="38"/>
        <v>116757.13680027815</v>
      </c>
      <c r="M146" s="155">
        <f t="shared" ca="1" si="38"/>
        <v>13118.435012437218</v>
      </c>
      <c r="N146" s="156">
        <f t="shared" ca="1" si="39"/>
        <v>36022.198304428908</v>
      </c>
      <c r="O146" s="146">
        <f t="shared" ca="1" si="39"/>
        <v>-3593.7898149802454</v>
      </c>
      <c r="P146" s="36">
        <f t="shared" ca="1" si="33"/>
        <v>1.2485273714448012E-4</v>
      </c>
      <c r="Q146" s="36">
        <f t="shared" ca="1" si="34"/>
        <v>-1.24560553281689E-5</v>
      </c>
      <c r="R146" s="356">
        <f t="shared" ca="1" si="35"/>
        <v>-3.9237986317687085E-4</v>
      </c>
      <c r="S146" s="95">
        <f t="shared" ca="1" si="36"/>
        <v>-9.9765977206849099E-2</v>
      </c>
      <c r="T146" s="13"/>
    </row>
    <row r="147" spans="5:20" x14ac:dyDescent="0.25">
      <c r="E147" s="75"/>
      <c r="F147" s="13"/>
      <c r="G147" s="148" t="str">
        <f ca="1"/>
        <v>USD 2M 10-2 CURVE FLR FLY</v>
      </c>
      <c r="H147" s="143">
        <f t="shared" ref="H147:M156" ca="1" si="40">IF(NOT(ISTEXT($G147)),"",IFERROR(INDEX(macro_factor_exposures,MATCH($G147,OFFSET(macro_factor_exposures,0,0,,1),0),MATCH(H$115,OFFSET(macro_factor_exposures,0,0,1),0)),0))</f>
        <v>-1303958.6616250449</v>
      </c>
      <c r="I147" s="144">
        <f t="shared" ca="1" si="40"/>
        <v>-4431.6057914796274</v>
      </c>
      <c r="J147" s="144">
        <f t="shared" ca="1" si="40"/>
        <v>-8605.5384210018019</v>
      </c>
      <c r="K147" s="144">
        <f t="shared" ca="1" si="40"/>
        <v>-534.50836694015675</v>
      </c>
      <c r="L147" s="144">
        <f t="shared" ca="1" si="40"/>
        <v>246426.93893338708</v>
      </c>
      <c r="M147" s="155">
        <f t="shared" ca="1" si="40"/>
        <v>67122.884255582539</v>
      </c>
      <c r="N147" s="156">
        <f t="shared" ca="1" si="39"/>
        <v>386663.99275242566</v>
      </c>
      <c r="O147" s="146">
        <f t="shared" ca="1" si="39"/>
        <v>-168070.03305925106</v>
      </c>
      <c r="P147" s="36">
        <f t="shared" ca="1" si="33"/>
        <v>1.3401752286844263E-3</v>
      </c>
      <c r="Q147" s="36">
        <f t="shared" ca="1" si="34"/>
        <v>-5.825297912712558E-4</v>
      </c>
      <c r="R147" s="356">
        <f t="shared" ca="1" si="35"/>
        <v>-1.8350348788075573E-2</v>
      </c>
      <c r="S147" s="95">
        <f t="shared" ca="1" si="36"/>
        <v>-0.43466688445143936</v>
      </c>
      <c r="T147" s="142"/>
    </row>
    <row r="148" spans="5:20" x14ac:dyDescent="0.25">
      <c r="E148" s="75"/>
      <c r="F148" s="13"/>
      <c r="G148" s="148" t="str">
        <f ca="1"/>
        <v>USD 3M 10-2 CURVE FLR FLY</v>
      </c>
      <c r="H148" s="143">
        <f t="shared" ca="1" si="40"/>
        <v>-851723.76820647519</v>
      </c>
      <c r="I148" s="144">
        <f t="shared" ca="1" si="40"/>
        <v>-3465.299582018959</v>
      </c>
      <c r="J148" s="144">
        <f t="shared" ca="1" si="40"/>
        <v>-7373.5558259602567</v>
      </c>
      <c r="K148" s="144">
        <f t="shared" ca="1" si="40"/>
        <v>-946.34409811149055</v>
      </c>
      <c r="L148" s="144">
        <f t="shared" ca="1" si="40"/>
        <v>488653.04237859405</v>
      </c>
      <c r="M148" s="155">
        <f t="shared" ca="1" si="40"/>
        <v>118101.18486787622</v>
      </c>
      <c r="N148" s="156">
        <f t="shared" ca="1" si="39"/>
        <v>402974.62745184265</v>
      </c>
      <c r="O148" s="146">
        <f t="shared" ca="1" si="39"/>
        <v>-176911.90961734255</v>
      </c>
      <c r="P148" s="36">
        <f t="shared" ca="1" si="33"/>
        <v>1.3967077970073198E-3</v>
      </c>
      <c r="Q148" s="36">
        <f t="shared" ca="1" si="34"/>
        <v>-6.1317568579556659E-4</v>
      </c>
      <c r="R148" s="356">
        <f t="shared" ca="1" si="35"/>
        <v>-1.9315729206159316E-2</v>
      </c>
      <c r="S148" s="95">
        <f t="shared" ca="1" si="36"/>
        <v>-0.43901500880098021</v>
      </c>
      <c r="T148" s="13"/>
    </row>
    <row r="149" spans="5:20" x14ac:dyDescent="0.25">
      <c r="E149" s="75"/>
      <c r="F149" s="13"/>
      <c r="G149" s="148" t="str">
        <f ca="1"/>
        <v>USD 3M1Y1Y MISWEIGHTED FLY</v>
      </c>
      <c r="H149" s="143">
        <f t="shared" ca="1" si="40"/>
        <v>7817.311862866628</v>
      </c>
      <c r="I149" s="144">
        <f t="shared" ca="1" si="40"/>
        <v>15.025025316902081</v>
      </c>
      <c r="J149" s="144">
        <f t="shared" ca="1" si="40"/>
        <v>13.460949385165993</v>
      </c>
      <c r="K149" s="144">
        <f t="shared" ca="1" si="40"/>
        <v>-3.9997080185358733</v>
      </c>
      <c r="L149" s="144">
        <f t="shared" ca="1" si="40"/>
        <v>4506.3407024633143</v>
      </c>
      <c r="M149" s="155">
        <f t="shared" ca="1" si="40"/>
        <v>454.48194101683453</v>
      </c>
      <c r="N149" s="156">
        <f t="shared" ca="1" si="39"/>
        <v>1138.5361415647874</v>
      </c>
      <c r="O149" s="146">
        <f t="shared" ca="1" si="39"/>
        <v>-128.74490742056759</v>
      </c>
      <c r="P149" s="36">
        <f t="shared" ref="P149:P166" ca="1" si="41">IF(NOT(ISTEXT($G149)),"",N149/Nav)</f>
        <v>3.9461598765004255E-6</v>
      </c>
      <c r="Q149" s="36">
        <f t="shared" ref="Q149:Q166" ca="1" si="42">IF(NOT(ISTEXT($G149)),"",O149/Nav)</f>
        <v>-4.4622912652430333E-7</v>
      </c>
      <c r="R149" s="356">
        <f t="shared" ref="R149:R166" ca="1" si="43">IF(NOT(ISTEXT($G149)),"",O149/portfolio_volatility)</f>
        <v>-1.4056723336414402E-5</v>
      </c>
      <c r="S149" s="95">
        <f t="shared" ref="S149:S186" ca="1" si="44">IF(NOT(ISTEXT($G149)),"",IFERROR(INDEX(macro_factor_exposures,MATCH($G149,OFFSET(macro_factor_exposures,0,0,,1),0),MATCH(SUBSTITUTE(S$115," ",""),OFFSET(macro_factor_exposures,0,0,1),0)),0))</f>
        <v>-0.11307933294381244</v>
      </c>
      <c r="T149" s="13"/>
    </row>
    <row r="150" spans="5:20" x14ac:dyDescent="0.25">
      <c r="E150" s="75"/>
      <c r="F150" s="13"/>
      <c r="G150" s="148" t="str">
        <f ca="1"/>
        <v>USD 6M 10-2 CURVE FLR FLY</v>
      </c>
      <c r="H150" s="143">
        <f t="shared" ca="1" si="40"/>
        <v>-1855140.9864511674</v>
      </c>
      <c r="I150" s="144">
        <f t="shared" ca="1" si="40"/>
        <v>-5545.0283278471334</v>
      </c>
      <c r="J150" s="144">
        <f t="shared" ca="1" si="40"/>
        <v>-11135.0462037329</v>
      </c>
      <c r="K150" s="144">
        <f t="shared" ca="1" si="40"/>
        <v>-964.80129192607762</v>
      </c>
      <c r="L150" s="144">
        <f t="shared" ca="1" si="40"/>
        <v>331241.67203339509</v>
      </c>
      <c r="M150" s="155">
        <f t="shared" ca="1" si="40"/>
        <v>139780.00019047735</v>
      </c>
      <c r="N150" s="156">
        <f t="shared" ca="1" si="39"/>
        <v>525054.31047849567</v>
      </c>
      <c r="O150" s="146">
        <f t="shared" ca="1" si="39"/>
        <v>-260944.66968186566</v>
      </c>
      <c r="P150" s="36">
        <f t="shared" ca="1" si="41"/>
        <v>1.8198352931916425E-3</v>
      </c>
      <c r="Q150" s="36">
        <f t="shared" ca="1" si="42"/>
        <v>-9.0443276053581427E-4</v>
      </c>
      <c r="R150" s="356">
        <f t="shared" ca="1" si="43"/>
        <v>-2.8490657233126757E-2</v>
      </c>
      <c r="S150" s="95">
        <f t="shared" ca="1" si="44"/>
        <v>-0.49698605358378983</v>
      </c>
      <c r="T150" s="13"/>
    </row>
    <row r="151" spans="5:20" s="373" customFormat="1" x14ac:dyDescent="0.25">
      <c r="E151" s="75"/>
      <c r="F151" s="13"/>
      <c r="G151" s="148" t="str">
        <f ca="1"/>
        <v>USD 6M1Y1Y PAYER FLY</v>
      </c>
      <c r="H151" s="143">
        <f t="shared" ca="1" si="40"/>
        <v>-1385215.2706822853</v>
      </c>
      <c r="I151" s="144">
        <f t="shared" ca="1" si="40"/>
        <v>-2756.8163116692112</v>
      </c>
      <c r="J151" s="144">
        <f t="shared" ca="1" si="40"/>
        <v>-4395.7305853009975</v>
      </c>
      <c r="K151" s="144">
        <f t="shared" ca="1" si="40"/>
        <v>-491.29580500582449</v>
      </c>
      <c r="L151" s="144">
        <f t="shared" ca="1" si="40"/>
        <v>81606.718830301543</v>
      </c>
      <c r="M151" s="155">
        <f t="shared" ca="1" si="40"/>
        <v>-10001.69206611441</v>
      </c>
      <c r="N151" s="156">
        <f t="shared" ca="1" si="39"/>
        <v>437978.11045937543</v>
      </c>
      <c r="O151" s="146">
        <f t="shared" ca="1" si="39"/>
        <v>-81351.306617866867</v>
      </c>
      <c r="P151" s="36">
        <f t="shared" ca="1" si="41"/>
        <v>1.518029672650413E-3</v>
      </c>
      <c r="Q151" s="36">
        <f t="shared" ca="1" si="42"/>
        <v>-2.8196317214409838E-4</v>
      </c>
      <c r="R151" s="356">
        <f t="shared" ca="1" si="43"/>
        <v>-8.8821595595049378E-3</v>
      </c>
      <c r="S151" s="95">
        <f t="shared" ca="1" si="44"/>
        <v>-0.18574285946058133</v>
      </c>
      <c r="T151" s="13"/>
    </row>
    <row r="152" spans="5:20" s="373" customFormat="1" x14ac:dyDescent="0.25">
      <c r="E152" s="75"/>
      <c r="F152" s="13"/>
      <c r="G152" s="148" t="str">
        <f ca="1"/>
        <v>10Y-2Y CMS CURVE CAP</v>
      </c>
      <c r="H152" s="143">
        <f t="shared" ca="1" si="40"/>
        <v>4919005.9093620926</v>
      </c>
      <c r="I152" s="144">
        <f t="shared" ca="1" si="40"/>
        <v>29828.679940326201</v>
      </c>
      <c r="J152" s="144">
        <f t="shared" ca="1" si="40"/>
        <v>110751.89637643559</v>
      </c>
      <c r="K152" s="144">
        <f t="shared" ca="1" si="40"/>
        <v>15268.385885208627</v>
      </c>
      <c r="L152" s="144">
        <f t="shared" ca="1" si="40"/>
        <v>-15534174.851619363</v>
      </c>
      <c r="M152" s="155">
        <f t="shared" ca="1" si="40"/>
        <v>-1401947.568045239</v>
      </c>
      <c r="N152" s="156">
        <f t="shared" ca="1" si="39"/>
        <v>5860248.3322020052</v>
      </c>
      <c r="O152" s="146">
        <f t="shared" ca="1" si="39"/>
        <v>3802219.3565564044</v>
      </c>
      <c r="P152" s="36">
        <f t="shared" ca="1" si="41"/>
        <v>2.0311587828104227E-2</v>
      </c>
      <c r="Q152" s="36">
        <f t="shared" ca="1" si="42"/>
        <v>1.3178470949437443E-2</v>
      </c>
      <c r="R152" s="356">
        <f t="shared" ca="1" si="43"/>
        <v>0.41513677418618111</v>
      </c>
      <c r="S152" s="95">
        <f t="shared" ca="1" si="44"/>
        <v>0.64881539843000335</v>
      </c>
      <c r="T152" s="13"/>
    </row>
    <row r="153" spans="5:20" s="373" customFormat="1" x14ac:dyDescent="0.25">
      <c r="E153" s="75"/>
      <c r="F153" s="13"/>
      <c r="G153" s="148" t="str">
        <f ca="1"/>
        <v>CONTINGENT 10Y-2Y CMS CURVE CAP</v>
      </c>
      <c r="H153" s="143">
        <f t="shared" ca="1" si="40"/>
        <v>1763759.1132158744</v>
      </c>
      <c r="I153" s="144">
        <f t="shared" ca="1" si="40"/>
        <v>5706.6106614759901</v>
      </c>
      <c r="J153" s="144">
        <f t="shared" ca="1" si="40"/>
        <v>12343.535198463964</v>
      </c>
      <c r="K153" s="144">
        <f t="shared" ca="1" si="40"/>
        <v>367.21578957731589</v>
      </c>
      <c r="L153" s="144">
        <f t="shared" ca="1" si="40"/>
        <v>-469404.00479735306</v>
      </c>
      <c r="M153" s="155">
        <f t="shared" ca="1" si="40"/>
        <v>-56352.17806375146</v>
      </c>
      <c r="N153" s="156">
        <f t="shared" ca="1" si="39"/>
        <v>492148.67706453829</v>
      </c>
      <c r="O153" s="146">
        <f t="shared" ca="1" si="39"/>
        <v>294956.62382612564</v>
      </c>
      <c r="P153" s="36">
        <f t="shared" ca="1" si="41"/>
        <v>1.705784552465463E-3</v>
      </c>
      <c r="Q153" s="36">
        <f t="shared" ca="1" si="42"/>
        <v>1.022318002703872E-3</v>
      </c>
      <c r="R153" s="356">
        <f t="shared" ca="1" si="43"/>
        <v>3.2204175997600212E-2</v>
      </c>
      <c r="S153" s="95">
        <f t="shared" ca="1" si="44"/>
        <v>0.59932422369886063</v>
      </c>
      <c r="T153" s="13"/>
    </row>
    <row r="154" spans="5:20" s="373" customFormat="1" x14ac:dyDescent="0.25">
      <c r="E154" s="75"/>
      <c r="F154" s="13"/>
      <c r="G154" s="148" t="str">
        <f ca="1"/>
        <v>1Y1Y VS 2Y1Y PAYER SWITCH</v>
      </c>
      <c r="H154" s="143">
        <f t="shared" ca="1" si="40"/>
        <v>681368.78348934255</v>
      </c>
      <c r="I154" s="144">
        <f t="shared" ca="1" si="40"/>
        <v>3935.7722263845299</v>
      </c>
      <c r="J154" s="144">
        <f t="shared" ca="1" si="40"/>
        <v>11001.394695351963</v>
      </c>
      <c r="K154" s="144">
        <f t="shared" ca="1" si="40"/>
        <v>1529.6377109233954</v>
      </c>
      <c r="L154" s="144">
        <f t="shared" ca="1" si="40"/>
        <v>-627956.50284254248</v>
      </c>
      <c r="M154" s="155">
        <f t="shared" ca="1" si="40"/>
        <v>-278489.91814038518</v>
      </c>
      <c r="N154" s="156">
        <f t="shared" ca="1" si="39"/>
        <v>807020.54032767017</v>
      </c>
      <c r="O154" s="146">
        <f t="shared" ca="1" si="39"/>
        <v>181760.51942636419</v>
      </c>
      <c r="P154" s="36">
        <f t="shared" ca="1" si="41"/>
        <v>2.7971286632814604E-3</v>
      </c>
      <c r="Q154" s="36">
        <f t="shared" ca="1" si="42"/>
        <v>6.2998094018026354E-4</v>
      </c>
      <c r="R154" s="356">
        <f t="shared" ca="1" si="43"/>
        <v>1.9845113769923071E-2</v>
      </c>
      <c r="S154" s="95">
        <f t="shared" ca="1" si="44"/>
        <v>0.22522415520249936</v>
      </c>
      <c r="T154" s="13"/>
    </row>
    <row r="155" spans="5:20" s="373" customFormat="1" x14ac:dyDescent="0.25">
      <c r="E155" s="75"/>
      <c r="F155" s="13"/>
      <c r="G155" s="148" t="str">
        <f ca="1"/>
        <v>USD MIDCURVE WEDGE 18M3Y VS 18M1Y/18M1Y1Y/18M2Y1Y</v>
      </c>
      <c r="H155" s="143">
        <f t="shared" ca="1" si="40"/>
        <v>-6982386.5557179563</v>
      </c>
      <c r="I155" s="144">
        <f t="shared" ca="1" si="40"/>
        <v>-29588.344458011063</v>
      </c>
      <c r="J155" s="144">
        <f t="shared" ca="1" si="40"/>
        <v>-64755.934717318705</v>
      </c>
      <c r="K155" s="144">
        <f t="shared" ca="1" si="40"/>
        <v>-54.170892773523519</v>
      </c>
      <c r="L155" s="144">
        <f t="shared" ca="1" si="40"/>
        <v>1922230.6350266477</v>
      </c>
      <c r="M155" s="155">
        <f t="shared" ca="1" si="40"/>
        <v>302362.70455722755</v>
      </c>
      <c r="N155" s="156">
        <f t="shared" ca="1" si="39"/>
        <v>2791756.7764904019</v>
      </c>
      <c r="O155" s="146">
        <f t="shared" ca="1" si="39"/>
        <v>-629197.88553237845</v>
      </c>
      <c r="P155" s="36">
        <f t="shared" ca="1" si="41"/>
        <v>9.6762133182644282E-3</v>
      </c>
      <c r="Q155" s="36">
        <f t="shared" ca="1" si="42"/>
        <v>-2.1807963398107824E-3</v>
      </c>
      <c r="R155" s="356">
        <f t="shared" ca="1" si="43"/>
        <v>-6.8697556881948091E-2</v>
      </c>
      <c r="S155" s="95">
        <f t="shared" ca="1" si="44"/>
        <v>-0.22537704245258841</v>
      </c>
      <c r="T155" s="13"/>
    </row>
    <row r="156" spans="5:20" s="373" customFormat="1" x14ac:dyDescent="0.25">
      <c r="E156" s="75"/>
      <c r="F156" s="13"/>
      <c r="G156" s="148" t="str">
        <f ca="1"/>
        <v>LONG USD 10Y10Y VEGA</v>
      </c>
      <c r="H156" s="143">
        <f t="shared" ca="1" si="40"/>
        <v>213312.07369792394</v>
      </c>
      <c r="I156" s="144">
        <f t="shared" ca="1" si="40"/>
        <v>2892.7074875307117</v>
      </c>
      <c r="J156" s="144">
        <f t="shared" ca="1" si="40"/>
        <v>6508.1344564028386</v>
      </c>
      <c r="K156" s="144">
        <f t="shared" ca="1" si="40"/>
        <v>712.55948779980622</v>
      </c>
      <c r="L156" s="144">
        <f t="shared" ca="1" si="40"/>
        <v>-407581.55380905891</v>
      </c>
      <c r="M156" s="155">
        <f t="shared" ca="1" si="40"/>
        <v>-111181.8111348505</v>
      </c>
      <c r="N156" s="156">
        <f t="shared" ca="1" si="39"/>
        <v>366182.83699618682</v>
      </c>
      <c r="O156" s="146">
        <f t="shared" ca="1" si="39"/>
        <v>188771.70457698964</v>
      </c>
      <c r="P156" s="36">
        <f t="shared" ca="1" si="41"/>
        <v>1.2691876577861103E-3</v>
      </c>
      <c r="Q156" s="36">
        <f t="shared" ca="1" si="42"/>
        <v>6.5428166856126011E-4</v>
      </c>
      <c r="R156" s="356">
        <f t="shared" ca="1" si="43"/>
        <v>2.0610614261532996E-2</v>
      </c>
      <c r="S156" s="95">
        <f t="shared" ca="1" si="44"/>
        <v>0.51551215814889573</v>
      </c>
      <c r="T156" s="13"/>
    </row>
    <row r="157" spans="5:20" s="373" customFormat="1" x14ac:dyDescent="0.25">
      <c r="E157" s="75"/>
      <c r="F157" s="13"/>
      <c r="G157" s="148" t="str">
        <f ca="1"/>
        <v>LONG USD 3Y30Y VEGA</v>
      </c>
      <c r="H157" s="143">
        <f t="shared" ref="H157:M172" ca="1" si="45">IF(NOT(ISTEXT($G157)),"",IFERROR(INDEX(macro_factor_exposures,MATCH($G157,OFFSET(macro_factor_exposures,0,0,,1),0),MATCH(H$115,OFFSET(macro_factor_exposures,0,0,1),0)),0))</f>
        <v>-17686014.462798208</v>
      </c>
      <c r="I157" s="144">
        <f t="shared" ca="1" si="45"/>
        <v>-41505.507586312451</v>
      </c>
      <c r="J157" s="144">
        <f t="shared" ca="1" si="45"/>
        <v>-60862.115886468178</v>
      </c>
      <c r="K157" s="144">
        <f t="shared" ca="1" si="45"/>
        <v>7670.4354223050705</v>
      </c>
      <c r="L157" s="144">
        <f t="shared" ca="1" si="45"/>
        <v>-5782246.9416982615</v>
      </c>
      <c r="M157" s="155">
        <f t="shared" ca="1" si="45"/>
        <v>-528736.22831752687</v>
      </c>
      <c r="N157" s="156">
        <f t="shared" ref="N157:O172" ca="1" si="46">IF(NOT(ISTEXT($G157)),"",IFERROR(INDEX(macro_factor_exposures,MATCH($G157,OFFSET(macro_factor_exposures,0,0,,1),0),MATCH(N$115&amp;LEFT($N$114,1),OFFSET(macro_factor_exposures,0,0,1),0)),0))</f>
        <v>2712136.1794204311</v>
      </c>
      <c r="O157" s="146">
        <f t="shared" ca="1" si="46"/>
        <v>-508732.51213276316</v>
      </c>
      <c r="P157" s="36">
        <f t="shared" ca="1" si="41"/>
        <v>9.4002487756995341E-3</v>
      </c>
      <c r="Q157" s="36">
        <f t="shared" ca="1" si="42"/>
        <v>-1.7632640317332767E-3</v>
      </c>
      <c r="R157" s="356">
        <f t="shared" ca="1" si="43"/>
        <v>-5.5544815857678828E-2</v>
      </c>
      <c r="S157" s="95">
        <f t="shared" ca="1" si="44"/>
        <v>-0.18757631567065197</v>
      </c>
      <c r="T157" s="13"/>
    </row>
    <row r="158" spans="5:20" s="373" customFormat="1" x14ac:dyDescent="0.25">
      <c r="E158" s="75"/>
      <c r="F158" s="13"/>
      <c r="G158" s="148" t="str">
        <f ca="1"/>
        <v>LONG USD 5Y30Y VEGA</v>
      </c>
      <c r="H158" s="143">
        <f t="shared" ca="1" si="45"/>
        <v>15820930.920579838</v>
      </c>
      <c r="I158" s="144">
        <f t="shared" ca="1" si="45"/>
        <v>45606.109506395405</v>
      </c>
      <c r="J158" s="144">
        <f t="shared" ca="1" si="45"/>
        <v>77811.986353023647</v>
      </c>
      <c r="K158" s="144">
        <f t="shared" ca="1" si="45"/>
        <v>-1981.8250175245284</v>
      </c>
      <c r="L158" s="144">
        <f t="shared" ca="1" si="45"/>
        <v>2027639.0031035636</v>
      </c>
      <c r="M158" s="155">
        <f t="shared" ca="1" si="45"/>
        <v>-301519.55728285469</v>
      </c>
      <c r="N158" s="156">
        <f t="shared" ca="1" si="46"/>
        <v>2997365.7066791616</v>
      </c>
      <c r="O158" s="146">
        <f t="shared" ca="1" si="46"/>
        <v>1377996.5695990918</v>
      </c>
      <c r="P158" s="36">
        <f t="shared" ca="1" si="41"/>
        <v>1.0388852716295246E-2</v>
      </c>
      <c r="Q158" s="36">
        <f t="shared" ca="1" si="42"/>
        <v>4.7761283760685332E-3</v>
      </c>
      <c r="R158" s="356">
        <f t="shared" ca="1" si="43"/>
        <v>0.1504534581248072</v>
      </c>
      <c r="S158" s="95">
        <f t="shared" ca="1" si="44"/>
        <v>0.45973588292160722</v>
      </c>
      <c r="T158" s="13"/>
    </row>
    <row r="159" spans="5:20" s="373" customFormat="1" x14ac:dyDescent="0.25">
      <c r="E159" s="75"/>
      <c r="F159" s="13"/>
      <c r="G159" s="148">
        <f ca="1"/>
        <v>0</v>
      </c>
      <c r="H159" s="143" t="str">
        <f t="shared" ca="1" si="45"/>
        <v/>
      </c>
      <c r="I159" s="144" t="str">
        <f t="shared" ca="1" si="45"/>
        <v/>
      </c>
      <c r="J159" s="144" t="str">
        <f t="shared" ca="1" si="45"/>
        <v/>
      </c>
      <c r="K159" s="144" t="str">
        <f t="shared" ca="1" si="45"/>
        <v/>
      </c>
      <c r="L159" s="144" t="str">
        <f t="shared" ca="1" si="45"/>
        <v/>
      </c>
      <c r="M159" s="155" t="str">
        <f t="shared" ca="1" si="45"/>
        <v/>
      </c>
      <c r="N159" s="156" t="str">
        <f t="shared" ca="1" si="46"/>
        <v/>
      </c>
      <c r="O159" s="146" t="str">
        <f t="shared" ca="1" si="46"/>
        <v/>
      </c>
      <c r="P159" s="36" t="str">
        <f t="shared" ca="1" si="41"/>
        <v/>
      </c>
      <c r="Q159" s="36" t="str">
        <f t="shared" ca="1" si="42"/>
        <v/>
      </c>
      <c r="R159" s="356" t="str">
        <f t="shared" ca="1" si="43"/>
        <v/>
      </c>
      <c r="S159" s="95" t="str">
        <f t="shared" ca="1" si="44"/>
        <v/>
      </c>
      <c r="T159" s="13"/>
    </row>
    <row r="160" spans="5:20" s="373" customFormat="1" x14ac:dyDescent="0.25">
      <c r="E160" s="75"/>
      <c r="F160" s="13"/>
      <c r="G160" s="148">
        <f ca="1"/>
        <v>0</v>
      </c>
      <c r="H160" s="143" t="str">
        <f t="shared" ca="1" si="45"/>
        <v/>
      </c>
      <c r="I160" s="144" t="str">
        <f t="shared" ca="1" si="45"/>
        <v/>
      </c>
      <c r="J160" s="144" t="str">
        <f t="shared" ca="1" si="45"/>
        <v/>
      </c>
      <c r="K160" s="144" t="str">
        <f t="shared" ca="1" si="45"/>
        <v/>
      </c>
      <c r="L160" s="144" t="str">
        <f t="shared" ca="1" si="45"/>
        <v/>
      </c>
      <c r="M160" s="155" t="str">
        <f t="shared" ca="1" si="45"/>
        <v/>
      </c>
      <c r="N160" s="156" t="str">
        <f t="shared" ca="1" si="46"/>
        <v/>
      </c>
      <c r="O160" s="146" t="str">
        <f t="shared" ca="1" si="46"/>
        <v/>
      </c>
      <c r="P160" s="36" t="str">
        <f t="shared" ca="1" si="41"/>
        <v/>
      </c>
      <c r="Q160" s="36" t="str">
        <f t="shared" ca="1" si="42"/>
        <v/>
      </c>
      <c r="R160" s="356" t="str">
        <f t="shared" ca="1" si="43"/>
        <v/>
      </c>
      <c r="S160" s="95" t="str">
        <f t="shared" ca="1" si="44"/>
        <v/>
      </c>
      <c r="T160" s="13"/>
    </row>
    <row r="161" spans="5:20" s="373" customFormat="1" x14ac:dyDescent="0.25">
      <c r="E161" s="75"/>
      <c r="F161" s="13"/>
      <c r="G161" s="148">
        <f ca="1"/>
        <v>0</v>
      </c>
      <c r="H161" s="143" t="str">
        <f t="shared" ca="1" si="45"/>
        <v/>
      </c>
      <c r="I161" s="144" t="str">
        <f t="shared" ca="1" si="45"/>
        <v/>
      </c>
      <c r="J161" s="144" t="str">
        <f t="shared" ca="1" si="45"/>
        <v/>
      </c>
      <c r="K161" s="144" t="str">
        <f t="shared" ca="1" si="45"/>
        <v/>
      </c>
      <c r="L161" s="144" t="str">
        <f t="shared" ca="1" si="45"/>
        <v/>
      </c>
      <c r="M161" s="155" t="str">
        <f t="shared" ca="1" si="45"/>
        <v/>
      </c>
      <c r="N161" s="156" t="str">
        <f t="shared" ca="1" si="46"/>
        <v/>
      </c>
      <c r="O161" s="146" t="str">
        <f t="shared" ca="1" si="46"/>
        <v/>
      </c>
      <c r="P161" s="36" t="str">
        <f t="shared" ca="1" si="41"/>
        <v/>
      </c>
      <c r="Q161" s="36" t="str">
        <f t="shared" ca="1" si="42"/>
        <v/>
      </c>
      <c r="R161" s="356" t="str">
        <f t="shared" ca="1" si="43"/>
        <v/>
      </c>
      <c r="S161" s="95" t="str">
        <f t="shared" ca="1" si="44"/>
        <v/>
      </c>
      <c r="T161" s="13"/>
    </row>
    <row r="162" spans="5:20" s="373" customFormat="1" x14ac:dyDescent="0.25">
      <c r="E162" s="75"/>
      <c r="F162" s="13"/>
      <c r="G162" s="148">
        <f ca="1"/>
        <v>0</v>
      </c>
      <c r="H162" s="143" t="str">
        <f t="shared" ca="1" si="45"/>
        <v/>
      </c>
      <c r="I162" s="144" t="str">
        <f t="shared" ca="1" si="45"/>
        <v/>
      </c>
      <c r="J162" s="144" t="str">
        <f t="shared" ca="1" si="45"/>
        <v/>
      </c>
      <c r="K162" s="144" t="str">
        <f t="shared" ca="1" si="45"/>
        <v/>
      </c>
      <c r="L162" s="144" t="str">
        <f t="shared" ca="1" si="45"/>
        <v/>
      </c>
      <c r="M162" s="155" t="str">
        <f t="shared" ca="1" si="45"/>
        <v/>
      </c>
      <c r="N162" s="156" t="str">
        <f t="shared" ca="1" si="46"/>
        <v/>
      </c>
      <c r="O162" s="146" t="str">
        <f t="shared" ca="1" si="46"/>
        <v/>
      </c>
      <c r="P162" s="36" t="str">
        <f t="shared" ca="1" si="41"/>
        <v/>
      </c>
      <c r="Q162" s="36" t="str">
        <f t="shared" ca="1" si="42"/>
        <v/>
      </c>
      <c r="R162" s="356" t="str">
        <f t="shared" ca="1" si="43"/>
        <v/>
      </c>
      <c r="S162" s="95" t="str">
        <f t="shared" ca="1" si="44"/>
        <v/>
      </c>
      <c r="T162" s="13"/>
    </row>
    <row r="163" spans="5:20" s="373" customFormat="1" x14ac:dyDescent="0.25">
      <c r="E163" s="75"/>
      <c r="F163" s="13"/>
      <c r="G163" s="148">
        <f ca="1"/>
        <v>0</v>
      </c>
      <c r="H163" s="143" t="str">
        <f t="shared" ca="1" si="45"/>
        <v/>
      </c>
      <c r="I163" s="144" t="str">
        <f t="shared" ca="1" si="45"/>
        <v/>
      </c>
      <c r="J163" s="144" t="str">
        <f t="shared" ca="1" si="45"/>
        <v/>
      </c>
      <c r="K163" s="144" t="str">
        <f t="shared" ca="1" si="45"/>
        <v/>
      </c>
      <c r="L163" s="144" t="str">
        <f t="shared" ca="1" si="45"/>
        <v/>
      </c>
      <c r="M163" s="155" t="str">
        <f t="shared" ca="1" si="45"/>
        <v/>
      </c>
      <c r="N163" s="156" t="str">
        <f t="shared" ca="1" si="46"/>
        <v/>
      </c>
      <c r="O163" s="146" t="str">
        <f t="shared" ca="1" si="46"/>
        <v/>
      </c>
      <c r="P163" s="36" t="str">
        <f t="shared" ca="1" si="41"/>
        <v/>
      </c>
      <c r="Q163" s="36" t="str">
        <f t="shared" ca="1" si="42"/>
        <v/>
      </c>
      <c r="R163" s="356" t="str">
        <f t="shared" ca="1" si="43"/>
        <v/>
      </c>
      <c r="S163" s="95" t="str">
        <f t="shared" ca="1" si="44"/>
        <v/>
      </c>
      <c r="T163" s="13"/>
    </row>
    <row r="164" spans="5:20" s="373" customFormat="1" x14ac:dyDescent="0.25">
      <c r="E164" s="75"/>
      <c r="F164" s="13"/>
      <c r="G164" s="148">
        <f ca="1"/>
        <v>0</v>
      </c>
      <c r="H164" s="143" t="str">
        <f t="shared" ca="1" si="45"/>
        <v/>
      </c>
      <c r="I164" s="144" t="str">
        <f t="shared" ca="1" si="45"/>
        <v/>
      </c>
      <c r="J164" s="144" t="str">
        <f t="shared" ca="1" si="45"/>
        <v/>
      </c>
      <c r="K164" s="144" t="str">
        <f t="shared" ca="1" si="45"/>
        <v/>
      </c>
      <c r="L164" s="144" t="str">
        <f t="shared" ca="1" si="45"/>
        <v/>
      </c>
      <c r="M164" s="155" t="str">
        <f t="shared" ca="1" si="45"/>
        <v/>
      </c>
      <c r="N164" s="156" t="str">
        <f t="shared" ca="1" si="46"/>
        <v/>
      </c>
      <c r="O164" s="146" t="str">
        <f t="shared" ca="1" si="46"/>
        <v/>
      </c>
      <c r="P164" s="36" t="str">
        <f t="shared" ca="1" si="41"/>
        <v/>
      </c>
      <c r="Q164" s="36" t="str">
        <f t="shared" ca="1" si="42"/>
        <v/>
      </c>
      <c r="R164" s="356" t="str">
        <f t="shared" ca="1" si="43"/>
        <v/>
      </c>
      <c r="S164" s="95" t="str">
        <f t="shared" ca="1" si="44"/>
        <v/>
      </c>
      <c r="T164" s="13"/>
    </row>
    <row r="165" spans="5:20" s="373" customFormat="1" x14ac:dyDescent="0.25">
      <c r="E165" s="75"/>
      <c r="F165" s="13"/>
      <c r="G165" s="148">
        <f ca="1"/>
        <v>0</v>
      </c>
      <c r="H165" s="143" t="str">
        <f t="shared" ca="1" si="45"/>
        <v/>
      </c>
      <c r="I165" s="144" t="str">
        <f t="shared" ca="1" si="45"/>
        <v/>
      </c>
      <c r="J165" s="144" t="str">
        <f t="shared" ca="1" si="45"/>
        <v/>
      </c>
      <c r="K165" s="144" t="str">
        <f t="shared" ca="1" si="45"/>
        <v/>
      </c>
      <c r="L165" s="144" t="str">
        <f t="shared" ca="1" si="45"/>
        <v/>
      </c>
      <c r="M165" s="155" t="str">
        <f t="shared" ca="1" si="45"/>
        <v/>
      </c>
      <c r="N165" s="156" t="str">
        <f t="shared" ca="1" si="46"/>
        <v/>
      </c>
      <c r="O165" s="146" t="str">
        <f t="shared" ca="1" si="46"/>
        <v/>
      </c>
      <c r="P165" s="36" t="str">
        <f t="shared" ca="1" si="41"/>
        <v/>
      </c>
      <c r="Q165" s="36" t="str">
        <f t="shared" ca="1" si="42"/>
        <v/>
      </c>
      <c r="R165" s="356" t="str">
        <f t="shared" ca="1" si="43"/>
        <v/>
      </c>
      <c r="S165" s="95" t="str">
        <f t="shared" ca="1" si="44"/>
        <v/>
      </c>
      <c r="T165" s="13"/>
    </row>
    <row r="166" spans="5:20" s="373" customFormat="1" x14ac:dyDescent="0.25">
      <c r="E166" s="75"/>
      <c r="F166" s="13"/>
      <c r="G166" s="148">
        <f ca="1"/>
        <v>0</v>
      </c>
      <c r="H166" s="143" t="str">
        <f t="shared" ca="1" si="45"/>
        <v/>
      </c>
      <c r="I166" s="144" t="str">
        <f t="shared" ca="1" si="45"/>
        <v/>
      </c>
      <c r="J166" s="144" t="str">
        <f t="shared" ca="1" si="45"/>
        <v/>
      </c>
      <c r="K166" s="144" t="str">
        <f t="shared" ca="1" si="45"/>
        <v/>
      </c>
      <c r="L166" s="144" t="str">
        <f t="shared" ca="1" si="45"/>
        <v/>
      </c>
      <c r="M166" s="155" t="str">
        <f t="shared" ca="1" si="45"/>
        <v/>
      </c>
      <c r="N166" s="156" t="str">
        <f t="shared" ca="1" si="46"/>
        <v/>
      </c>
      <c r="O166" s="146" t="str">
        <f t="shared" ca="1" si="46"/>
        <v/>
      </c>
      <c r="P166" s="36" t="str">
        <f t="shared" ca="1" si="41"/>
        <v/>
      </c>
      <c r="Q166" s="36" t="str">
        <f t="shared" ca="1" si="42"/>
        <v/>
      </c>
      <c r="R166" s="356" t="str">
        <f t="shared" ca="1" si="43"/>
        <v/>
      </c>
      <c r="S166" s="95" t="str">
        <f t="shared" ca="1" si="44"/>
        <v/>
      </c>
      <c r="T166" s="13"/>
    </row>
    <row r="167" spans="5:20" s="411" customFormat="1" x14ac:dyDescent="0.25">
      <c r="E167" s="75"/>
      <c r="F167" s="13"/>
      <c r="G167" s="148">
        <f ca="1"/>
        <v>0</v>
      </c>
      <c r="H167" s="143" t="str">
        <f t="shared" ca="1" si="45"/>
        <v/>
      </c>
      <c r="I167" s="410" t="str">
        <f t="shared" ca="1" si="45"/>
        <v/>
      </c>
      <c r="J167" s="410" t="str">
        <f t="shared" ca="1" si="45"/>
        <v/>
      </c>
      <c r="K167" s="410" t="str">
        <f t="shared" ca="1" si="45"/>
        <v/>
      </c>
      <c r="L167" s="410" t="str">
        <f t="shared" ca="1" si="45"/>
        <v/>
      </c>
      <c r="M167" s="155" t="str">
        <f t="shared" ca="1" si="45"/>
        <v/>
      </c>
      <c r="N167" s="156" t="str">
        <f t="shared" ca="1" si="46"/>
        <v/>
      </c>
      <c r="O167" s="146" t="str">
        <f t="shared" ca="1" si="46"/>
        <v/>
      </c>
      <c r="P167" s="36" t="str">
        <f t="shared" ref="P167:P178" ca="1" si="47">IF(NOT(ISTEXT($G167)),"",N167/Nav)</f>
        <v/>
      </c>
      <c r="Q167" s="36" t="str">
        <f t="shared" ref="Q167:Q178" ca="1" si="48">IF(NOT(ISTEXT($G167)),"",O167/Nav)</f>
        <v/>
      </c>
      <c r="R167" s="356" t="str">
        <f t="shared" ref="R167:R178" ca="1" si="49">IF(NOT(ISTEXT($G167)),"",O167/portfolio_volatility)</f>
        <v/>
      </c>
      <c r="S167" s="95" t="str">
        <f t="shared" ca="1" si="44"/>
        <v/>
      </c>
      <c r="T167" s="13"/>
    </row>
    <row r="168" spans="5:20" s="411" customFormat="1" x14ac:dyDescent="0.25">
      <c r="E168" s="75"/>
      <c r="F168" s="13"/>
      <c r="G168" s="148">
        <f ca="1"/>
        <v>0</v>
      </c>
      <c r="H168" s="143" t="str">
        <f t="shared" ca="1" si="45"/>
        <v/>
      </c>
      <c r="I168" s="410" t="str">
        <f t="shared" ca="1" si="45"/>
        <v/>
      </c>
      <c r="J168" s="410" t="str">
        <f t="shared" ca="1" si="45"/>
        <v/>
      </c>
      <c r="K168" s="410" t="str">
        <f t="shared" ca="1" si="45"/>
        <v/>
      </c>
      <c r="L168" s="410" t="str">
        <f t="shared" ca="1" si="45"/>
        <v/>
      </c>
      <c r="M168" s="155" t="str">
        <f t="shared" ca="1" si="45"/>
        <v/>
      </c>
      <c r="N168" s="156" t="str">
        <f t="shared" ca="1" si="46"/>
        <v/>
      </c>
      <c r="O168" s="146" t="str">
        <f t="shared" ca="1" si="46"/>
        <v/>
      </c>
      <c r="P168" s="36" t="str">
        <f t="shared" ca="1" si="47"/>
        <v/>
      </c>
      <c r="Q168" s="36" t="str">
        <f t="shared" ca="1" si="48"/>
        <v/>
      </c>
      <c r="R168" s="356" t="str">
        <f t="shared" ca="1" si="49"/>
        <v/>
      </c>
      <c r="S168" s="95" t="str">
        <f t="shared" ca="1" si="44"/>
        <v/>
      </c>
      <c r="T168" s="13"/>
    </row>
    <row r="169" spans="5:20" s="411" customFormat="1" x14ac:dyDescent="0.25">
      <c r="E169" s="75"/>
      <c r="F169" s="13"/>
      <c r="G169" s="148">
        <f ca="1"/>
        <v>0</v>
      </c>
      <c r="H169" s="143" t="str">
        <f t="shared" ca="1" si="45"/>
        <v/>
      </c>
      <c r="I169" s="410" t="str">
        <f t="shared" ca="1" si="45"/>
        <v/>
      </c>
      <c r="J169" s="410" t="str">
        <f t="shared" ca="1" si="45"/>
        <v/>
      </c>
      <c r="K169" s="410" t="str">
        <f t="shared" ca="1" si="45"/>
        <v/>
      </c>
      <c r="L169" s="410" t="str">
        <f t="shared" ca="1" si="45"/>
        <v/>
      </c>
      <c r="M169" s="155" t="str">
        <f t="shared" ca="1" si="45"/>
        <v/>
      </c>
      <c r="N169" s="156" t="str">
        <f t="shared" ca="1" si="46"/>
        <v/>
      </c>
      <c r="O169" s="146" t="str">
        <f t="shared" ca="1" si="46"/>
        <v/>
      </c>
      <c r="P169" s="36" t="str">
        <f t="shared" ca="1" si="47"/>
        <v/>
      </c>
      <c r="Q169" s="36" t="str">
        <f t="shared" ca="1" si="48"/>
        <v/>
      </c>
      <c r="R169" s="356" t="str">
        <f t="shared" ca="1" si="49"/>
        <v/>
      </c>
      <c r="S169" s="95" t="str">
        <f t="shared" ca="1" si="44"/>
        <v/>
      </c>
      <c r="T169" s="13"/>
    </row>
    <row r="170" spans="5:20" s="411" customFormat="1" x14ac:dyDescent="0.25">
      <c r="E170" s="75"/>
      <c r="F170" s="13"/>
      <c r="G170" s="148">
        <f ca="1"/>
        <v>0</v>
      </c>
      <c r="H170" s="143" t="str">
        <f t="shared" ca="1" si="45"/>
        <v/>
      </c>
      <c r="I170" s="410" t="str">
        <f t="shared" ca="1" si="45"/>
        <v/>
      </c>
      <c r="J170" s="410" t="str">
        <f t="shared" ca="1" si="45"/>
        <v/>
      </c>
      <c r="K170" s="410" t="str">
        <f t="shared" ca="1" si="45"/>
        <v/>
      </c>
      <c r="L170" s="410" t="str">
        <f t="shared" ca="1" si="45"/>
        <v/>
      </c>
      <c r="M170" s="155" t="str">
        <f t="shared" ca="1" si="45"/>
        <v/>
      </c>
      <c r="N170" s="156" t="str">
        <f t="shared" ca="1" si="46"/>
        <v/>
      </c>
      <c r="O170" s="146" t="str">
        <f t="shared" ca="1" si="46"/>
        <v/>
      </c>
      <c r="P170" s="36" t="str">
        <f t="shared" ca="1" si="47"/>
        <v/>
      </c>
      <c r="Q170" s="36" t="str">
        <f t="shared" ca="1" si="48"/>
        <v/>
      </c>
      <c r="R170" s="356" t="str">
        <f t="shared" ca="1" si="49"/>
        <v/>
      </c>
      <c r="S170" s="95" t="str">
        <f t="shared" ca="1" si="44"/>
        <v/>
      </c>
      <c r="T170" s="13"/>
    </row>
    <row r="171" spans="5:20" s="411" customFormat="1" x14ac:dyDescent="0.25">
      <c r="E171" s="75"/>
      <c r="F171" s="13"/>
      <c r="G171" s="148">
        <f ca="1"/>
        <v>0</v>
      </c>
      <c r="H171" s="143" t="str">
        <f t="shared" ca="1" si="45"/>
        <v/>
      </c>
      <c r="I171" s="410" t="str">
        <f t="shared" ca="1" si="45"/>
        <v/>
      </c>
      <c r="J171" s="410" t="str">
        <f t="shared" ca="1" si="45"/>
        <v/>
      </c>
      <c r="K171" s="410" t="str">
        <f t="shared" ca="1" si="45"/>
        <v/>
      </c>
      <c r="L171" s="410" t="str">
        <f t="shared" ca="1" si="45"/>
        <v/>
      </c>
      <c r="M171" s="155" t="str">
        <f t="shared" ca="1" si="45"/>
        <v/>
      </c>
      <c r="N171" s="156" t="str">
        <f t="shared" ca="1" si="46"/>
        <v/>
      </c>
      <c r="O171" s="146" t="str">
        <f t="shared" ca="1" si="46"/>
        <v/>
      </c>
      <c r="P171" s="36" t="str">
        <f t="shared" ca="1" si="47"/>
        <v/>
      </c>
      <c r="Q171" s="36" t="str">
        <f t="shared" ca="1" si="48"/>
        <v/>
      </c>
      <c r="R171" s="356" t="str">
        <f t="shared" ca="1" si="49"/>
        <v/>
      </c>
      <c r="S171" s="95" t="str">
        <f t="shared" ca="1" si="44"/>
        <v/>
      </c>
      <c r="T171" s="13"/>
    </row>
    <row r="172" spans="5:20" s="411" customFormat="1" x14ac:dyDescent="0.25">
      <c r="E172" s="75"/>
      <c r="F172" s="13"/>
      <c r="G172" s="148">
        <f ca="1"/>
        <v>0</v>
      </c>
      <c r="H172" s="143" t="str">
        <f t="shared" ca="1" si="45"/>
        <v/>
      </c>
      <c r="I172" s="410" t="str">
        <f t="shared" ca="1" si="45"/>
        <v/>
      </c>
      <c r="J172" s="410" t="str">
        <f t="shared" ca="1" si="45"/>
        <v/>
      </c>
      <c r="K172" s="410" t="str">
        <f t="shared" ca="1" si="45"/>
        <v/>
      </c>
      <c r="L172" s="410" t="str">
        <f t="shared" ca="1" si="45"/>
        <v/>
      </c>
      <c r="M172" s="155" t="str">
        <f t="shared" ca="1" si="45"/>
        <v/>
      </c>
      <c r="N172" s="156" t="str">
        <f t="shared" ca="1" si="46"/>
        <v/>
      </c>
      <c r="O172" s="146" t="str">
        <f t="shared" ca="1" si="46"/>
        <v/>
      </c>
      <c r="P172" s="36" t="str">
        <f t="shared" ca="1" si="47"/>
        <v/>
      </c>
      <c r="Q172" s="36" t="str">
        <f t="shared" ca="1" si="48"/>
        <v/>
      </c>
      <c r="R172" s="356" t="str">
        <f t="shared" ca="1" si="49"/>
        <v/>
      </c>
      <c r="S172" s="95" t="str">
        <f t="shared" ca="1" si="44"/>
        <v/>
      </c>
      <c r="T172" s="13"/>
    </row>
    <row r="173" spans="5:20" s="411" customFormat="1" x14ac:dyDescent="0.25">
      <c r="E173" s="75"/>
      <c r="F173" s="13"/>
      <c r="G173" s="148">
        <f ca="1"/>
        <v>0</v>
      </c>
      <c r="H173" s="143" t="str">
        <f t="shared" ref="H173:M186" ca="1" si="50">IF(NOT(ISTEXT($G173)),"",IFERROR(INDEX(macro_factor_exposures,MATCH($G173,OFFSET(macro_factor_exposures,0,0,,1),0),MATCH(H$115,OFFSET(macro_factor_exposures,0,0,1),0)),0))</f>
        <v/>
      </c>
      <c r="I173" s="410" t="str">
        <f t="shared" ca="1" si="50"/>
        <v/>
      </c>
      <c r="J173" s="410" t="str">
        <f t="shared" ca="1" si="50"/>
        <v/>
      </c>
      <c r="K173" s="410" t="str">
        <f t="shared" ca="1" si="50"/>
        <v/>
      </c>
      <c r="L173" s="410" t="str">
        <f t="shared" ca="1" si="50"/>
        <v/>
      </c>
      <c r="M173" s="155" t="str">
        <f t="shared" ca="1" si="50"/>
        <v/>
      </c>
      <c r="N173" s="156" t="str">
        <f t="shared" ref="N173:O186" ca="1" si="51">IF(NOT(ISTEXT($G173)),"",IFERROR(INDEX(macro_factor_exposures,MATCH($G173,OFFSET(macro_factor_exposures,0,0,,1),0),MATCH(N$115&amp;LEFT($N$114,1),OFFSET(macro_factor_exposures,0,0,1),0)),0))</f>
        <v/>
      </c>
      <c r="O173" s="146" t="str">
        <f t="shared" ca="1" si="51"/>
        <v/>
      </c>
      <c r="P173" s="36" t="str">
        <f t="shared" ca="1" si="47"/>
        <v/>
      </c>
      <c r="Q173" s="36" t="str">
        <f t="shared" ca="1" si="48"/>
        <v/>
      </c>
      <c r="R173" s="356" t="str">
        <f t="shared" ca="1" si="49"/>
        <v/>
      </c>
      <c r="S173" s="95" t="str">
        <f t="shared" ca="1" si="44"/>
        <v/>
      </c>
      <c r="T173" s="13"/>
    </row>
    <row r="174" spans="5:20" s="411" customFormat="1" x14ac:dyDescent="0.25">
      <c r="E174" s="75"/>
      <c r="F174" s="13"/>
      <c r="G174" s="148">
        <f ca="1"/>
        <v>0</v>
      </c>
      <c r="H174" s="143" t="str">
        <f t="shared" ca="1" si="50"/>
        <v/>
      </c>
      <c r="I174" s="410" t="str">
        <f t="shared" ca="1" si="50"/>
        <v/>
      </c>
      <c r="J174" s="410" t="str">
        <f t="shared" ca="1" si="50"/>
        <v/>
      </c>
      <c r="K174" s="410" t="str">
        <f t="shared" ca="1" si="50"/>
        <v/>
      </c>
      <c r="L174" s="410" t="str">
        <f t="shared" ca="1" si="50"/>
        <v/>
      </c>
      <c r="M174" s="155" t="str">
        <f t="shared" ca="1" si="50"/>
        <v/>
      </c>
      <c r="N174" s="156" t="str">
        <f t="shared" ca="1" si="51"/>
        <v/>
      </c>
      <c r="O174" s="146" t="str">
        <f t="shared" ca="1" si="51"/>
        <v/>
      </c>
      <c r="P174" s="36" t="str">
        <f t="shared" ca="1" si="47"/>
        <v/>
      </c>
      <c r="Q174" s="36" t="str">
        <f t="shared" ca="1" si="48"/>
        <v/>
      </c>
      <c r="R174" s="356" t="str">
        <f t="shared" ca="1" si="49"/>
        <v/>
      </c>
      <c r="S174" s="95" t="str">
        <f t="shared" ca="1" si="44"/>
        <v/>
      </c>
      <c r="T174" s="13"/>
    </row>
    <row r="175" spans="5:20" s="411" customFormat="1" x14ac:dyDescent="0.25">
      <c r="E175" s="75"/>
      <c r="F175" s="13"/>
      <c r="G175" s="148">
        <f ca="1"/>
        <v>0</v>
      </c>
      <c r="H175" s="143" t="str">
        <f t="shared" ca="1" si="50"/>
        <v/>
      </c>
      <c r="I175" s="410" t="str">
        <f t="shared" ca="1" si="50"/>
        <v/>
      </c>
      <c r="J175" s="410" t="str">
        <f t="shared" ca="1" si="50"/>
        <v/>
      </c>
      <c r="K175" s="410" t="str">
        <f t="shared" ca="1" si="50"/>
        <v/>
      </c>
      <c r="L175" s="410" t="str">
        <f t="shared" ca="1" si="50"/>
        <v/>
      </c>
      <c r="M175" s="155" t="str">
        <f t="shared" ca="1" si="50"/>
        <v/>
      </c>
      <c r="N175" s="156" t="str">
        <f t="shared" ca="1" si="51"/>
        <v/>
      </c>
      <c r="O175" s="146" t="str">
        <f t="shared" ca="1" si="51"/>
        <v/>
      </c>
      <c r="P175" s="36" t="str">
        <f t="shared" ca="1" si="47"/>
        <v/>
      </c>
      <c r="Q175" s="36" t="str">
        <f t="shared" ca="1" si="48"/>
        <v/>
      </c>
      <c r="R175" s="356" t="str">
        <f t="shared" ca="1" si="49"/>
        <v/>
      </c>
      <c r="S175" s="95" t="str">
        <f t="shared" ca="1" si="44"/>
        <v/>
      </c>
      <c r="T175" s="13"/>
    </row>
    <row r="176" spans="5:20" s="411" customFormat="1" x14ac:dyDescent="0.25">
      <c r="E176" s="75"/>
      <c r="F176" s="13"/>
      <c r="G176" s="148">
        <f ca="1"/>
        <v>0</v>
      </c>
      <c r="H176" s="143" t="str">
        <f t="shared" ca="1" si="50"/>
        <v/>
      </c>
      <c r="I176" s="410" t="str">
        <f t="shared" ca="1" si="50"/>
        <v/>
      </c>
      <c r="J176" s="410" t="str">
        <f t="shared" ca="1" si="50"/>
        <v/>
      </c>
      <c r="K176" s="410" t="str">
        <f t="shared" ca="1" si="50"/>
        <v/>
      </c>
      <c r="L176" s="410" t="str">
        <f t="shared" ca="1" si="50"/>
        <v/>
      </c>
      <c r="M176" s="155" t="str">
        <f t="shared" ca="1" si="50"/>
        <v/>
      </c>
      <c r="N176" s="156" t="str">
        <f t="shared" ca="1" si="51"/>
        <v/>
      </c>
      <c r="O176" s="146" t="str">
        <f t="shared" ca="1" si="51"/>
        <v/>
      </c>
      <c r="P176" s="36" t="str">
        <f t="shared" ca="1" si="47"/>
        <v/>
      </c>
      <c r="Q176" s="36" t="str">
        <f t="shared" ca="1" si="48"/>
        <v/>
      </c>
      <c r="R176" s="356" t="str">
        <f t="shared" ca="1" si="49"/>
        <v/>
      </c>
      <c r="S176" s="95" t="str">
        <f t="shared" ca="1" si="44"/>
        <v/>
      </c>
      <c r="T176" s="13"/>
    </row>
    <row r="177" spans="3:20" s="411" customFormat="1" x14ac:dyDescent="0.25">
      <c r="E177" s="75"/>
      <c r="F177" s="13"/>
      <c r="G177" s="148">
        <f ca="1"/>
        <v>0</v>
      </c>
      <c r="H177" s="143" t="str">
        <f t="shared" ca="1" si="50"/>
        <v/>
      </c>
      <c r="I177" s="410" t="str">
        <f t="shared" ca="1" si="50"/>
        <v/>
      </c>
      <c r="J177" s="410" t="str">
        <f t="shared" ca="1" si="50"/>
        <v/>
      </c>
      <c r="K177" s="410" t="str">
        <f t="shared" ca="1" si="50"/>
        <v/>
      </c>
      <c r="L177" s="410" t="str">
        <f t="shared" ca="1" si="50"/>
        <v/>
      </c>
      <c r="M177" s="155" t="str">
        <f t="shared" ca="1" si="50"/>
        <v/>
      </c>
      <c r="N177" s="156" t="str">
        <f t="shared" ca="1" si="51"/>
        <v/>
      </c>
      <c r="O177" s="146" t="str">
        <f t="shared" ca="1" si="51"/>
        <v/>
      </c>
      <c r="P177" s="36" t="str">
        <f t="shared" ca="1" si="47"/>
        <v/>
      </c>
      <c r="Q177" s="36" t="str">
        <f t="shared" ca="1" si="48"/>
        <v/>
      </c>
      <c r="R177" s="356" t="str">
        <f t="shared" ca="1" si="49"/>
        <v/>
      </c>
      <c r="S177" s="95" t="str">
        <f t="shared" ca="1" si="44"/>
        <v/>
      </c>
      <c r="T177" s="13"/>
    </row>
    <row r="178" spans="3:20" s="411" customFormat="1" x14ac:dyDescent="0.25">
      <c r="E178" s="75"/>
      <c r="F178" s="13"/>
      <c r="G178" s="148">
        <f ca="1"/>
        <v>0</v>
      </c>
      <c r="H178" s="143" t="str">
        <f t="shared" ca="1" si="50"/>
        <v/>
      </c>
      <c r="I178" s="410" t="str">
        <f t="shared" ca="1" si="50"/>
        <v/>
      </c>
      <c r="J178" s="410" t="str">
        <f t="shared" ca="1" si="50"/>
        <v/>
      </c>
      <c r="K178" s="410" t="str">
        <f t="shared" ca="1" si="50"/>
        <v/>
      </c>
      <c r="L178" s="410" t="str">
        <f t="shared" ca="1" si="50"/>
        <v/>
      </c>
      <c r="M178" s="155" t="str">
        <f t="shared" ca="1" si="50"/>
        <v/>
      </c>
      <c r="N178" s="156" t="str">
        <f t="shared" ca="1" si="51"/>
        <v/>
      </c>
      <c r="O178" s="146" t="str">
        <f t="shared" ca="1" si="51"/>
        <v/>
      </c>
      <c r="P178" s="36" t="str">
        <f t="shared" ca="1" si="47"/>
        <v/>
      </c>
      <c r="Q178" s="36" t="str">
        <f t="shared" ca="1" si="48"/>
        <v/>
      </c>
      <c r="R178" s="356" t="str">
        <f t="shared" ca="1" si="49"/>
        <v/>
      </c>
      <c r="S178" s="95" t="str">
        <f t="shared" ca="1" si="44"/>
        <v/>
      </c>
      <c r="T178" s="13"/>
    </row>
    <row r="179" spans="3:20" s="412" customFormat="1" x14ac:dyDescent="0.25">
      <c r="E179" s="75"/>
      <c r="F179" s="13"/>
      <c r="G179" s="148">
        <f ca="1"/>
        <v>0</v>
      </c>
      <c r="H179" s="143" t="str">
        <f t="shared" ca="1" si="50"/>
        <v/>
      </c>
      <c r="I179" s="417" t="str">
        <f t="shared" ca="1" si="50"/>
        <v/>
      </c>
      <c r="J179" s="417" t="str">
        <f t="shared" ca="1" si="50"/>
        <v/>
      </c>
      <c r="K179" s="417" t="str">
        <f t="shared" ca="1" si="50"/>
        <v/>
      </c>
      <c r="L179" s="417" t="str">
        <f t="shared" ca="1" si="50"/>
        <v/>
      </c>
      <c r="M179" s="155" t="str">
        <f t="shared" ca="1" si="50"/>
        <v/>
      </c>
      <c r="N179" s="156" t="str">
        <f t="shared" ca="1" si="51"/>
        <v/>
      </c>
      <c r="O179" s="146" t="str">
        <f t="shared" ca="1" si="51"/>
        <v/>
      </c>
      <c r="P179" s="36" t="str">
        <f t="shared" ref="P179:P185" ca="1" si="52">IF(NOT(ISTEXT($G179)),"",N179/Nav)</f>
        <v/>
      </c>
      <c r="Q179" s="36" t="str">
        <f t="shared" ref="Q179:Q185" ca="1" si="53">IF(NOT(ISTEXT($G179)),"",O179/Nav)</f>
        <v/>
      </c>
      <c r="R179" s="356" t="str">
        <f t="shared" ref="R179:R185" ca="1" si="54">IF(NOT(ISTEXT($G179)),"",O179/portfolio_volatility)</f>
        <v/>
      </c>
      <c r="S179" s="95" t="str">
        <f t="shared" ca="1" si="44"/>
        <v/>
      </c>
      <c r="T179" s="13"/>
    </row>
    <row r="180" spans="3:20" s="412" customFormat="1" x14ac:dyDescent="0.25">
      <c r="E180" s="75"/>
      <c r="F180" s="13"/>
      <c r="G180" s="148">
        <f ca="1"/>
        <v>0</v>
      </c>
      <c r="H180" s="143" t="str">
        <f t="shared" ca="1" si="50"/>
        <v/>
      </c>
      <c r="I180" s="417" t="str">
        <f t="shared" ca="1" si="50"/>
        <v/>
      </c>
      <c r="J180" s="417" t="str">
        <f t="shared" ca="1" si="50"/>
        <v/>
      </c>
      <c r="K180" s="417" t="str">
        <f t="shared" ca="1" si="50"/>
        <v/>
      </c>
      <c r="L180" s="417" t="str">
        <f t="shared" ca="1" si="50"/>
        <v/>
      </c>
      <c r="M180" s="155" t="str">
        <f t="shared" ca="1" si="50"/>
        <v/>
      </c>
      <c r="N180" s="156" t="str">
        <f t="shared" ca="1" si="51"/>
        <v/>
      </c>
      <c r="O180" s="146" t="str">
        <f t="shared" ca="1" si="51"/>
        <v/>
      </c>
      <c r="P180" s="36" t="str">
        <f t="shared" ca="1" si="52"/>
        <v/>
      </c>
      <c r="Q180" s="36" t="str">
        <f t="shared" ca="1" si="53"/>
        <v/>
      </c>
      <c r="R180" s="356" t="str">
        <f t="shared" ca="1" si="54"/>
        <v/>
      </c>
      <c r="S180" s="95" t="str">
        <f t="shared" ca="1" si="44"/>
        <v/>
      </c>
      <c r="T180" s="13"/>
    </row>
    <row r="181" spans="3:20" s="412" customFormat="1" x14ac:dyDescent="0.25">
      <c r="E181" s="75"/>
      <c r="F181" s="13"/>
      <c r="G181" s="148">
        <f ca="1"/>
        <v>0</v>
      </c>
      <c r="H181" s="143" t="str">
        <f t="shared" ca="1" si="50"/>
        <v/>
      </c>
      <c r="I181" s="417" t="str">
        <f t="shared" ca="1" si="50"/>
        <v/>
      </c>
      <c r="J181" s="417" t="str">
        <f t="shared" ca="1" si="50"/>
        <v/>
      </c>
      <c r="K181" s="417" t="str">
        <f t="shared" ca="1" si="50"/>
        <v/>
      </c>
      <c r="L181" s="417" t="str">
        <f t="shared" ca="1" si="50"/>
        <v/>
      </c>
      <c r="M181" s="155" t="str">
        <f t="shared" ca="1" si="50"/>
        <v/>
      </c>
      <c r="N181" s="156" t="str">
        <f t="shared" ca="1" si="51"/>
        <v/>
      </c>
      <c r="O181" s="146" t="str">
        <f t="shared" ca="1" si="51"/>
        <v/>
      </c>
      <c r="P181" s="36" t="str">
        <f t="shared" ca="1" si="52"/>
        <v/>
      </c>
      <c r="Q181" s="36" t="str">
        <f t="shared" ca="1" si="53"/>
        <v/>
      </c>
      <c r="R181" s="356" t="str">
        <f t="shared" ca="1" si="54"/>
        <v/>
      </c>
      <c r="S181" s="95" t="str">
        <f t="shared" ca="1" si="44"/>
        <v/>
      </c>
      <c r="T181" s="13"/>
    </row>
    <row r="182" spans="3:20" s="411" customFormat="1" x14ac:dyDescent="0.25">
      <c r="E182" s="75"/>
      <c r="F182" s="13"/>
      <c r="G182" s="148">
        <f ca="1"/>
        <v>0</v>
      </c>
      <c r="H182" s="143" t="str">
        <f t="shared" ca="1" si="50"/>
        <v/>
      </c>
      <c r="I182" s="417" t="str">
        <f t="shared" ca="1" si="50"/>
        <v/>
      </c>
      <c r="J182" s="417" t="str">
        <f t="shared" ca="1" si="50"/>
        <v/>
      </c>
      <c r="K182" s="417" t="str">
        <f t="shared" ca="1" si="50"/>
        <v/>
      </c>
      <c r="L182" s="417" t="str">
        <f t="shared" ca="1" si="50"/>
        <v/>
      </c>
      <c r="M182" s="155" t="str">
        <f t="shared" ca="1" si="50"/>
        <v/>
      </c>
      <c r="N182" s="156" t="str">
        <f t="shared" ca="1" si="51"/>
        <v/>
      </c>
      <c r="O182" s="146" t="str">
        <f t="shared" ca="1" si="51"/>
        <v/>
      </c>
      <c r="P182" s="36" t="str">
        <f t="shared" ca="1" si="52"/>
        <v/>
      </c>
      <c r="Q182" s="36" t="str">
        <f t="shared" ca="1" si="53"/>
        <v/>
      </c>
      <c r="R182" s="356" t="str">
        <f t="shared" ca="1" si="54"/>
        <v/>
      </c>
      <c r="S182" s="95" t="str">
        <f t="shared" ca="1" si="44"/>
        <v/>
      </c>
      <c r="T182" s="13"/>
    </row>
    <row r="183" spans="3:20" x14ac:dyDescent="0.25">
      <c r="E183" s="2"/>
      <c r="F183" s="3"/>
      <c r="G183" s="148">
        <f ca="1"/>
        <v>0</v>
      </c>
      <c r="H183" s="143" t="str">
        <f t="shared" ca="1" si="50"/>
        <v/>
      </c>
      <c r="I183" s="417" t="str">
        <f t="shared" ca="1" si="50"/>
        <v/>
      </c>
      <c r="J183" s="417" t="str">
        <f t="shared" ca="1" si="50"/>
        <v/>
      </c>
      <c r="K183" s="417" t="str">
        <f t="shared" ca="1" si="50"/>
        <v/>
      </c>
      <c r="L183" s="417" t="str">
        <f t="shared" ca="1" si="50"/>
        <v/>
      </c>
      <c r="M183" s="155" t="str">
        <f t="shared" ca="1" si="50"/>
        <v/>
      </c>
      <c r="N183" s="156" t="str">
        <f t="shared" ca="1" si="51"/>
        <v/>
      </c>
      <c r="O183" s="146" t="str">
        <f t="shared" ca="1" si="51"/>
        <v/>
      </c>
      <c r="P183" s="36" t="str">
        <f t="shared" ca="1" si="52"/>
        <v/>
      </c>
      <c r="Q183" s="36" t="str">
        <f t="shared" ca="1" si="53"/>
        <v/>
      </c>
      <c r="R183" s="356" t="str">
        <f t="shared" ca="1" si="54"/>
        <v/>
      </c>
      <c r="S183" s="95" t="str">
        <f t="shared" ca="1" si="44"/>
        <v/>
      </c>
      <c r="T183" s="13"/>
    </row>
    <row r="184" spans="3:20" ht="15.75" customHeight="1" x14ac:dyDescent="0.25">
      <c r="C184" s="55"/>
      <c r="D184" s="13"/>
      <c r="E184" s="68"/>
      <c r="F184" s="13"/>
      <c r="G184" s="148">
        <f ca="1"/>
        <v>0</v>
      </c>
      <c r="H184" s="143" t="str">
        <f t="shared" ca="1" si="50"/>
        <v/>
      </c>
      <c r="I184" s="417" t="str">
        <f t="shared" ca="1" si="50"/>
        <v/>
      </c>
      <c r="J184" s="417" t="str">
        <f t="shared" ca="1" si="50"/>
        <v/>
      </c>
      <c r="K184" s="417" t="str">
        <f t="shared" ca="1" si="50"/>
        <v/>
      </c>
      <c r="L184" s="417" t="str">
        <f t="shared" ca="1" si="50"/>
        <v/>
      </c>
      <c r="M184" s="155" t="str">
        <f t="shared" ca="1" si="50"/>
        <v/>
      </c>
      <c r="N184" s="156" t="str">
        <f t="shared" ca="1" si="51"/>
        <v/>
      </c>
      <c r="O184" s="146" t="str">
        <f t="shared" ca="1" si="51"/>
        <v/>
      </c>
      <c r="P184" s="36" t="str">
        <f t="shared" ca="1" si="52"/>
        <v/>
      </c>
      <c r="Q184" s="36" t="str">
        <f t="shared" ca="1" si="53"/>
        <v/>
      </c>
      <c r="R184" s="356" t="str">
        <f t="shared" ca="1" si="54"/>
        <v/>
      </c>
      <c r="S184" s="95" t="str">
        <f t="shared" ca="1" si="44"/>
        <v/>
      </c>
      <c r="T184" s="13"/>
    </row>
    <row r="185" spans="3:20" ht="15.75" customHeight="1" x14ac:dyDescent="0.25">
      <c r="D185" s="413"/>
      <c r="E185" s="413"/>
      <c r="F185" s="413"/>
      <c r="G185" s="148">
        <f ca="1"/>
        <v>0</v>
      </c>
      <c r="H185" s="143" t="str">
        <f t="shared" ca="1" si="50"/>
        <v/>
      </c>
      <c r="I185" s="417" t="str">
        <f t="shared" ca="1" si="50"/>
        <v/>
      </c>
      <c r="J185" s="417" t="str">
        <f t="shared" ca="1" si="50"/>
        <v/>
      </c>
      <c r="K185" s="417" t="str">
        <f t="shared" ca="1" si="50"/>
        <v/>
      </c>
      <c r="L185" s="417" t="str">
        <f t="shared" ca="1" si="50"/>
        <v/>
      </c>
      <c r="M185" s="155" t="str">
        <f t="shared" ca="1" si="50"/>
        <v/>
      </c>
      <c r="N185" s="156" t="str">
        <f t="shared" ca="1" si="51"/>
        <v/>
      </c>
      <c r="O185" s="146" t="str">
        <f t="shared" ca="1" si="51"/>
        <v/>
      </c>
      <c r="P185" s="36" t="str">
        <f t="shared" ca="1" si="52"/>
        <v/>
      </c>
      <c r="Q185" s="36" t="str">
        <f t="shared" ca="1" si="53"/>
        <v/>
      </c>
      <c r="R185" s="356" t="str">
        <f t="shared" ca="1" si="54"/>
        <v/>
      </c>
      <c r="S185" s="95" t="str">
        <f t="shared" ca="1" si="44"/>
        <v/>
      </c>
      <c r="T185" s="13"/>
    </row>
    <row r="186" spans="3:20" x14ac:dyDescent="0.25">
      <c r="C186" s="22"/>
      <c r="D186" s="414"/>
      <c r="E186" s="414"/>
      <c r="F186" s="414"/>
      <c r="G186" s="316">
        <f ca="1"/>
        <v>0</v>
      </c>
      <c r="H186" s="300" t="str">
        <f t="shared" ca="1" si="50"/>
        <v/>
      </c>
      <c r="I186" s="180" t="str">
        <f t="shared" ca="1" si="50"/>
        <v/>
      </c>
      <c r="J186" s="180" t="str">
        <f t="shared" ca="1" si="50"/>
        <v/>
      </c>
      <c r="K186" s="180" t="str">
        <f t="shared" ca="1" si="50"/>
        <v/>
      </c>
      <c r="L186" s="180" t="str">
        <f t="shared" ca="1" si="50"/>
        <v/>
      </c>
      <c r="M186" s="415" t="str">
        <f t="shared" ca="1" si="50"/>
        <v/>
      </c>
      <c r="N186" s="333" t="str">
        <f t="shared" ca="1" si="51"/>
        <v/>
      </c>
      <c r="O186" s="416" t="str">
        <f t="shared" ca="1" si="51"/>
        <v/>
      </c>
      <c r="P186" s="40" t="str">
        <f t="shared" ref="P186" ca="1" si="55">IF(NOT(ISTEXT($G186)),"",N186/Nav)</f>
        <v/>
      </c>
      <c r="Q186" s="40" t="str">
        <f t="shared" ref="Q186" ca="1" si="56">IF(NOT(ISTEXT($G186)),"",O186/Nav)</f>
        <v/>
      </c>
      <c r="R186" s="357" t="str">
        <f t="shared" ref="R186" ca="1" si="57">IF(NOT(ISTEXT($G186)),"",O186/portfolio_volatility)</f>
        <v/>
      </c>
      <c r="S186" s="99" t="str">
        <f t="shared" ca="1" si="44"/>
        <v/>
      </c>
      <c r="T186" s="22"/>
    </row>
    <row r="187" spans="3:20" x14ac:dyDescent="0.25">
      <c r="C187" s="1" t="s">
        <v>89</v>
      </c>
      <c r="D187" s="425" t="s">
        <v>316</v>
      </c>
      <c r="E187" s="425"/>
      <c r="F187" s="425"/>
      <c r="G187" s="425"/>
      <c r="H187" s="425"/>
      <c r="I187" s="425"/>
      <c r="J187" s="425"/>
      <c r="K187" s="425"/>
      <c r="L187" s="425"/>
      <c r="M187" s="425"/>
      <c r="N187" s="425"/>
      <c r="O187" s="425"/>
      <c r="P187" s="425"/>
      <c r="Q187" s="425"/>
      <c r="R187" s="425"/>
      <c r="S187" s="425"/>
      <c r="T187" s="425"/>
    </row>
    <row r="188" spans="3:20" x14ac:dyDescent="0.25">
      <c r="D188" s="425"/>
      <c r="E188" s="425"/>
      <c r="F188" s="425"/>
      <c r="G188" s="425"/>
      <c r="H188" s="425"/>
      <c r="I188" s="425"/>
      <c r="J188" s="425"/>
      <c r="K188" s="425"/>
      <c r="L188" s="425"/>
      <c r="M188" s="425"/>
      <c r="N188" s="425"/>
      <c r="O188" s="425"/>
      <c r="P188" s="425"/>
      <c r="Q188" s="425"/>
      <c r="R188" s="425"/>
      <c r="S188" s="425"/>
      <c r="T188" s="425"/>
    </row>
    <row r="189" spans="3:20" ht="6" customHeight="1" thickBot="1" x14ac:dyDescent="0.3">
      <c r="E189" s="2"/>
      <c r="F189" s="3"/>
    </row>
    <row r="190" spans="3:20" ht="20.25" thickBot="1" x14ac:dyDescent="0.3">
      <c r="C190" s="418" t="s">
        <v>90</v>
      </c>
      <c r="D190" s="419"/>
      <c r="E190" s="419"/>
      <c r="F190" s="419"/>
      <c r="G190" s="419"/>
      <c r="H190" s="419"/>
      <c r="I190" s="419"/>
      <c r="J190" s="419"/>
      <c r="K190" s="419"/>
      <c r="L190" s="419"/>
      <c r="M190" s="419"/>
      <c r="N190" s="419"/>
      <c r="O190" s="419"/>
      <c r="P190" s="419"/>
      <c r="Q190" s="419"/>
      <c r="R190" s="419"/>
      <c r="S190" s="419"/>
      <c r="T190" s="420"/>
    </row>
    <row r="191" spans="3:20" ht="6" customHeight="1" x14ac:dyDescent="0.25">
      <c r="E191" s="2"/>
      <c r="F191" s="3"/>
    </row>
    <row r="192" spans="3:20" ht="17.25" customHeight="1" x14ac:dyDescent="0.3">
      <c r="C192" s="87" t="s">
        <v>91</v>
      </c>
      <c r="D192"/>
      <c r="E192"/>
      <c r="F192"/>
      <c r="G192"/>
      <c r="H192"/>
      <c r="I192"/>
      <c r="J192"/>
      <c r="K192"/>
      <c r="L192" s="116"/>
      <c r="M192"/>
      <c r="N192"/>
      <c r="O192"/>
      <c r="P192" s="117"/>
      <c r="Q192" s="16"/>
      <c r="R192" s="118"/>
      <c r="S192" s="157"/>
      <c r="T192" s="158"/>
    </row>
    <row r="193" spans="1:24" ht="17.25" hidden="1" customHeight="1" outlineLevel="1" x14ac:dyDescent="0.3">
      <c r="C193" s="87"/>
      <c r="D193"/>
      <c r="E193"/>
      <c r="F193"/>
      <c r="G193"/>
      <c r="H193"/>
      <c r="I193"/>
      <c r="J193"/>
      <c r="K193" s="159">
        <v>24</v>
      </c>
      <c r="L193" s="160">
        <v>25</v>
      </c>
      <c r="M193" s="159">
        <v>27</v>
      </c>
      <c r="N193"/>
      <c r="O193"/>
      <c r="P193" s="117"/>
      <c r="Q193" s="16"/>
      <c r="R193" s="118"/>
      <c r="S193" s="118"/>
    </row>
    <row r="194" spans="1:24" ht="17.25" collapsed="1" x14ac:dyDescent="0.3">
      <c r="C194"/>
      <c r="D194" s="87"/>
      <c r="E194"/>
      <c r="F194"/>
      <c r="G194"/>
      <c r="H194"/>
      <c r="I194" s="117"/>
      <c r="J194" s="117"/>
      <c r="K194" s="161" t="s">
        <v>92</v>
      </c>
      <c r="L194" s="162"/>
      <c r="M194" s="9"/>
      <c r="N194" s="163"/>
      <c r="O194" s="164" t="s">
        <v>93</v>
      </c>
      <c r="P194" s="106"/>
      <c r="Q194" s="106"/>
      <c r="R194" s="120"/>
      <c r="S194" s="429" t="s">
        <v>248</v>
      </c>
      <c r="T194" s="430"/>
    </row>
    <row r="195" spans="1:24" ht="47.25" x14ac:dyDescent="0.25">
      <c r="A195" s="2"/>
      <c r="C195" s="22"/>
      <c r="D195" s="121"/>
      <c r="E195" s="121"/>
      <c r="F195" s="122" t="s">
        <v>94</v>
      </c>
      <c r="G195" s="123"/>
      <c r="H195" s="165" t="s">
        <v>95</v>
      </c>
      <c r="I195" s="165" t="s">
        <v>96</v>
      </c>
      <c r="J195" s="166" t="s">
        <v>97</v>
      </c>
      <c r="K195" s="129" t="s">
        <v>98</v>
      </c>
      <c r="L195" s="167" t="s">
        <v>99</v>
      </c>
      <c r="M195" s="167" t="s">
        <v>100</v>
      </c>
      <c r="N195" s="168" t="s">
        <v>101</v>
      </c>
      <c r="O195" s="169" t="s">
        <v>102</v>
      </c>
      <c r="P195" s="170" t="s">
        <v>103</v>
      </c>
      <c r="Q195" s="171" t="s">
        <v>232</v>
      </c>
      <c r="R195" s="172" t="s">
        <v>104</v>
      </c>
      <c r="S195" s="129" t="s">
        <v>311</v>
      </c>
      <c r="T195" s="168" t="s">
        <v>7</v>
      </c>
    </row>
    <row r="196" spans="1:24" x14ac:dyDescent="0.25">
      <c r="B196" s="173"/>
      <c r="C196" s="22"/>
      <c r="D196" s="121"/>
      <c r="E196" s="121"/>
      <c r="F196" s="121"/>
      <c r="G196" s="132" t="s">
        <v>77</v>
      </c>
      <c r="H196" s="174"/>
      <c r="I196" s="175"/>
      <c r="J196" s="133">
        <f ca="1">SUM(J197:J268)</f>
        <v>-2587559.7884978084</v>
      </c>
      <c r="K196" s="176"/>
      <c r="L196" s="177"/>
      <c r="M196" s="133"/>
      <c r="N196" s="178"/>
      <c r="O196" s="177"/>
      <c r="P196" s="179"/>
      <c r="Q196" s="133">
        <f ca="1">SUM(Q197:Q268)</f>
        <v>59988029.76306659</v>
      </c>
      <c r="R196" s="181">
        <f ca="1">SUM(R197:R268)</f>
        <v>0.20791817446917316</v>
      </c>
      <c r="S196" s="133">
        <f ca="1">SUM(S197:S268)</f>
        <v>49875947.278048664</v>
      </c>
      <c r="T196" s="183">
        <f ca="1">SUM(T197:T268)</f>
        <v>0.17286975333131005</v>
      </c>
      <c r="V196" s="1" t="s">
        <v>105</v>
      </c>
      <c r="W196" s="1" t="s">
        <v>78</v>
      </c>
      <c r="X196" s="345" t="s">
        <v>252</v>
      </c>
    </row>
    <row r="197" spans="1:24" x14ac:dyDescent="0.25">
      <c r="B197" s="173"/>
      <c r="C197"/>
      <c r="D197"/>
      <c r="E197" s="138"/>
      <c r="F197"/>
      <c r="G197" s="2" t="str">
        <f t="array" aca="1" ref="G197:G268" ca="1">OFFSET(strategy_level_concentrations,1,0,1000,1)</f>
        <v>BANKOFCHINA V SOV SPREAD</v>
      </c>
      <c r="H197" s="184">
        <f t="shared" ref="H197:H268" ca="1" si="58">IF(NOT(ISTEXT($G197)),"",IFERROR(INDEX(strategy_level_concentrations,MATCH($G197,OFFSET(strategy_level_concentrations,0,0,,1),0),MATCH("Delta",OFFSET(strategy_level_concentrations,0,0,1),0)),0))</f>
        <v>142288.02311253187</v>
      </c>
      <c r="I197" s="184">
        <f t="shared" ref="I197:I268" ca="1" si="59">IF(NOT(ISTEXT($G197)),"",IFERROR(INDEX(strategy_level_concentrations,MATCH($G197,OFFSET(strategy_level_concentrations,0,0,,1),0),MATCH("pvDollar",OFFSET(strategy_level_concentrations,0,0,1),0)),0))</f>
        <v>1028987.4879151051</v>
      </c>
      <c r="J197" s="185">
        <f t="shared" ref="J197:J268" ca="1" si="60">IF(NOT(ISTEXT($G197)),"",IFERROR(INDEX(strategy_level_concentrations,MATCH($G197,OFFSET(strategy_level_concentrations,0,0,,1),0),MATCH("allPL",OFFSET(strategy_level_concentrations,0,0,1),0)),0))</f>
        <v>-1969985.1223321273</v>
      </c>
      <c r="K197" s="340">
        <f t="shared" ref="K197:M216" ca="1" si="61">IF(NOT(ISTEXT($G197)),"",IF($X197="I","",IFERROR(INDEX(strategy_level_concentrations,MATCH($G197,OFFSET(strategy_level_concentrations,0,0,,1),0),MATCH(K$195,OFFSET(strategy_level_concentrations,0,0,1),0)),0)))</f>
        <v>17.569444444444759</v>
      </c>
      <c r="L197" s="340">
        <f t="shared" ca="1" si="61"/>
        <v>100</v>
      </c>
      <c r="M197" s="340">
        <f t="shared" ca="1" si="61"/>
        <v>7.0465716049382747</v>
      </c>
      <c r="N197" s="340">
        <f t="shared" ref="N197:N268" ca="1" si="62">IF(NOT(ISTEXT($G197)),"",IF($X197="I","",IFERROR(INDEX(strategy_level_concentrations,MATCH($G197,OFFSET(strategy_level_concentrations,0,0,,1),0),MATCH("Stoploss",OFFSET(strategy_level_concentrations,0,0,1),0)),0)))</f>
        <v>0</v>
      </c>
      <c r="O197" s="341">
        <f t="shared" ref="O197:O268" ca="1" si="63">IF(NOT(ISTEXT($G197)),"",IF($X197="I","",IFERROR(INDEX(strategy_level_concentrations,MATCH($G197,OFFSET(strategy_level_concentrations,0,0,,1),0),MATCH("distToStop",OFFSET(strategy_level_concentrations,0,0,1),0)),0)))</f>
        <v>-7.0465716049382747</v>
      </c>
      <c r="P197" s="344">
        <f t="shared" ref="P197:P268" ca="1" si="64">IF(NOT(ISTEXT($G197)),"",IF($X197="I","",IFERROR(INDEX(strategy_level_concentrations,MATCH($G197,OFFSET(strategy_level_concentrations,0,0,,1),0),MATCH("prob",OFFSET(strategy_level_concentrations,0,0,1),0)),0)))</f>
        <v>9.0999999999999998E-2</v>
      </c>
      <c r="Q197" s="143">
        <f t="shared" ref="Q197:Q268" ca="1" si="65">IF(NOT(ISTEXT($G197)),"",IFERROR(INDEX(strategy_level_concentrations,MATCH($G197,OFFSET(strategy_level_concentrations,0,0,,1),0),MATCH("Concentration Exposure",OFFSET(strategy_level_concentrations,0,0,1),0)),0))</f>
        <v>2972627.8657196956</v>
      </c>
      <c r="R197" s="187">
        <f t="shared" ref="R197:R244" ca="1" si="66">IF(NOT(ISTEXT($G197)),"",Q197/Nav)</f>
        <v>1.0303111498373672E-2</v>
      </c>
      <c r="S197" s="143">
        <f t="shared" ref="S197:S268" ca="1" si="67">IF(NOT(ISTEXT($G197)),"",IFERROR(INDEX(strategy_level_concentrations,MATCH($G197,OFFSET(strategy_level_concentrations,0,0,,1),0),MATCH("At Risk",OFFSET(strategy_level_concentrations,0,0,1),0)),0))</f>
        <v>1002642.743387568</v>
      </c>
      <c r="T197" s="188">
        <f t="shared" ref="T197:T244" ca="1" si="68">IF(NOT(ISTEXT($G197)),"",S197/Nav)</f>
        <v>3.4751541211352813E-3</v>
      </c>
      <c r="V197" s="1" t="s">
        <v>33</v>
      </c>
      <c r="W197" s="1" t="s">
        <v>79</v>
      </c>
      <c r="X197" s="345" t="str">
        <f t="shared" ref="X197:X260" ca="1" si="69">INDEX(strategy_level_concentrations,MATCH($G197,OFFSET(strategy_level_concentrations,0,0,,1),0),MATCH("stopLossType",OFFSET(strategy_level_concentrations,0,0,1),0))</f>
        <v>AS</v>
      </c>
    </row>
    <row r="198" spans="1:24" x14ac:dyDescent="0.25">
      <c r="B198" s="173"/>
      <c r="C198"/>
      <c r="D198"/>
      <c r="E198" s="138"/>
      <c r="F198"/>
      <c r="G198" s="148" t="str">
        <f ca="1"/>
        <v>DISH CDS FLATTENER</v>
      </c>
      <c r="H198" s="189">
        <f t="shared" ca="1" si="58"/>
        <v>9263.818698670806</v>
      </c>
      <c r="I198" s="189">
        <f t="shared" ca="1" si="59"/>
        <v>-2307400.0427789232</v>
      </c>
      <c r="J198" s="155">
        <f t="shared" ca="1" si="60"/>
        <v>432624.833179635</v>
      </c>
      <c r="K198" s="340">
        <f t="shared" ca="1" si="61"/>
        <v>-309.20335841785987</v>
      </c>
      <c r="L198" s="340">
        <f t="shared" ca="1" si="61"/>
        <v>-100</v>
      </c>
      <c r="M198" s="340">
        <f t="shared" ca="1" si="61"/>
        <v>-270.21419999999995</v>
      </c>
      <c r="N198" s="340">
        <f t="shared" ca="1" si="62"/>
        <v>-450</v>
      </c>
      <c r="O198" s="342">
        <f t="shared" ca="1" si="63"/>
        <v>-179.78580000000005</v>
      </c>
      <c r="P198" s="344">
        <f t="shared" ca="1" si="64"/>
        <v>0</v>
      </c>
      <c r="Q198" s="143">
        <f t="shared" ca="1" si="65"/>
        <v>1665503.0557954903</v>
      </c>
      <c r="R198" s="187">
        <f t="shared" ca="1" si="66"/>
        <v>5.7726242435625127E-3</v>
      </c>
      <c r="S198" s="143">
        <f t="shared" ca="1" si="67"/>
        <v>1665503.0557954903</v>
      </c>
      <c r="T198" s="187">
        <f t="shared" ca="1" si="68"/>
        <v>5.7726242435625127E-3</v>
      </c>
      <c r="V198" s="1" t="s">
        <v>33</v>
      </c>
      <c r="W198" s="1" t="s">
        <v>79</v>
      </c>
      <c r="X198" s="345" t="str">
        <f t="shared" ca="1" si="69"/>
        <v>AS</v>
      </c>
    </row>
    <row r="199" spans="1:24" x14ac:dyDescent="0.25">
      <c r="B199" s="173"/>
      <c r="C199"/>
      <c r="D199"/>
      <c r="E199" s="138"/>
      <c r="F199"/>
      <c r="G199" s="148" t="str">
        <f ca="1"/>
        <v>JPY CDS</v>
      </c>
      <c r="H199" s="189">
        <f t="shared" ca="1" si="58"/>
        <v>56302.323020482647</v>
      </c>
      <c r="I199" s="189">
        <f t="shared" ca="1" si="59"/>
        <v>-2392088.2368460959</v>
      </c>
      <c r="J199" s="155">
        <f t="shared" ca="1" si="60"/>
        <v>-1150113.0474431238</v>
      </c>
      <c r="K199" s="340">
        <f t="shared" ca="1" si="61"/>
        <v>0</v>
      </c>
      <c r="L199" s="340">
        <f t="shared" ca="1" si="61"/>
        <v>2000000</v>
      </c>
      <c r="M199" s="340">
        <f t="shared" ca="1" si="61"/>
        <v>-1150113.0474431238</v>
      </c>
      <c r="N199" s="340">
        <f t="shared" ca="1" si="62"/>
        <v>-1200000</v>
      </c>
      <c r="O199" s="342">
        <f t="shared" ca="1" si="63"/>
        <v>-49886.952556876233</v>
      </c>
      <c r="P199" s="344">
        <f t="shared" ca="1" si="64"/>
        <v>0.79600000000000004</v>
      </c>
      <c r="Q199" s="143">
        <f t="shared" ca="1" si="65"/>
        <v>1200000</v>
      </c>
      <c r="R199" s="187">
        <f t="shared" ca="1" si="66"/>
        <v>4.1591932648640008E-3</v>
      </c>
      <c r="S199" s="143">
        <f t="shared" ca="1" si="67"/>
        <v>49886.952556876233</v>
      </c>
      <c r="T199" s="187">
        <f t="shared" ca="1" si="68"/>
        <v>1.7290789756595798E-4</v>
      </c>
      <c r="V199" s="1" t="s">
        <v>33</v>
      </c>
      <c r="W199" s="1" t="s">
        <v>79</v>
      </c>
      <c r="X199" s="345" t="str">
        <f t="shared" ca="1" si="69"/>
        <v>B</v>
      </c>
    </row>
    <row r="200" spans="1:24" x14ac:dyDescent="0.25">
      <c r="B200" s="173"/>
      <c r="C200"/>
      <c r="D200"/>
      <c r="E200" s="138"/>
      <c r="F200"/>
      <c r="G200" s="148" t="str">
        <f ca="1"/>
        <v>US CREDIT BASKET</v>
      </c>
      <c r="H200" s="189">
        <f t="shared" ca="1" si="58"/>
        <v>10284.168112702671</v>
      </c>
      <c r="I200" s="189">
        <f t="shared" ca="1" si="59"/>
        <v>-2467027.6975238849</v>
      </c>
      <c r="J200" s="155">
        <f t="shared" ca="1" si="60"/>
        <v>820314.63134601375</v>
      </c>
      <c r="K200" s="340">
        <f t="shared" ca="1" si="61"/>
        <v>0</v>
      </c>
      <c r="L200" s="340">
        <f t="shared" ca="1" si="61"/>
        <v>2500000</v>
      </c>
      <c r="M200" s="340">
        <f t="shared" ca="1" si="61"/>
        <v>820314.63134601375</v>
      </c>
      <c r="N200" s="340">
        <f t="shared" ca="1" si="62"/>
        <v>-1000000</v>
      </c>
      <c r="O200" s="342">
        <f t="shared" ca="1" si="63"/>
        <v>-1820314.6313460139</v>
      </c>
      <c r="P200" s="344">
        <f t="shared" ca="1" si="64"/>
        <v>0</v>
      </c>
      <c r="Q200" s="143">
        <f t="shared" ca="1" si="65"/>
        <v>1820314.6313460139</v>
      </c>
      <c r="R200" s="187">
        <f t="shared" ca="1" si="66"/>
        <v>6.3092002955231147E-3</v>
      </c>
      <c r="S200" s="143">
        <f t="shared" ca="1" si="67"/>
        <v>1820314.6313460139</v>
      </c>
      <c r="T200" s="187">
        <f t="shared" ca="1" si="68"/>
        <v>6.3092002955231147E-3</v>
      </c>
      <c r="V200" s="1" t="s">
        <v>33</v>
      </c>
      <c r="W200" s="1" t="s">
        <v>79</v>
      </c>
      <c r="X200" s="345" t="str">
        <f t="shared" ca="1" si="69"/>
        <v>B</v>
      </c>
    </row>
    <row r="201" spans="1:24" x14ac:dyDescent="0.25">
      <c r="B201" s="173"/>
      <c r="C201"/>
      <c r="D201"/>
      <c r="E201" s="138"/>
      <c r="F201"/>
      <c r="G201" s="148" t="str">
        <f ca="1"/>
        <v>US CREDIT DISPERSION</v>
      </c>
      <c r="H201" s="189">
        <f t="shared" ca="1" si="58"/>
        <v>262776.92122279201</v>
      </c>
      <c r="I201" s="189">
        <f t="shared" ca="1" si="59"/>
        <v>-3534095.4062443613</v>
      </c>
      <c r="J201" s="155">
        <f t="shared" ca="1" si="60"/>
        <v>514915.60216556361</v>
      </c>
      <c r="K201" s="340">
        <f t="shared" ca="1" si="61"/>
        <v>6.2607449550294283E-3</v>
      </c>
      <c r="L201" s="340">
        <f t="shared" ca="1" si="61"/>
        <v>4500000</v>
      </c>
      <c r="M201" s="340">
        <f t="shared" ca="1" si="61"/>
        <v>514915.60216556361</v>
      </c>
      <c r="N201" s="340">
        <f t="shared" ca="1" si="62"/>
        <v>-3000000</v>
      </c>
      <c r="O201" s="342">
        <f t="shared" ca="1" si="63"/>
        <v>-3514915.6021655635</v>
      </c>
      <c r="P201" s="344">
        <f t="shared" ca="1" si="64"/>
        <v>2E-3</v>
      </c>
      <c r="Q201" s="143">
        <f t="shared" ca="1" si="65"/>
        <v>3514915.6021655635</v>
      </c>
      <c r="R201" s="187">
        <f t="shared" ca="1" si="66"/>
        <v>1.2182677749243672E-2</v>
      </c>
      <c r="S201" s="143">
        <f t="shared" ca="1" si="67"/>
        <v>3514915.6021655635</v>
      </c>
      <c r="T201" s="187">
        <f t="shared" ca="1" si="68"/>
        <v>1.2182677749243672E-2</v>
      </c>
      <c r="V201" s="1" t="s">
        <v>33</v>
      </c>
      <c r="W201" s="1" t="s">
        <v>79</v>
      </c>
      <c r="X201" s="345" t="str">
        <f t="shared" ca="1" si="69"/>
        <v>B</v>
      </c>
    </row>
    <row r="202" spans="1:24" x14ac:dyDescent="0.25">
      <c r="B202" s="173"/>
      <c r="C202"/>
      <c r="D202"/>
      <c r="E202" s="138"/>
      <c r="F202"/>
      <c r="G202" s="148" t="str">
        <f ca="1"/>
        <v>GREEK BANKS BASKET</v>
      </c>
      <c r="H202" s="189">
        <f t="shared" ca="1" si="58"/>
        <v>971441.28179999988</v>
      </c>
      <c r="I202" s="189">
        <f t="shared" ca="1" si="59"/>
        <v>971441.28179999988</v>
      </c>
      <c r="J202" s="155">
        <f t="shared" ca="1" si="60"/>
        <v>-1046433.0936623763</v>
      </c>
      <c r="K202" s="340">
        <f t="shared" ca="1" si="61"/>
        <v>0</v>
      </c>
      <c r="L202" s="340">
        <f t="shared" ca="1" si="61"/>
        <v>7000000</v>
      </c>
      <c r="M202" s="340">
        <f t="shared" ca="1" si="61"/>
        <v>-1046433.0936623763</v>
      </c>
      <c r="N202" s="340">
        <f t="shared" ca="1" si="62"/>
        <v>-1170000</v>
      </c>
      <c r="O202" s="342">
        <f t="shared" ca="1" si="63"/>
        <v>-123566.90633762372</v>
      </c>
      <c r="P202" s="344">
        <f t="shared" ca="1" si="64"/>
        <v>0.32200000000000001</v>
      </c>
      <c r="Q202" s="143">
        <f t="shared" ca="1" si="65"/>
        <v>1170000</v>
      </c>
      <c r="R202" s="187">
        <f t="shared" ca="1" si="66"/>
        <v>4.0552134332424005E-3</v>
      </c>
      <c r="S202" s="143">
        <f t="shared" ca="1" si="67"/>
        <v>123566.90633762372</v>
      </c>
      <c r="T202" s="187">
        <f t="shared" ca="1" si="68"/>
        <v>4.2828220383293782E-4</v>
      </c>
      <c r="V202" s="1" t="s">
        <v>33</v>
      </c>
      <c r="W202" s="1" t="s">
        <v>79</v>
      </c>
      <c r="X202" s="345" t="str">
        <f t="shared" ca="1" si="69"/>
        <v>B</v>
      </c>
    </row>
    <row r="203" spans="1:24" x14ac:dyDescent="0.25">
      <c r="B203" s="173"/>
      <c r="C203"/>
      <c r="D203"/>
      <c r="E203"/>
      <c r="F203"/>
      <c r="G203" s="148" t="str">
        <f ca="1"/>
        <v>LONG DISH CALLS</v>
      </c>
      <c r="H203" s="189">
        <f t="shared" ca="1" si="58"/>
        <v>178866.00673740002</v>
      </c>
      <c r="I203" s="189">
        <f t="shared" ca="1" si="59"/>
        <v>17964</v>
      </c>
      <c r="J203" s="155">
        <f t="shared" ca="1" si="60"/>
        <v>-82458</v>
      </c>
      <c r="K203" s="340">
        <f t="shared" ca="1" si="61"/>
        <v>99315.000000000029</v>
      </c>
      <c r="L203" s="340">
        <f t="shared" ca="1" si="61"/>
        <v>150000</v>
      </c>
      <c r="M203" s="340">
        <f t="shared" ca="1" si="61"/>
        <v>17964</v>
      </c>
      <c r="N203" s="340">
        <f t="shared" ca="1" si="62"/>
        <v>0</v>
      </c>
      <c r="O203" s="342">
        <f t="shared" ca="1" si="63"/>
        <v>-17964</v>
      </c>
      <c r="P203" s="344">
        <f t="shared" ca="1" si="64"/>
        <v>0.20699999999999999</v>
      </c>
      <c r="Q203" s="143">
        <f t="shared" ca="1" si="65"/>
        <v>100422</v>
      </c>
      <c r="R203" s="187">
        <f t="shared" ca="1" si="66"/>
        <v>3.4806208837014389E-4</v>
      </c>
      <c r="S203" s="143">
        <f t="shared" ca="1" si="67"/>
        <v>17964</v>
      </c>
      <c r="T203" s="187">
        <f t="shared" ca="1" si="68"/>
        <v>6.226312317501409E-5</v>
      </c>
      <c r="V203" s="1" t="s">
        <v>33</v>
      </c>
      <c r="W203" s="1" t="s">
        <v>79</v>
      </c>
      <c r="X203" s="345" t="str">
        <f t="shared" ca="1" si="69"/>
        <v>P</v>
      </c>
    </row>
    <row r="204" spans="1:24" x14ac:dyDescent="0.25">
      <c r="B204" s="173"/>
      <c r="C204"/>
      <c r="D204"/>
      <c r="E204"/>
      <c r="F204"/>
      <c r="G204" s="148" t="str">
        <f ca="1"/>
        <v>AUDCAD KI CALL SPREAD</v>
      </c>
      <c r="H204" s="189">
        <f t="shared" ca="1" si="58"/>
        <v>6203826.2136700805</v>
      </c>
      <c r="I204" s="189">
        <f t="shared" ca="1" si="59"/>
        <v>210800.25234017172</v>
      </c>
      <c r="J204" s="155">
        <f t="shared" ca="1" si="60"/>
        <v>-138509.79733745009</v>
      </c>
      <c r="K204" s="340">
        <f t="shared" ca="1" si="61"/>
        <v>352916.72496409609</v>
      </c>
      <c r="L204" s="340">
        <f t="shared" ca="1" si="61"/>
        <v>890000</v>
      </c>
      <c r="M204" s="340">
        <f t="shared" ca="1" si="61"/>
        <v>210800.25234017172</v>
      </c>
      <c r="N204" s="340">
        <f t="shared" ca="1" si="62"/>
        <v>0</v>
      </c>
      <c r="O204" s="342">
        <f t="shared" ca="1" si="63"/>
        <v>-210800.25234017172</v>
      </c>
      <c r="P204" s="344">
        <f t="shared" ca="1" si="64"/>
        <v>5.8999999999999997E-2</v>
      </c>
      <c r="Q204" s="143">
        <f t="shared" ca="1" si="65"/>
        <v>349310.04967762181</v>
      </c>
      <c r="R204" s="187">
        <f t="shared" ca="1" si="66"/>
        <v>1.2107066716403952E-3</v>
      </c>
      <c r="S204" s="143">
        <f t="shared" ca="1" si="67"/>
        <v>210800.25234017172</v>
      </c>
      <c r="T204" s="187">
        <f t="shared" ca="1" si="68"/>
        <v>7.3063249147072831E-4</v>
      </c>
      <c r="V204" s="1" t="s">
        <v>80</v>
      </c>
      <c r="W204" s="1" t="s">
        <v>79</v>
      </c>
      <c r="X204" s="345" t="str">
        <f t="shared" ca="1" si="69"/>
        <v>P</v>
      </c>
    </row>
    <row r="205" spans="1:24" x14ac:dyDescent="0.25">
      <c r="B205" s="173"/>
      <c r="C205"/>
      <c r="D205"/>
      <c r="E205"/>
      <c r="F205"/>
      <c r="G205" s="148" t="str">
        <f ca="1"/>
        <v>AUDJPY OT CALENDAR SPREAD</v>
      </c>
      <c r="H205" s="189">
        <f t="shared" ca="1" si="58"/>
        <v>5315781.5153282555</v>
      </c>
      <c r="I205" s="189">
        <f t="shared" ca="1" si="59"/>
        <v>456266.106059051</v>
      </c>
      <c r="J205" s="155">
        <f t="shared" ca="1" si="60"/>
        <v>112575.3378390916</v>
      </c>
      <c r="K205" s="340">
        <f t="shared" ca="1" si="61"/>
        <v>320498.553935748</v>
      </c>
      <c r="L205" s="340">
        <f t="shared" ca="1" si="61"/>
        <v>700000</v>
      </c>
      <c r="M205" s="340">
        <f t="shared" ca="1" si="61"/>
        <v>456266.106059051</v>
      </c>
      <c r="N205" s="340">
        <f t="shared" ca="1" si="62"/>
        <v>0</v>
      </c>
      <c r="O205" s="342">
        <f t="shared" ca="1" si="63"/>
        <v>-456266.106059051</v>
      </c>
      <c r="P205" s="344">
        <f t="shared" ca="1" si="64"/>
        <v>0</v>
      </c>
      <c r="Q205" s="143">
        <f t="shared" ca="1" si="65"/>
        <v>456266.106059051</v>
      </c>
      <c r="R205" s="187">
        <f t="shared" ca="1" si="66"/>
        <v>1.5814157627554407E-3</v>
      </c>
      <c r="S205" s="143">
        <f t="shared" ca="1" si="67"/>
        <v>456266.106059051</v>
      </c>
      <c r="T205" s="187">
        <f t="shared" ca="1" si="68"/>
        <v>1.5814157627554407E-3</v>
      </c>
      <c r="V205" s="1" t="s">
        <v>80</v>
      </c>
      <c r="W205" s="1" t="s">
        <v>79</v>
      </c>
      <c r="X205" s="345" t="str">
        <f t="shared" ca="1" si="69"/>
        <v>P</v>
      </c>
    </row>
    <row r="206" spans="1:24" x14ac:dyDescent="0.25">
      <c r="B206" s="173"/>
      <c r="C206"/>
      <c r="D206"/>
      <c r="E206" s="138"/>
      <c r="F206"/>
      <c r="G206" s="148" t="str">
        <f ca="1"/>
        <v>CNHTWD CALL SPREAD</v>
      </c>
      <c r="H206" s="189">
        <f t="shared" ca="1" si="58"/>
        <v>6619022.9544495353</v>
      </c>
      <c r="I206" s="189">
        <f t="shared" ca="1" si="59"/>
        <v>238396.037922597</v>
      </c>
      <c r="J206" s="155">
        <f t="shared" ca="1" si="60"/>
        <v>-90553.079870240108</v>
      </c>
      <c r="K206" s="340">
        <f t="shared" ca="1" si="61"/>
        <v>329905</v>
      </c>
      <c r="L206" s="340">
        <f t="shared" ca="1" si="61"/>
        <v>680000</v>
      </c>
      <c r="M206" s="340">
        <f t="shared" ca="1" si="61"/>
        <v>238396.037922597</v>
      </c>
      <c r="N206" s="340">
        <f t="shared" ca="1" si="62"/>
        <v>0</v>
      </c>
      <c r="O206" s="342">
        <f t="shared" ca="1" si="63"/>
        <v>-238396.037922597</v>
      </c>
      <c r="P206" s="344">
        <f t="shared" ca="1" si="64"/>
        <v>3.5000000000000003E-2</v>
      </c>
      <c r="Q206" s="143">
        <f t="shared" ca="1" si="65"/>
        <v>328949.11779283709</v>
      </c>
      <c r="R206" s="187">
        <f t="shared" ca="1" si="66"/>
        <v>1.1401357960057691E-3</v>
      </c>
      <c r="S206" s="143">
        <f t="shared" ca="1" si="67"/>
        <v>238396.037922597</v>
      </c>
      <c r="T206" s="187">
        <f t="shared" ca="1" si="68"/>
        <v>8.2627932941494028E-4</v>
      </c>
      <c r="V206" s="1" t="s">
        <v>80</v>
      </c>
      <c r="W206" s="1" t="s">
        <v>79</v>
      </c>
      <c r="X206" s="345" t="str">
        <f t="shared" ca="1" si="69"/>
        <v>P</v>
      </c>
    </row>
    <row r="207" spans="1:24" x14ac:dyDescent="0.25">
      <c r="B207" s="173"/>
      <c r="C207"/>
      <c r="D207"/>
      <c r="E207" s="138"/>
      <c r="F207"/>
      <c r="G207" s="148" t="str">
        <f ca="1"/>
        <v>EURCAD PUT SPREAD</v>
      </c>
      <c r="H207" s="189">
        <f t="shared" ca="1" si="58"/>
        <v>-13366825.837664995</v>
      </c>
      <c r="I207" s="189">
        <f t="shared" ca="1" si="59"/>
        <v>411651.35515478253</v>
      </c>
      <c r="J207" s="155">
        <f t="shared" ca="1" si="60"/>
        <v>54578.996532922523</v>
      </c>
      <c r="K207" s="340">
        <f t="shared" ca="1" si="61"/>
        <v>345872</v>
      </c>
      <c r="L207" s="340">
        <f t="shared" ca="1" si="61"/>
        <v>1820000</v>
      </c>
      <c r="M207" s="340">
        <f t="shared" ca="1" si="61"/>
        <v>411651.35515478253</v>
      </c>
      <c r="N207" s="340">
        <f t="shared" ca="1" si="62"/>
        <v>0</v>
      </c>
      <c r="O207" s="342">
        <f t="shared" ca="1" si="63"/>
        <v>-411651.35515478253</v>
      </c>
      <c r="P207" s="344">
        <f t="shared" ca="1" si="64"/>
        <v>0.105</v>
      </c>
      <c r="Q207" s="143">
        <f t="shared" ca="1" si="65"/>
        <v>411651.35515478253</v>
      </c>
      <c r="R207" s="187">
        <f t="shared" ca="1" si="66"/>
        <v>1.426781286526592E-3</v>
      </c>
      <c r="S207" s="143">
        <f t="shared" ca="1" si="67"/>
        <v>411651.35515478253</v>
      </c>
      <c r="T207" s="187">
        <f t="shared" ca="1" si="68"/>
        <v>1.426781286526592E-3</v>
      </c>
      <c r="V207" s="1" t="s">
        <v>80</v>
      </c>
      <c r="W207" s="1" t="s">
        <v>79</v>
      </c>
      <c r="X207" s="345" t="str">
        <f t="shared" ca="1" si="69"/>
        <v>P</v>
      </c>
    </row>
    <row r="208" spans="1:24" x14ac:dyDescent="0.25">
      <c r="B208" s="173"/>
      <c r="C208"/>
      <c r="D208"/>
      <c r="E208" s="138"/>
      <c r="F208"/>
      <c r="G208" s="148" t="str">
        <f ca="1"/>
        <v>EURHUF OT SPREAD</v>
      </c>
      <c r="H208" s="189">
        <f t="shared" ca="1" si="58"/>
        <v>10924314.798592625</v>
      </c>
      <c r="I208" s="189">
        <f t="shared" ca="1" si="59"/>
        <v>383507.44540872541</v>
      </c>
      <c r="J208" s="155">
        <f t="shared" ca="1" si="60"/>
        <v>27302.002357384747</v>
      </c>
      <c r="K208" s="340">
        <f t="shared" ca="1" si="61"/>
        <v>356356</v>
      </c>
      <c r="L208" s="340">
        <f t="shared" ca="1" si="61"/>
        <v>712000</v>
      </c>
      <c r="M208" s="340">
        <f t="shared" ca="1" si="61"/>
        <v>383507.44540872541</v>
      </c>
      <c r="N208" s="340">
        <f t="shared" ca="1" si="62"/>
        <v>0</v>
      </c>
      <c r="O208" s="342">
        <f t="shared" ca="1" si="63"/>
        <v>-383507.44540872541</v>
      </c>
      <c r="P208" s="344">
        <f t="shared" ca="1" si="64"/>
        <v>0.114</v>
      </c>
      <c r="Q208" s="143">
        <f t="shared" ca="1" si="65"/>
        <v>383507.44540872541</v>
      </c>
      <c r="R208" s="187">
        <f t="shared" ca="1" si="66"/>
        <v>1.3292346533076409E-3</v>
      </c>
      <c r="S208" s="143">
        <f t="shared" ca="1" si="67"/>
        <v>383507.44540872541</v>
      </c>
      <c r="T208" s="187">
        <f t="shared" ca="1" si="68"/>
        <v>1.3292346533076409E-3</v>
      </c>
      <c r="V208" s="1" t="s">
        <v>80</v>
      </c>
      <c r="W208" s="1" t="s">
        <v>79</v>
      </c>
      <c r="X208" s="345" t="str">
        <f t="shared" ca="1" si="69"/>
        <v>P</v>
      </c>
    </row>
    <row r="209" spans="2:24" x14ac:dyDescent="0.25">
      <c r="B209" s="173"/>
      <c r="C209"/>
      <c r="D209"/>
      <c r="E209" s="138"/>
      <c r="F209"/>
      <c r="G209" s="148" t="str">
        <f ca="1"/>
        <v>EURNOK 5M KI SPREAD</v>
      </c>
      <c r="H209" s="189">
        <f t="shared" ca="1" si="58"/>
        <v>-13787574.920491576</v>
      </c>
      <c r="I209" s="189">
        <f t="shared" ca="1" si="59"/>
        <v>302474.682682882</v>
      </c>
      <c r="J209" s="155">
        <f t="shared" ca="1" si="60"/>
        <v>19839.892140870012</v>
      </c>
      <c r="K209" s="340">
        <f t="shared" ca="1" si="61"/>
        <v>282796</v>
      </c>
      <c r="L209" s="340">
        <f t="shared" ca="1" si="61"/>
        <v>700000</v>
      </c>
      <c r="M209" s="340">
        <f t="shared" ca="1" si="61"/>
        <v>302474.682682882</v>
      </c>
      <c r="N209" s="340">
        <f t="shared" ca="1" si="62"/>
        <v>0</v>
      </c>
      <c r="O209" s="342">
        <f t="shared" ca="1" si="63"/>
        <v>-302474.682682882</v>
      </c>
      <c r="P209" s="344">
        <f t="shared" ca="1" si="64"/>
        <v>9.2999999999999999E-2</v>
      </c>
      <c r="Q209" s="143">
        <f t="shared" ca="1" si="65"/>
        <v>302474.682682882</v>
      </c>
      <c r="R209" s="187">
        <f t="shared" ca="1" si="66"/>
        <v>1.0483755525054323E-3</v>
      </c>
      <c r="S209" s="143">
        <f t="shared" ca="1" si="67"/>
        <v>302474.682682882</v>
      </c>
      <c r="T209" s="187">
        <f t="shared" ca="1" si="68"/>
        <v>1.0483755525054323E-3</v>
      </c>
      <c r="V209" s="1" t="s">
        <v>81</v>
      </c>
      <c r="W209" s="1" t="s">
        <v>79</v>
      </c>
      <c r="X209" s="345" t="str">
        <f t="shared" ca="1" si="69"/>
        <v>P</v>
      </c>
    </row>
    <row r="210" spans="2:24" x14ac:dyDescent="0.25">
      <c r="B210" s="173"/>
      <c r="C210"/>
      <c r="D210"/>
      <c r="E210" s="138"/>
      <c r="F210"/>
      <c r="G210" s="148" t="str">
        <f ca="1"/>
        <v>EURTRY 5.061/4.44 NOV18 PS</v>
      </c>
      <c r="H210" s="189">
        <f t="shared" ca="1" si="58"/>
        <v>-3.6907632340651803E-9</v>
      </c>
      <c r="I210" s="189">
        <f t="shared" ca="1" si="59"/>
        <v>1.270062423142252E-9</v>
      </c>
      <c r="J210" s="155">
        <f t="shared" ca="1" si="60"/>
        <v>-216150.99999999875</v>
      </c>
      <c r="K210" s="340">
        <f t="shared" ca="1" si="61"/>
        <v>234382</v>
      </c>
      <c r="L210" s="340">
        <f t="shared" ca="1" si="61"/>
        <v>595000</v>
      </c>
      <c r="M210" s="340">
        <f t="shared" ca="1" si="61"/>
        <v>2.8394922295165988E-11</v>
      </c>
      <c r="N210" s="340">
        <f t="shared" ca="1" si="62"/>
        <v>0</v>
      </c>
      <c r="O210" s="342">
        <f t="shared" ca="1" si="63"/>
        <v>-2.8394922295165988E-11</v>
      </c>
      <c r="P210" s="344">
        <f t="shared" ca="1" si="64"/>
        <v>0.85199999999999998</v>
      </c>
      <c r="Q210" s="143">
        <f t="shared" ca="1" si="65"/>
        <v>216150.99999999878</v>
      </c>
      <c r="R210" s="187">
        <f t="shared" ca="1" si="66"/>
        <v>7.4917815282801129E-4</v>
      </c>
      <c r="S210" s="143">
        <f t="shared" ca="1" si="67"/>
        <v>2.8394922295165988E-11</v>
      </c>
      <c r="T210" s="187">
        <f t="shared" ca="1" si="68"/>
        <v>9.8416641305325863E-20</v>
      </c>
      <c r="V210" s="1" t="s">
        <v>82</v>
      </c>
      <c r="W210" s="1" t="s">
        <v>79</v>
      </c>
      <c r="X210" s="345" t="str">
        <f t="shared" ca="1" si="69"/>
        <v>P</v>
      </c>
    </row>
    <row r="211" spans="2:24" outlineLevel="1" x14ac:dyDescent="0.25">
      <c r="B211" s="173"/>
      <c r="C211"/>
      <c r="D211"/>
      <c r="E211" s="138"/>
      <c r="F211" s="68"/>
      <c r="G211" s="148" t="str">
        <f ca="1"/>
        <v>EURUSD/EURBRL DUAL BINARY</v>
      </c>
      <c r="H211" s="189">
        <f t="shared" ca="1" si="58"/>
        <v>-6923119.3436523974</v>
      </c>
      <c r="I211" s="189">
        <f t="shared" ca="1" si="59"/>
        <v>431078.1354408951</v>
      </c>
      <c r="J211" s="155">
        <f t="shared" ca="1" si="60"/>
        <v>-170294.02996436891</v>
      </c>
      <c r="K211" s="340">
        <f t="shared" ca="1" si="61"/>
        <v>354163.66009071399</v>
      </c>
      <c r="L211" s="340">
        <f t="shared" ca="1" si="61"/>
        <v>1000000</v>
      </c>
      <c r="M211" s="340">
        <f t="shared" ca="1" si="61"/>
        <v>431078.1354408951</v>
      </c>
      <c r="N211" s="340">
        <f t="shared" ca="1" si="62"/>
        <v>200000</v>
      </c>
      <c r="O211" s="342">
        <f t="shared" ca="1" si="63"/>
        <v>-231078.1354408951</v>
      </c>
      <c r="P211" s="344">
        <f t="shared" ca="1" si="64"/>
        <v>0.114</v>
      </c>
      <c r="Q211" s="143">
        <f t="shared" ca="1" si="65"/>
        <v>401372.16540526401</v>
      </c>
      <c r="R211" s="187">
        <f t="shared" ca="1" si="66"/>
        <v>1.3911536725478781E-3</v>
      </c>
      <c r="S211" s="143">
        <f t="shared" ca="1" si="67"/>
        <v>231078.1354408951</v>
      </c>
      <c r="T211" s="187">
        <f t="shared" ca="1" si="68"/>
        <v>8.009155204859185E-4</v>
      </c>
      <c r="V211" s="1" t="s">
        <v>80</v>
      </c>
      <c r="W211" s="1" t="s">
        <v>83</v>
      </c>
      <c r="X211" s="345" t="str">
        <f t="shared" ca="1" si="69"/>
        <v>P</v>
      </c>
    </row>
    <row r="212" spans="2:24" outlineLevel="1" x14ac:dyDescent="0.25">
      <c r="B212" s="173"/>
      <c r="C212" s="150"/>
      <c r="D212" s="150"/>
      <c r="E212" s="150"/>
      <c r="F212" s="151"/>
      <c r="G212" s="148" t="str">
        <f ca="1"/>
        <v>GBPINR KI SPREAD</v>
      </c>
      <c r="H212" s="189">
        <f t="shared" ca="1" si="58"/>
        <v>-3858494.7937612808</v>
      </c>
      <c r="I212" s="189">
        <f t="shared" ca="1" si="59"/>
        <v>125452.69795215767</v>
      </c>
      <c r="J212" s="155">
        <f t="shared" ca="1" si="60"/>
        <v>-128239.36778728117</v>
      </c>
      <c r="K212" s="340">
        <f t="shared" ca="1" si="61"/>
        <v>254933</v>
      </c>
      <c r="L212" s="340">
        <f t="shared" ca="1" si="61"/>
        <v>600000</v>
      </c>
      <c r="M212" s="340">
        <f t="shared" ca="1" si="61"/>
        <v>125452.69795215767</v>
      </c>
      <c r="N212" s="340">
        <f t="shared" ca="1" si="62"/>
        <v>0</v>
      </c>
      <c r="O212" s="342">
        <f t="shared" ca="1" si="63"/>
        <v>-125452.69795215767</v>
      </c>
      <c r="P212" s="344">
        <f t="shared" ca="1" si="64"/>
        <v>3.4000000000000002E-2</v>
      </c>
      <c r="Q212" s="143">
        <f t="shared" ca="1" si="65"/>
        <v>253692.06573943884</v>
      </c>
      <c r="R212" s="187">
        <f t="shared" ca="1" si="66"/>
        <v>8.7929527597742439E-4</v>
      </c>
      <c r="S212" s="143">
        <f t="shared" ca="1" si="67"/>
        <v>125452.69795215767</v>
      </c>
      <c r="T212" s="187">
        <f t="shared" ca="1" si="68"/>
        <v>4.3481834698469332E-4</v>
      </c>
      <c r="V212" s="1" t="s">
        <v>80</v>
      </c>
      <c r="W212" s="1" t="s">
        <v>83</v>
      </c>
      <c r="X212" s="345" t="str">
        <f t="shared" ca="1" si="69"/>
        <v>P</v>
      </c>
    </row>
    <row r="213" spans="2:24" outlineLevel="1" x14ac:dyDescent="0.25">
      <c r="B213" s="173"/>
      <c r="C213" s="150"/>
      <c r="D213" s="150"/>
      <c r="E213" s="150"/>
      <c r="F213" s="151"/>
      <c r="G213" s="148" t="str">
        <f ca="1"/>
        <v>NOKSEK OT CALENDAR SPREAD</v>
      </c>
      <c r="H213" s="189">
        <f t="shared" ca="1" si="58"/>
        <v>5577040.9756591842</v>
      </c>
      <c r="I213" s="189">
        <f t="shared" ca="1" si="59"/>
        <v>365857.33823953394</v>
      </c>
      <c r="J213" s="155">
        <f t="shared" ca="1" si="60"/>
        <v>39836.230774025898</v>
      </c>
      <c r="K213" s="340">
        <f t="shared" ca="1" si="61"/>
        <v>327799</v>
      </c>
      <c r="L213" s="340">
        <f t="shared" ca="1" si="61"/>
        <v>820000</v>
      </c>
      <c r="M213" s="340">
        <f t="shared" ca="1" si="61"/>
        <v>365857.33823953394</v>
      </c>
      <c r="N213" s="340">
        <f t="shared" ca="1" si="62"/>
        <v>0</v>
      </c>
      <c r="O213" s="342">
        <f t="shared" ca="1" si="63"/>
        <v>-365857.33823953394</v>
      </c>
      <c r="P213" s="344">
        <f t="shared" ca="1" si="64"/>
        <v>1.0999999999999999E-2</v>
      </c>
      <c r="Q213" s="143">
        <f t="shared" ca="1" si="65"/>
        <v>365857.33823953394</v>
      </c>
      <c r="R213" s="187">
        <f t="shared" ca="1" si="66"/>
        <v>1.2680594809224501E-3</v>
      </c>
      <c r="S213" s="143">
        <f t="shared" ca="1" si="67"/>
        <v>365857.33823953394</v>
      </c>
      <c r="T213" s="187">
        <f t="shared" ca="1" si="68"/>
        <v>1.2680594809224501E-3</v>
      </c>
      <c r="V213" s="1" t="s">
        <v>80</v>
      </c>
      <c r="W213" s="1" t="s">
        <v>83</v>
      </c>
      <c r="X213" s="345" t="str">
        <f t="shared" ca="1" si="69"/>
        <v>P</v>
      </c>
    </row>
    <row r="214" spans="2:24" outlineLevel="1" x14ac:dyDescent="0.25">
      <c r="B214" s="173"/>
      <c r="C214" s="150"/>
      <c r="D214" s="150"/>
      <c r="E214" s="150"/>
      <c r="F214" s="151"/>
      <c r="G214" s="148" t="str">
        <f ca="1"/>
        <v>USDIDR PUT SPREAD</v>
      </c>
      <c r="H214" s="189">
        <f t="shared" ca="1" si="58"/>
        <v>-19251.437403400305</v>
      </c>
      <c r="I214" s="189">
        <f t="shared" ca="1" si="59"/>
        <v>204.80923825178931</v>
      </c>
      <c r="J214" s="155">
        <f t="shared" ca="1" si="60"/>
        <v>-884645.19068656082</v>
      </c>
      <c r="K214" s="340">
        <f t="shared" ca="1" si="61"/>
        <v>276000</v>
      </c>
      <c r="L214" s="340">
        <f t="shared" ca="1" si="61"/>
        <v>575000</v>
      </c>
      <c r="M214" s="340">
        <f t="shared" ca="1" si="61"/>
        <v>204.80923825178931</v>
      </c>
      <c r="N214" s="340">
        <f t="shared" ca="1" si="62"/>
        <v>0</v>
      </c>
      <c r="O214" s="342">
        <f t="shared" ca="1" si="63"/>
        <v>-204.80923825178931</v>
      </c>
      <c r="P214" s="344">
        <f t="shared" ca="1" si="64"/>
        <v>0.51700000000000002</v>
      </c>
      <c r="Q214" s="143">
        <f t="shared" ca="1" si="65"/>
        <v>884849.99992481258</v>
      </c>
      <c r="R214" s="187">
        <f t="shared" ca="1" si="66"/>
        <v>3.0668851334184934E-3</v>
      </c>
      <c r="S214" s="143">
        <f t="shared" ca="1" si="67"/>
        <v>204.80923825178931</v>
      </c>
      <c r="T214" s="187">
        <f t="shared" ca="1" si="68"/>
        <v>7.0986767026564045E-7</v>
      </c>
      <c r="V214" s="1" t="s">
        <v>80</v>
      </c>
      <c r="W214" s="1" t="s">
        <v>83</v>
      </c>
      <c r="X214" s="345" t="str">
        <f t="shared" ca="1" si="69"/>
        <v>P</v>
      </c>
    </row>
    <row r="215" spans="2:24" outlineLevel="1" x14ac:dyDescent="0.25">
      <c r="B215" s="173"/>
      <c r="C215" s="150"/>
      <c r="D215" s="150"/>
      <c r="E215" s="150"/>
      <c r="F215" s="151"/>
      <c r="G215" s="148" t="str">
        <f ca="1"/>
        <v>USDJPY 5Y ATMS CALL</v>
      </c>
      <c r="H215" s="189">
        <f t="shared" ca="1" si="58"/>
        <v>1454470.889901537</v>
      </c>
      <c r="I215" s="189">
        <f t="shared" ca="1" si="59"/>
        <v>4752918.2582287593</v>
      </c>
      <c r="J215" s="155">
        <f t="shared" ca="1" si="60"/>
        <v>-1491332.1107915079</v>
      </c>
      <c r="K215" s="340">
        <f t="shared" ca="1" si="61"/>
        <v>5875625</v>
      </c>
      <c r="L215" s="340">
        <f t="shared" ca="1" si="61"/>
        <v>12000000</v>
      </c>
      <c r="M215" s="340">
        <f t="shared" ca="1" si="61"/>
        <v>4752918.2582287584</v>
      </c>
      <c r="N215" s="340">
        <f t="shared" ca="1" si="62"/>
        <v>2500000</v>
      </c>
      <c r="O215" s="342">
        <f t="shared" ca="1" si="63"/>
        <v>-2252918.2582287584</v>
      </c>
      <c r="P215" s="344">
        <f t="shared" ca="1" si="64"/>
        <v>0.03</v>
      </c>
      <c r="Q215" s="143">
        <f t="shared" ca="1" si="65"/>
        <v>3744250.3690202665</v>
      </c>
      <c r="R215" s="187">
        <f t="shared" ca="1" si="66"/>
        <v>1.2977550763994702E-2</v>
      </c>
      <c r="S215" s="143">
        <f t="shared" ca="1" si="67"/>
        <v>2252918.2582287584</v>
      </c>
      <c r="T215" s="187">
        <f t="shared" ca="1" si="68"/>
        <v>7.808602038261823E-3</v>
      </c>
      <c r="V215" s="1" t="s">
        <v>80</v>
      </c>
      <c r="W215" s="1" t="s">
        <v>83</v>
      </c>
      <c r="X215" s="345" t="str">
        <f t="shared" ca="1" si="69"/>
        <v>P</v>
      </c>
    </row>
    <row r="216" spans="2:24" outlineLevel="1" x14ac:dyDescent="0.25">
      <c r="B216" s="173"/>
      <c r="C216" s="150"/>
      <c r="D216" s="150"/>
      <c r="E216" s="150"/>
      <c r="F216" s="151"/>
      <c r="G216" s="148" t="str">
        <f ca="1"/>
        <v>USDKRW OT VS DIGI</v>
      </c>
      <c r="H216" s="189">
        <f t="shared" ca="1" si="58"/>
        <v>8525081.7545979246</v>
      </c>
      <c r="I216" s="189">
        <f t="shared" ca="1" si="59"/>
        <v>28790.661776299305</v>
      </c>
      <c r="J216" s="155">
        <f t="shared" ca="1" si="60"/>
        <v>-211209.33822370073</v>
      </c>
      <c r="K216" s="340">
        <f t="shared" ca="1" si="61"/>
        <v>240000</v>
      </c>
      <c r="L216" s="340">
        <f t="shared" ca="1" si="61"/>
        <v>600000</v>
      </c>
      <c r="M216" s="340">
        <f t="shared" ca="1" si="61"/>
        <v>28790.661776299305</v>
      </c>
      <c r="N216" s="340">
        <f t="shared" ca="1" si="62"/>
        <v>0</v>
      </c>
      <c r="O216" s="342">
        <f t="shared" ca="1" si="63"/>
        <v>-28790.661776299305</v>
      </c>
      <c r="P216" s="344">
        <f t="shared" ca="1" si="64"/>
        <v>0.67600000000000005</v>
      </c>
      <c r="Q216" s="143">
        <f t="shared" ca="1" si="65"/>
        <v>240000.00000000003</v>
      </c>
      <c r="R216" s="187">
        <f t="shared" ca="1" si="66"/>
        <v>8.3183865297280029E-4</v>
      </c>
      <c r="S216" s="143">
        <f t="shared" ca="1" si="67"/>
        <v>28790.661776299305</v>
      </c>
      <c r="T216" s="187">
        <f t="shared" ca="1" si="68"/>
        <v>9.978827212580125E-5</v>
      </c>
      <c r="V216" s="1" t="s">
        <v>80</v>
      </c>
      <c r="W216" s="1" t="s">
        <v>83</v>
      </c>
      <c r="X216" s="345" t="str">
        <f t="shared" ca="1" si="69"/>
        <v>P</v>
      </c>
    </row>
    <row r="217" spans="2:24" outlineLevel="1" x14ac:dyDescent="0.25">
      <c r="B217" s="173"/>
      <c r="C217" s="150"/>
      <c r="D217" s="150"/>
      <c r="E217" s="150"/>
      <c r="F217" s="151"/>
      <c r="G217" s="148" t="str">
        <f ca="1"/>
        <v>USDMXN KI PUT SPREAD</v>
      </c>
      <c r="H217" s="189">
        <f t="shared" ca="1" si="58"/>
        <v>-1565854.8663955939</v>
      </c>
      <c r="I217" s="189">
        <f t="shared" ca="1" si="59"/>
        <v>34382.140653557464</v>
      </c>
      <c r="J217" s="155">
        <f t="shared" ca="1" si="60"/>
        <v>-200617.85934644259</v>
      </c>
      <c r="K217" s="340">
        <f t="shared" ref="K217:M268" ca="1" si="70">IF(NOT(ISTEXT($G217)),"",IF($X217="I","",IFERROR(INDEX(strategy_level_concentrations,MATCH($G217,OFFSET(strategy_level_concentrations,0,0,,1),0),MATCH(K$195,OFFSET(strategy_level_concentrations,0,0,1),0)),0)))</f>
        <v>235000</v>
      </c>
      <c r="L217" s="340">
        <f t="shared" ca="1" si="70"/>
        <v>600000</v>
      </c>
      <c r="M217" s="340">
        <f t="shared" ca="1" si="70"/>
        <v>34382.140653557464</v>
      </c>
      <c r="N217" s="340">
        <f t="shared" ca="1" si="62"/>
        <v>0</v>
      </c>
      <c r="O217" s="342">
        <f t="shared" ca="1" si="63"/>
        <v>-34382.140653557464</v>
      </c>
      <c r="P217" s="344">
        <f t="shared" ca="1" si="64"/>
        <v>0.41799999999999998</v>
      </c>
      <c r="Q217" s="143">
        <f t="shared" ca="1" si="65"/>
        <v>235000.00000000006</v>
      </c>
      <c r="R217" s="187">
        <f t="shared" ca="1" si="66"/>
        <v>8.1450868103586705E-4</v>
      </c>
      <c r="S217" s="143">
        <f t="shared" ca="1" si="67"/>
        <v>34382.140653557464</v>
      </c>
      <c r="T217" s="187">
        <f t="shared" ca="1" si="68"/>
        <v>1.1916830653156912E-4</v>
      </c>
      <c r="V217" s="1" t="s">
        <v>80</v>
      </c>
      <c r="W217" s="1" t="s">
        <v>84</v>
      </c>
      <c r="X217" s="345" t="str">
        <f t="shared" ca="1" si="69"/>
        <v>P</v>
      </c>
    </row>
    <row r="218" spans="2:24" outlineLevel="1" x14ac:dyDescent="0.25">
      <c r="B218" s="173"/>
      <c r="C218" s="150"/>
      <c r="D218" s="150"/>
      <c r="E218" s="150"/>
      <c r="F218" s="151"/>
      <c r="G218" s="148" t="str">
        <f ca="1"/>
        <v>USDRUB OCT18 ONE TOUCH</v>
      </c>
      <c r="H218" s="189">
        <f t="shared" ca="1" si="58"/>
        <v>-99648.285131452998</v>
      </c>
      <c r="I218" s="189">
        <f t="shared" ca="1" si="59"/>
        <v>1992.8556736054138</v>
      </c>
      <c r="J218" s="155">
        <f t="shared" ca="1" si="60"/>
        <v>-220007.1443263946</v>
      </c>
      <c r="K218" s="340">
        <f t="shared" ca="1" si="70"/>
        <v>222000</v>
      </c>
      <c r="L218" s="340">
        <f t="shared" ca="1" si="70"/>
        <v>1000000</v>
      </c>
      <c r="M218" s="340">
        <f t="shared" ca="1" si="70"/>
        <v>1992.8556736054138</v>
      </c>
      <c r="N218" s="340">
        <f t="shared" ca="1" si="62"/>
        <v>0</v>
      </c>
      <c r="O218" s="342">
        <f t="shared" ca="1" si="63"/>
        <v>-1992.8556736054138</v>
      </c>
      <c r="P218" s="344">
        <f t="shared" ca="1" si="64"/>
        <v>0</v>
      </c>
      <c r="Q218" s="143">
        <f t="shared" ca="1" si="65"/>
        <v>222000</v>
      </c>
      <c r="R218" s="187">
        <f t="shared" ca="1" si="66"/>
        <v>7.6945075399984008E-4</v>
      </c>
      <c r="S218" s="143">
        <f t="shared" ca="1" si="67"/>
        <v>1992.8556736054138</v>
      </c>
      <c r="T218" s="187">
        <f t="shared" ca="1" si="68"/>
        <v>6.9072265795880404E-6</v>
      </c>
      <c r="V218" s="1" t="s">
        <v>80</v>
      </c>
      <c r="W218" s="1" t="s">
        <v>84</v>
      </c>
      <c r="X218" s="345" t="str">
        <f t="shared" ca="1" si="69"/>
        <v>P</v>
      </c>
    </row>
    <row r="219" spans="2:24" outlineLevel="1" x14ac:dyDescent="0.25">
      <c r="B219" s="173"/>
      <c r="C219" s="150"/>
      <c r="D219" s="150"/>
      <c r="E219" s="150"/>
      <c r="F219" s="151"/>
      <c r="G219" s="148" t="str">
        <f ca="1"/>
        <v>USDSEK CALENDAR SPREAD</v>
      </c>
      <c r="H219" s="189">
        <f t="shared" ca="1" si="58"/>
        <v>-6764473.9026428042</v>
      </c>
      <c r="I219" s="189">
        <f t="shared" ca="1" si="59"/>
        <v>169800.94898695519</v>
      </c>
      <c r="J219" s="155">
        <f t="shared" ca="1" si="60"/>
        <v>-368825.58588746277</v>
      </c>
      <c r="K219" s="340">
        <f t="shared" ca="1" si="70"/>
        <v>427375</v>
      </c>
      <c r="L219" s="340">
        <f t="shared" ca="1" si="70"/>
        <v>2700000</v>
      </c>
      <c r="M219" s="340">
        <f t="shared" ca="1" si="70"/>
        <v>169800.94898695519</v>
      </c>
      <c r="N219" s="340">
        <f t="shared" ca="1" si="62"/>
        <v>0</v>
      </c>
      <c r="O219" s="342">
        <f t="shared" ca="1" si="63"/>
        <v>-169800.94898695519</v>
      </c>
      <c r="P219" s="344">
        <f t="shared" ca="1" si="64"/>
        <v>0.28000000000000003</v>
      </c>
      <c r="Q219" s="143">
        <f t="shared" ca="1" si="65"/>
        <v>538626.53487441794</v>
      </c>
      <c r="R219" s="187">
        <f t="shared" ca="1" si="66"/>
        <v>1.8668765467722615E-3</v>
      </c>
      <c r="S219" s="143">
        <f t="shared" ca="1" si="67"/>
        <v>169800.94898695519</v>
      </c>
      <c r="T219" s="187">
        <f t="shared" ca="1" si="68"/>
        <v>5.8852913616171652E-4</v>
      </c>
      <c r="V219" s="1" t="s">
        <v>80</v>
      </c>
      <c r="W219" s="1" t="s">
        <v>84</v>
      </c>
      <c r="X219" s="345" t="str">
        <f t="shared" ca="1" si="69"/>
        <v>P</v>
      </c>
    </row>
    <row r="220" spans="2:24" outlineLevel="1" x14ac:dyDescent="0.25">
      <c r="B220" s="173"/>
      <c r="C220" s="150"/>
      <c r="D220" s="150"/>
      <c r="E220" s="150"/>
      <c r="F220" s="151"/>
      <c r="G220" s="148" t="str">
        <f ca="1"/>
        <v>USDTRY CALENDAR SPREAD</v>
      </c>
      <c r="H220" s="189">
        <f t="shared" ca="1" si="58"/>
        <v>-47334.972429002504</v>
      </c>
      <c r="I220" s="189">
        <f t="shared" ca="1" si="59"/>
        <v>473.20333381228397</v>
      </c>
      <c r="J220" s="155">
        <f t="shared" ca="1" si="60"/>
        <v>-374525.7966661877</v>
      </c>
      <c r="K220" s="340">
        <f t="shared" ca="1" si="70"/>
        <v>1080000</v>
      </c>
      <c r="L220" s="340">
        <f t="shared" ca="1" si="70"/>
        <v>2375000</v>
      </c>
      <c r="M220" s="340">
        <f t="shared" ca="1" si="70"/>
        <v>473.20333381228397</v>
      </c>
      <c r="N220" s="340">
        <f t="shared" ca="1" si="62"/>
        <v>0</v>
      </c>
      <c r="O220" s="342">
        <f t="shared" ca="1" si="63"/>
        <v>-473.20333381228397</v>
      </c>
      <c r="P220" s="344">
        <f t="shared" ca="1" si="64"/>
        <v>0</v>
      </c>
      <c r="Q220" s="143">
        <f t="shared" ca="1" si="65"/>
        <v>374999</v>
      </c>
      <c r="R220" s="187">
        <f t="shared" ca="1" si="66"/>
        <v>1.2997444292756129E-3</v>
      </c>
      <c r="S220" s="143">
        <f t="shared" ca="1" si="67"/>
        <v>473.20333381228397</v>
      </c>
      <c r="T220" s="187">
        <f t="shared" ca="1" si="68"/>
        <v>1.6401200990860358E-6</v>
      </c>
      <c r="V220" s="1" t="s">
        <v>80</v>
      </c>
      <c r="W220" s="1" t="s">
        <v>84</v>
      </c>
      <c r="X220" s="345" t="str">
        <f t="shared" ca="1" si="69"/>
        <v>P</v>
      </c>
    </row>
    <row r="221" spans="2:24" outlineLevel="1" x14ac:dyDescent="0.25">
      <c r="B221" s="173"/>
      <c r="C221" s="150"/>
      <c r="D221" s="150"/>
      <c r="E221" s="150"/>
      <c r="F221" s="151"/>
      <c r="G221" s="148" t="str">
        <f ca="1"/>
        <v>USDTWD DIGITAL</v>
      </c>
      <c r="H221" s="189">
        <f t="shared" ca="1" si="58"/>
        <v>1354780.473735292</v>
      </c>
      <c r="I221" s="189">
        <f t="shared" ca="1" si="59"/>
        <v>834886.8099600079</v>
      </c>
      <c r="J221" s="155">
        <f t="shared" ca="1" si="60"/>
        <v>3674.5327161096793</v>
      </c>
      <c r="K221" s="340">
        <f t="shared" ca="1" si="70"/>
        <v>684000</v>
      </c>
      <c r="L221" s="340">
        <f t="shared" ca="1" si="70"/>
        <v>2300000</v>
      </c>
      <c r="M221" s="340">
        <f t="shared" ca="1" si="70"/>
        <v>834886.8099600079</v>
      </c>
      <c r="N221" s="340">
        <f t="shared" ca="1" si="62"/>
        <v>0</v>
      </c>
      <c r="O221" s="342">
        <f t="shared" ca="1" si="63"/>
        <v>-834886.8099600079</v>
      </c>
      <c r="P221" s="344">
        <f t="shared" ca="1" si="64"/>
        <v>0.13400000000000001</v>
      </c>
      <c r="Q221" s="143">
        <f t="shared" ca="1" si="65"/>
        <v>834886.8099600079</v>
      </c>
      <c r="R221" s="187">
        <f t="shared" ca="1" si="66"/>
        <v>2.8937129974245463E-3</v>
      </c>
      <c r="S221" s="143">
        <f t="shared" ca="1" si="67"/>
        <v>834886.8099600079</v>
      </c>
      <c r="T221" s="187">
        <f t="shared" ca="1" si="68"/>
        <v>2.8937129974245463E-3</v>
      </c>
      <c r="V221" s="1" t="s">
        <v>80</v>
      </c>
      <c r="W221" s="1" t="s">
        <v>84</v>
      </c>
      <c r="X221" s="345" t="str">
        <f t="shared" ca="1" si="69"/>
        <v>P</v>
      </c>
    </row>
    <row r="222" spans="2:24" outlineLevel="1" x14ac:dyDescent="0.25">
      <c r="B222" s="173"/>
      <c r="C222" s="150"/>
      <c r="D222" s="150"/>
      <c r="E222" s="150"/>
      <c r="F222" s="151"/>
      <c r="G222" s="148" t="str">
        <f ca="1"/>
        <v>USDTWD RKI CALL SPREAD</v>
      </c>
      <c r="H222" s="189">
        <f t="shared" ca="1" si="58"/>
        <v>21887382.717655659</v>
      </c>
      <c r="I222" s="189">
        <f t="shared" ca="1" si="59"/>
        <v>586457.39184107212</v>
      </c>
      <c r="J222" s="155">
        <f t="shared" ca="1" si="60"/>
        <v>229457.39184107209</v>
      </c>
      <c r="K222" s="340">
        <f t="shared" ca="1" si="70"/>
        <v>357000</v>
      </c>
      <c r="L222" s="340">
        <f t="shared" ca="1" si="70"/>
        <v>892000</v>
      </c>
      <c r="M222" s="340">
        <f t="shared" ca="1" si="70"/>
        <v>586457.39184107212</v>
      </c>
      <c r="N222" s="340">
        <f t="shared" ca="1" si="62"/>
        <v>0</v>
      </c>
      <c r="O222" s="342">
        <f t="shared" ca="1" si="63"/>
        <v>-586457.39184107212</v>
      </c>
      <c r="P222" s="344">
        <f t="shared" ca="1" si="64"/>
        <v>3.6999999999999998E-2</v>
      </c>
      <c r="Q222" s="143">
        <f t="shared" ca="1" si="65"/>
        <v>586457.39184107212</v>
      </c>
      <c r="R222" s="187">
        <f t="shared" ca="1" si="66"/>
        <v>2.0326580285625795E-3</v>
      </c>
      <c r="S222" s="143">
        <f t="shared" ca="1" si="67"/>
        <v>586457.39184107212</v>
      </c>
      <c r="T222" s="187">
        <f t="shared" ca="1" si="68"/>
        <v>2.0326580285625795E-3</v>
      </c>
      <c r="V222" s="1" t="s">
        <v>81</v>
      </c>
      <c r="W222" s="1" t="s">
        <v>84</v>
      </c>
      <c r="X222" s="345" t="str">
        <f t="shared" ca="1" si="69"/>
        <v>P</v>
      </c>
    </row>
    <row r="223" spans="2:24" outlineLevel="1" x14ac:dyDescent="0.25">
      <c r="B223" s="173"/>
      <c r="C223" s="150"/>
      <c r="D223" s="150"/>
      <c r="E223" s="150"/>
      <c r="F223" s="151"/>
      <c r="G223" s="148" t="str">
        <f ca="1"/>
        <v xml:space="preserve"> EDZ8 PUT CONDOR</v>
      </c>
      <c r="H223" s="189">
        <f t="shared" ca="1" si="58"/>
        <v>585.52067781900723</v>
      </c>
      <c r="I223" s="189">
        <f t="shared" ca="1" si="59"/>
        <v>93749.999999999971</v>
      </c>
      <c r="J223" s="155">
        <f t="shared" ca="1" si="60"/>
        <v>37249</v>
      </c>
      <c r="K223" s="340">
        <f t="shared" ca="1" si="70"/>
        <v>148046.875</v>
      </c>
      <c r="L223" s="340">
        <f t="shared" ca="1" si="70"/>
        <v>500000</v>
      </c>
      <c r="M223" s="340">
        <f t="shared" ca="1" si="70"/>
        <v>93749.999999999971</v>
      </c>
      <c r="N223" s="340">
        <f t="shared" ca="1" si="62"/>
        <v>0</v>
      </c>
      <c r="O223" s="342">
        <f t="shared" ca="1" si="63"/>
        <v>-93749.999999999971</v>
      </c>
      <c r="P223" s="344">
        <f t="shared" ca="1" si="64"/>
        <v>0</v>
      </c>
      <c r="Q223" s="143">
        <f t="shared" ca="1" si="65"/>
        <v>93749.999999999971</v>
      </c>
      <c r="R223" s="187">
        <f t="shared" ca="1" si="66"/>
        <v>3.2493697381749995E-4</v>
      </c>
      <c r="S223" s="143">
        <f t="shared" ca="1" si="67"/>
        <v>93749.999999999971</v>
      </c>
      <c r="T223" s="187">
        <f t="shared" ca="1" si="68"/>
        <v>3.2493697381749995E-4</v>
      </c>
      <c r="V223" s="1" t="s">
        <v>33</v>
      </c>
      <c r="W223" s="1" t="s">
        <v>85</v>
      </c>
      <c r="X223" s="345" t="str">
        <f t="shared" ca="1" si="69"/>
        <v>P</v>
      </c>
    </row>
    <row r="224" spans="2:24" outlineLevel="1" x14ac:dyDescent="0.25">
      <c r="B224" s="173"/>
      <c r="C224" s="150"/>
      <c r="D224" s="150"/>
      <c r="E224" s="150"/>
      <c r="F224" s="151"/>
      <c r="G224" s="148" t="str">
        <f ca="1"/>
        <v>10Y-2Y CMS CURVE CAP</v>
      </c>
      <c r="H224" s="189">
        <f t="shared" ca="1" si="58"/>
        <v>-246470.15580504388</v>
      </c>
      <c r="I224" s="189">
        <f t="shared" ca="1" si="59"/>
        <v>9690172.5676278695</v>
      </c>
      <c r="J224" s="155">
        <f t="shared" ca="1" si="60"/>
        <v>275172.56762787001</v>
      </c>
      <c r="K224" s="340">
        <f t="shared" ca="1" si="70"/>
        <v>9415000</v>
      </c>
      <c r="L224" s="340">
        <f t="shared" ca="1" si="70"/>
        <v>30000000</v>
      </c>
      <c r="M224" s="340">
        <f t="shared" ca="1" si="70"/>
        <v>9690172.5676278695</v>
      </c>
      <c r="N224" s="340">
        <f t="shared" ca="1" si="62"/>
        <v>0</v>
      </c>
      <c r="O224" s="342">
        <f t="shared" ca="1" si="63"/>
        <v>-9690172.5676278695</v>
      </c>
      <c r="P224" s="344">
        <f t="shared" ca="1" si="64"/>
        <v>0</v>
      </c>
      <c r="Q224" s="143">
        <f t="shared" ca="1" si="65"/>
        <v>9690172.5676278695</v>
      </c>
      <c r="R224" s="187">
        <f t="shared" ca="1" si="66"/>
        <v>3.3586083732206444E-2</v>
      </c>
      <c r="S224" s="143">
        <f t="shared" ca="1" si="67"/>
        <v>9690172.5676278695</v>
      </c>
      <c r="T224" s="187">
        <f t="shared" ca="1" si="68"/>
        <v>3.3586083732206444E-2</v>
      </c>
      <c r="V224" s="1" t="s">
        <v>33</v>
      </c>
      <c r="W224" s="1" t="s">
        <v>85</v>
      </c>
      <c r="X224" s="345" t="str">
        <f t="shared" ca="1" si="69"/>
        <v>P</v>
      </c>
    </row>
    <row r="225" spans="2:24" outlineLevel="1" x14ac:dyDescent="0.25">
      <c r="B225" s="173"/>
      <c r="C225" s="150"/>
      <c r="D225" s="150"/>
      <c r="E225" s="150"/>
      <c r="F225" s="151"/>
      <c r="G225" s="148" t="str">
        <f ca="1"/>
        <v>1Y1Y VS 2Y1Y PAYER SWITCH</v>
      </c>
      <c r="H225" s="189">
        <f t="shared" ca="1" si="58"/>
        <v>6949.1697631949901</v>
      </c>
      <c r="I225" s="189">
        <f t="shared" ca="1" si="59"/>
        <v>-24776.837570759701</v>
      </c>
      <c r="J225" s="155">
        <f t="shared" ca="1" si="60"/>
        <v>-129761.59814697293</v>
      </c>
      <c r="K225" s="340">
        <f t="shared" ca="1" si="70"/>
        <v>104999.99899999995</v>
      </c>
      <c r="L225" s="340">
        <f t="shared" ca="1" si="70"/>
        <v>1500000</v>
      </c>
      <c r="M225" s="340">
        <f t="shared" ca="1" si="70"/>
        <v>-24776.837570759468</v>
      </c>
      <c r="N225" s="340">
        <f t="shared" ca="1" si="62"/>
        <v>-1500000</v>
      </c>
      <c r="O225" s="342">
        <f t="shared" ca="1" si="63"/>
        <v>-1475223.1624292405</v>
      </c>
      <c r="P225" s="344">
        <f t="shared" ca="1" si="64"/>
        <v>0</v>
      </c>
      <c r="Q225" s="143">
        <f t="shared" ca="1" si="65"/>
        <v>1604984.7605762135</v>
      </c>
      <c r="R225" s="187">
        <f t="shared" ca="1" si="66"/>
        <v>5.5628681719982901E-3</v>
      </c>
      <c r="S225" s="143">
        <f t="shared" ca="1" si="67"/>
        <v>1475223.1624292405</v>
      </c>
      <c r="T225" s="187">
        <f t="shared" ca="1" si="68"/>
        <v>5.1131152011225575E-3</v>
      </c>
      <c r="V225" s="1" t="s">
        <v>33</v>
      </c>
      <c r="W225" s="1" t="s">
        <v>86</v>
      </c>
      <c r="X225" s="345" t="str">
        <f t="shared" ca="1" si="69"/>
        <v>P</v>
      </c>
    </row>
    <row r="226" spans="2:24" outlineLevel="1" x14ac:dyDescent="0.25">
      <c r="B226" s="173"/>
      <c r="C226" s="150"/>
      <c r="D226" s="150"/>
      <c r="E226" s="150"/>
      <c r="F226" s="151"/>
      <c r="G226" s="148" t="str">
        <f ca="1"/>
        <v>CONTINGENT 10Y-2Y CMS CURVE CAP</v>
      </c>
      <c r="H226" s="189">
        <f t="shared" ca="1" si="58"/>
        <v>0</v>
      </c>
      <c r="I226" s="189">
        <f t="shared" ca="1" si="59"/>
        <v>904000</v>
      </c>
      <c r="J226" s="155">
        <f t="shared" ca="1" si="60"/>
        <v>556501</v>
      </c>
      <c r="K226" s="340">
        <f t="shared" ca="1" si="70"/>
        <v>532500</v>
      </c>
      <c r="L226" s="340">
        <f t="shared" ca="1" si="70"/>
        <v>4300000</v>
      </c>
      <c r="M226" s="340">
        <f t="shared" ca="1" si="70"/>
        <v>904000</v>
      </c>
      <c r="N226" s="340">
        <f t="shared" ca="1" si="62"/>
        <v>0</v>
      </c>
      <c r="O226" s="342">
        <f t="shared" ca="1" si="63"/>
        <v>-904000</v>
      </c>
      <c r="P226" s="344">
        <f t="shared" ca="1" si="64"/>
        <v>0</v>
      </c>
      <c r="Q226" s="143">
        <f t="shared" ca="1" si="65"/>
        <v>904000</v>
      </c>
      <c r="R226" s="187">
        <f t="shared" ca="1" si="66"/>
        <v>3.1332589261975474E-3</v>
      </c>
      <c r="S226" s="143">
        <f t="shared" ca="1" si="67"/>
        <v>904000</v>
      </c>
      <c r="T226" s="187">
        <f t="shared" ca="1" si="68"/>
        <v>3.1332589261975474E-3</v>
      </c>
      <c r="V226" s="1" t="s">
        <v>87</v>
      </c>
      <c r="W226" s="1" t="s">
        <v>86</v>
      </c>
      <c r="X226" s="345" t="str">
        <f t="shared" ca="1" si="69"/>
        <v>P</v>
      </c>
    </row>
    <row r="227" spans="2:24" outlineLevel="1" x14ac:dyDescent="0.25">
      <c r="B227" s="173"/>
      <c r="C227" s="150"/>
      <c r="D227" s="150"/>
      <c r="E227" s="150"/>
      <c r="F227" s="151"/>
      <c r="G227" s="148" t="str">
        <f ca="1"/>
        <v>EDZ8 PUT FLY</v>
      </c>
      <c r="H227" s="189">
        <f t="shared" ca="1" si="58"/>
        <v>-718.59982487405023</v>
      </c>
      <c r="I227" s="189">
        <f t="shared" ca="1" si="59"/>
        <v>18750</v>
      </c>
      <c r="J227" s="155">
        <f t="shared" ca="1" si="60"/>
        <v>-85480.5</v>
      </c>
      <c r="K227" s="340">
        <f t="shared" ca="1" si="70"/>
        <v>12500</v>
      </c>
      <c r="L227" s="340">
        <f t="shared" ca="1" si="70"/>
        <v>1260000</v>
      </c>
      <c r="M227" s="340">
        <f t="shared" ca="1" si="70"/>
        <v>18750</v>
      </c>
      <c r="N227" s="340">
        <f t="shared" ca="1" si="62"/>
        <v>0</v>
      </c>
      <c r="O227" s="342">
        <f t="shared" ca="1" si="63"/>
        <v>-18750</v>
      </c>
      <c r="P227" s="344">
        <f t="shared" ca="1" si="64"/>
        <v>9.9000000000000005E-2</v>
      </c>
      <c r="Q227" s="143">
        <f t="shared" ca="1" si="65"/>
        <v>104230.5</v>
      </c>
      <c r="R227" s="187">
        <f t="shared" ca="1" si="66"/>
        <v>3.6126232799450601E-4</v>
      </c>
      <c r="S227" s="143">
        <f t="shared" ca="1" si="67"/>
        <v>18750</v>
      </c>
      <c r="T227" s="187">
        <f t="shared" ca="1" si="68"/>
        <v>6.4987394763500012E-5</v>
      </c>
      <c r="V227" s="1" t="s">
        <v>80</v>
      </c>
      <c r="W227" s="1" t="s">
        <v>88</v>
      </c>
      <c r="X227" s="345" t="str">
        <f t="shared" ca="1" si="69"/>
        <v>P</v>
      </c>
    </row>
    <row r="228" spans="2:24" outlineLevel="1" x14ac:dyDescent="0.25">
      <c r="B228" s="173"/>
      <c r="C228" s="150"/>
      <c r="D228" s="150"/>
      <c r="E228" s="150"/>
      <c r="F228" s="151"/>
      <c r="G228" s="148" t="str">
        <f ca="1"/>
        <v>L Z8 91/92/93 CALL FLY</v>
      </c>
      <c r="H228" s="189">
        <f t="shared" ca="1" si="58"/>
        <v>3573.5426211951635</v>
      </c>
      <c r="I228" s="189">
        <f t="shared" ca="1" si="59"/>
        <v>136979.70130796541</v>
      </c>
      <c r="J228" s="155">
        <f t="shared" ca="1" si="60"/>
        <v>56455.199567509808</v>
      </c>
      <c r="K228" s="340">
        <f t="shared" ca="1" si="70"/>
        <v>80515.313893557002</v>
      </c>
      <c r="L228" s="186">
        <f t="shared" ca="1" si="70"/>
        <v>200000</v>
      </c>
      <c r="M228" s="186">
        <f t="shared" ca="1" si="70"/>
        <v>136979.70130796541</v>
      </c>
      <c r="N228" s="186">
        <f t="shared" ca="1" si="62"/>
        <v>0</v>
      </c>
      <c r="O228" s="343">
        <f t="shared" ca="1" si="63"/>
        <v>-136979.70130796541</v>
      </c>
      <c r="P228" s="344">
        <f t="shared" ca="1" si="64"/>
        <v>0</v>
      </c>
      <c r="Q228" s="143">
        <f t="shared" ca="1" si="65"/>
        <v>136979.70130796541</v>
      </c>
      <c r="R228" s="187">
        <f t="shared" ca="1" si="66"/>
        <v>4.7477087591931024E-4</v>
      </c>
      <c r="S228" s="143">
        <f t="shared" ca="1" si="67"/>
        <v>136979.70130796541</v>
      </c>
      <c r="T228" s="187">
        <f t="shared" ca="1" si="68"/>
        <v>4.7477087591931024E-4</v>
      </c>
      <c r="X228" s="372" t="str">
        <f t="shared" ca="1" si="69"/>
        <v>P</v>
      </c>
    </row>
    <row r="229" spans="2:24" outlineLevel="1" x14ac:dyDescent="0.25">
      <c r="B229" s="173"/>
      <c r="C229" s="150"/>
      <c r="D229" s="150"/>
      <c r="E229" s="150"/>
      <c r="F229" s="151"/>
      <c r="G229" s="148" t="str">
        <f ca="1"/>
        <v>LONG USD 10Y10Y VEGA</v>
      </c>
      <c r="H229" s="189">
        <f t="shared" ca="1" si="58"/>
        <v>46958.257193754602</v>
      </c>
      <c r="I229" s="189">
        <f t="shared" ca="1" si="59"/>
        <v>3484488.1568990899</v>
      </c>
      <c r="J229" s="155">
        <f t="shared" ca="1" si="60"/>
        <v>111571.13263380001</v>
      </c>
      <c r="K229" s="340">
        <f t="shared" ca="1" si="70"/>
        <v>60000000</v>
      </c>
      <c r="L229" s="186">
        <f t="shared" ca="1" si="70"/>
        <v>4000000</v>
      </c>
      <c r="M229" s="186">
        <f t="shared" ca="1" si="70"/>
        <v>3316885.0723349401</v>
      </c>
      <c r="N229" s="186">
        <f t="shared" ca="1" si="62"/>
        <v>2500000</v>
      </c>
      <c r="O229" s="343">
        <f t="shared" ca="1" si="63"/>
        <v>-816885.07233494008</v>
      </c>
      <c r="P229" s="344">
        <f t="shared" ca="1" si="64"/>
        <v>0</v>
      </c>
      <c r="Q229" s="143">
        <f t="shared" ca="1" si="65"/>
        <v>816885.07233494008</v>
      </c>
      <c r="R229" s="187">
        <f t="shared" ca="1" si="66"/>
        <v>2.8313190758528541E-3</v>
      </c>
      <c r="S229" s="143">
        <f t="shared" ca="1" si="67"/>
        <v>816885.07233494008</v>
      </c>
      <c r="T229" s="187">
        <f t="shared" ca="1" si="68"/>
        <v>2.8313190758528541E-3</v>
      </c>
      <c r="X229" s="372" t="str">
        <f t="shared" ca="1" si="69"/>
        <v>P</v>
      </c>
    </row>
    <row r="230" spans="2:24" outlineLevel="1" x14ac:dyDescent="0.25">
      <c r="B230" s="173"/>
      <c r="C230" s="150"/>
      <c r="D230" s="150"/>
      <c r="E230" s="150"/>
      <c r="F230" s="151"/>
      <c r="G230" s="148" t="str">
        <f ca="1"/>
        <v>LONG USD 3Y30Y VEGA</v>
      </c>
      <c r="H230" s="189">
        <f t="shared" ca="1" si="58"/>
        <v>81890.494153077991</v>
      </c>
      <c r="I230" s="189">
        <f t="shared" ca="1" si="59"/>
        <v>6107959.0932421843</v>
      </c>
      <c r="J230" s="155">
        <f t="shared" ca="1" si="60"/>
        <v>-955263.66086473351</v>
      </c>
      <c r="K230" s="340">
        <f t="shared" ca="1" si="70"/>
        <v>7052000</v>
      </c>
      <c r="L230" s="186">
        <f t="shared" ca="1" si="70"/>
        <v>8050000</v>
      </c>
      <c r="M230" s="186">
        <f t="shared" ca="1" si="70"/>
        <v>6377002.6928550098</v>
      </c>
      <c r="N230" s="186">
        <f t="shared" ca="1" si="62"/>
        <v>5550000</v>
      </c>
      <c r="O230" s="343">
        <f t="shared" ca="1" si="63"/>
        <v>-827002.69285500981</v>
      </c>
      <c r="P230" s="344">
        <f t="shared" ca="1" si="64"/>
        <v>0.253</v>
      </c>
      <c r="Q230" s="143">
        <f t="shared" ca="1" si="65"/>
        <v>1782266.3537197434</v>
      </c>
      <c r="R230" s="187">
        <f t="shared" ref="R230:R241" ca="1" si="71">IF(NOT(ISTEXT($G230)),"",Q230/Nav)</f>
        <v>6.1773251788207317E-3</v>
      </c>
      <c r="S230" s="143">
        <f t="shared" ca="1" si="67"/>
        <v>827002.69285500981</v>
      </c>
      <c r="T230" s="187">
        <f t="shared" ref="T230:T241" ca="1" si="72">IF(NOT(ISTEXT($G230)),"",S230/Nav)</f>
        <v>2.8663866917891237E-3</v>
      </c>
      <c r="X230" s="372" t="str">
        <f t="shared" ca="1" si="69"/>
        <v>P</v>
      </c>
    </row>
    <row r="231" spans="2:24" s="405" customFormat="1" outlineLevel="1" x14ac:dyDescent="0.25">
      <c r="B231" s="173"/>
      <c r="C231" s="150"/>
      <c r="D231" s="150"/>
      <c r="E231" s="150"/>
      <c r="F231" s="151"/>
      <c r="G231" s="148" t="str">
        <f ca="1"/>
        <v>LONG USD 5Y30Y VEGA</v>
      </c>
      <c r="H231" s="189">
        <f t="shared" ca="1" si="58"/>
        <v>86354.759056139097</v>
      </c>
      <c r="I231" s="189">
        <f t="shared" ca="1" si="59"/>
        <v>6383117.4643923314</v>
      </c>
      <c r="J231" s="155">
        <f t="shared" ca="1" si="60"/>
        <v>274307.16519709997</v>
      </c>
      <c r="K231" s="340">
        <f t="shared" ca="1" si="70"/>
        <v>60000000</v>
      </c>
      <c r="L231" s="186">
        <f t="shared" ca="1" si="70"/>
        <v>30350000</v>
      </c>
      <c r="M231" s="186">
        <f t="shared" ca="1" si="70"/>
        <v>6136053.9545262903</v>
      </c>
      <c r="N231" s="186">
        <f t="shared" ca="1" si="62"/>
        <v>20000000</v>
      </c>
      <c r="O231" s="343">
        <f t="shared" ca="1" si="63"/>
        <v>13863946.04547371</v>
      </c>
      <c r="P231" s="344">
        <f t="shared" ca="1" si="64"/>
        <v>0</v>
      </c>
      <c r="Q231" s="143">
        <f t="shared" ca="1" si="65"/>
        <v>13863946.04547371</v>
      </c>
      <c r="R231" s="187">
        <f t="shared" ca="1" si="71"/>
        <v>4.8052359180643461E-2</v>
      </c>
      <c r="S231" s="143">
        <f t="shared" ca="1" si="67"/>
        <v>13863946.04547371</v>
      </c>
      <c r="T231" s="187">
        <f t="shared" ca="1" si="72"/>
        <v>4.8052359180643461E-2</v>
      </c>
      <c r="X231" s="412" t="str">
        <f t="shared" ca="1" si="69"/>
        <v>P</v>
      </c>
    </row>
    <row r="232" spans="2:24" s="405" customFormat="1" outlineLevel="1" x14ac:dyDescent="0.25">
      <c r="B232" s="173"/>
      <c r="C232" s="150"/>
      <c r="D232" s="150"/>
      <c r="E232" s="150"/>
      <c r="F232" s="151"/>
      <c r="G232" s="148" t="str">
        <f ca="1"/>
        <v>USD 2M 10-2 CURVE FLR FLY</v>
      </c>
      <c r="H232" s="189">
        <f t="shared" ca="1" si="58"/>
        <v>-816.18200957231602</v>
      </c>
      <c r="I232" s="189">
        <f t="shared" ca="1" si="59"/>
        <v>419060.7845489743</v>
      </c>
      <c r="J232" s="155">
        <f t="shared" ca="1" si="60"/>
        <v>-44901.479686540784</v>
      </c>
      <c r="K232" s="340">
        <f t="shared" ca="1" si="70"/>
        <v>392500</v>
      </c>
      <c r="L232" s="186">
        <f t="shared" ca="1" si="70"/>
        <v>1278000</v>
      </c>
      <c r="M232" s="186">
        <f t="shared" ca="1" si="70"/>
        <v>369268.32439121825</v>
      </c>
      <c r="N232" s="186">
        <f t="shared" ca="1" si="62"/>
        <v>0</v>
      </c>
      <c r="O232" s="343">
        <f t="shared" ca="1" si="63"/>
        <v>-369268.32439121825</v>
      </c>
      <c r="P232" s="344">
        <f t="shared" ca="1" si="64"/>
        <v>1.2E-2</v>
      </c>
      <c r="Q232" s="143">
        <f t="shared" ca="1" si="65"/>
        <v>414169.80407775904</v>
      </c>
      <c r="R232" s="187">
        <f t="shared" ca="1" si="71"/>
        <v>1.4355102163585483E-3</v>
      </c>
      <c r="S232" s="143">
        <f t="shared" ca="1" si="67"/>
        <v>369268.32439121825</v>
      </c>
      <c r="T232" s="187">
        <f t="shared" ca="1" si="72"/>
        <v>1.2798819397796416E-3</v>
      </c>
      <c r="X232" s="412" t="str">
        <f t="shared" ca="1" si="69"/>
        <v>P</v>
      </c>
    </row>
    <row r="233" spans="2:24" s="405" customFormat="1" outlineLevel="1" x14ac:dyDescent="0.25">
      <c r="B233" s="173"/>
      <c r="C233" s="150"/>
      <c r="D233" s="150"/>
      <c r="E233" s="150"/>
      <c r="F233" s="151"/>
      <c r="G233" s="148" t="str">
        <f ca="1"/>
        <v>USD 3M 10-2 CURVE FLR FLY</v>
      </c>
      <c r="H233" s="189">
        <f t="shared" ca="1" si="58"/>
        <v>3802.7853045897791</v>
      </c>
      <c r="I233" s="189">
        <f t="shared" ca="1" si="59"/>
        <v>584956.01275689388</v>
      </c>
      <c r="J233" s="155">
        <f t="shared" ca="1" si="60"/>
        <v>49707.436088425107</v>
      </c>
      <c r="K233" s="340">
        <f t="shared" ca="1" si="70"/>
        <v>612500</v>
      </c>
      <c r="L233" s="186">
        <f t="shared" ca="1" si="70"/>
        <v>1666500</v>
      </c>
      <c r="M233" s="186">
        <f t="shared" ca="1" si="70"/>
        <v>618800.31066108309</v>
      </c>
      <c r="N233" s="186">
        <f t="shared" ca="1" si="62"/>
        <v>0</v>
      </c>
      <c r="O233" s="343">
        <f t="shared" ca="1" si="63"/>
        <v>-618800.31066108309</v>
      </c>
      <c r="P233" s="344">
        <f t="shared" ca="1" si="64"/>
        <v>1E-3</v>
      </c>
      <c r="Q233" s="143">
        <f t="shared" ca="1" si="65"/>
        <v>618800.31066108309</v>
      </c>
      <c r="R233" s="187">
        <f t="shared" ca="1" si="71"/>
        <v>2.1447584036644401E-3</v>
      </c>
      <c r="S233" s="143">
        <f t="shared" ca="1" si="67"/>
        <v>618800.31066108309</v>
      </c>
      <c r="T233" s="187">
        <f t="shared" ca="1" si="72"/>
        <v>2.1447584036644401E-3</v>
      </c>
      <c r="X233" s="412" t="str">
        <f t="shared" ca="1" si="69"/>
        <v>P</v>
      </c>
    </row>
    <row r="234" spans="2:24" s="405" customFormat="1" outlineLevel="1" x14ac:dyDescent="0.25">
      <c r="B234" s="173"/>
      <c r="C234" s="150"/>
      <c r="D234" s="150"/>
      <c r="E234" s="150"/>
      <c r="F234" s="151"/>
      <c r="G234" s="148" t="str">
        <f ca="1"/>
        <v>USD 3M1Y1Y MISWEIGHTED FLY</v>
      </c>
      <c r="H234" s="189">
        <f t="shared" ca="1" si="58"/>
        <v>0</v>
      </c>
      <c r="I234" s="189">
        <f t="shared" ca="1" si="59"/>
        <v>-202114.86790611403</v>
      </c>
      <c r="J234" s="155">
        <f t="shared" ca="1" si="60"/>
        <v>-152775.68199445575</v>
      </c>
      <c r="K234" s="340" t="str">
        <f t="shared" ca="1" si="70"/>
        <v/>
      </c>
      <c r="L234" s="186" t="str">
        <f t="shared" ca="1" si="70"/>
        <v/>
      </c>
      <c r="M234" s="186" t="str">
        <f t="shared" ca="1" si="70"/>
        <v/>
      </c>
      <c r="N234" s="186" t="str">
        <f t="shared" ca="1" si="62"/>
        <v/>
      </c>
      <c r="O234" s="343" t="str">
        <f t="shared" ca="1" si="63"/>
        <v/>
      </c>
      <c r="P234" s="344" t="str">
        <f t="shared" ca="1" si="64"/>
        <v/>
      </c>
      <c r="Q234" s="143">
        <f t="shared" ca="1" si="65"/>
        <v>152775.68199445575</v>
      </c>
      <c r="R234" s="187">
        <f t="shared" ca="1" si="71"/>
        <v>5.2951965632195392E-4</v>
      </c>
      <c r="S234" s="143">
        <f t="shared" ca="1" si="67"/>
        <v>0</v>
      </c>
      <c r="T234" s="187">
        <f t="shared" ca="1" si="72"/>
        <v>0</v>
      </c>
      <c r="X234" s="412" t="str">
        <f t="shared" ca="1" si="69"/>
        <v>I</v>
      </c>
    </row>
    <row r="235" spans="2:24" s="405" customFormat="1" outlineLevel="1" x14ac:dyDescent="0.25">
      <c r="B235" s="173"/>
      <c r="C235" s="150"/>
      <c r="D235" s="150"/>
      <c r="E235" s="150"/>
      <c r="F235" s="151"/>
      <c r="G235" s="148" t="str">
        <f ca="1"/>
        <v>USD 6M 10-2 CURVE FLR FLY</v>
      </c>
      <c r="H235" s="189">
        <f t="shared" ca="1" si="58"/>
        <v>5039.322412125448</v>
      </c>
      <c r="I235" s="189">
        <f t="shared" ca="1" si="59"/>
        <v>847199.01512582181</v>
      </c>
      <c r="J235" s="155">
        <f t="shared" ca="1" si="60"/>
        <v>147199.01512582181</v>
      </c>
      <c r="K235" s="340">
        <f t="shared" ca="1" si="70"/>
        <v>700000</v>
      </c>
      <c r="L235" s="186">
        <f t="shared" ca="1" si="70"/>
        <v>1400000</v>
      </c>
      <c r="M235" s="186">
        <f t="shared" ca="1" si="70"/>
        <v>847199.01512582181</v>
      </c>
      <c r="N235" s="186">
        <f t="shared" ca="1" si="62"/>
        <v>0</v>
      </c>
      <c r="O235" s="343">
        <f t="shared" ca="1" si="63"/>
        <v>-847199.01512582181</v>
      </c>
      <c r="P235" s="344">
        <f t="shared" ca="1" si="64"/>
        <v>1E-3</v>
      </c>
      <c r="Q235" s="143">
        <f t="shared" ca="1" si="65"/>
        <v>847199.01512582181</v>
      </c>
      <c r="R235" s="187">
        <f t="shared" ca="1" si="71"/>
        <v>2.9363870314256107E-3</v>
      </c>
      <c r="S235" s="143">
        <f t="shared" ca="1" si="67"/>
        <v>847199.01512582181</v>
      </c>
      <c r="T235" s="187">
        <f t="shared" ca="1" si="72"/>
        <v>2.9363870314256107E-3</v>
      </c>
      <c r="X235" s="412" t="str">
        <f t="shared" ca="1" si="69"/>
        <v>P</v>
      </c>
    </row>
    <row r="236" spans="2:24" s="405" customFormat="1" outlineLevel="1" x14ac:dyDescent="0.25">
      <c r="B236" s="173"/>
      <c r="C236" s="150"/>
      <c r="D236" s="150"/>
      <c r="E236" s="150"/>
      <c r="F236" s="151"/>
      <c r="G236" s="148" t="str">
        <f ca="1"/>
        <v>USD 6M1Y1Y PAYER FLY</v>
      </c>
      <c r="H236" s="189">
        <f t="shared" ca="1" si="58"/>
        <v>-931.83913179065712</v>
      </c>
      <c r="I236" s="189">
        <f t="shared" ca="1" si="59"/>
        <v>712747.88076344004</v>
      </c>
      <c r="J236" s="155">
        <f t="shared" ca="1" si="60"/>
        <v>280851.22651760018</v>
      </c>
      <c r="K236" s="340">
        <f t="shared" ca="1" si="70"/>
        <v>685000</v>
      </c>
      <c r="L236" s="186">
        <f t="shared" ca="1" si="70"/>
        <v>2670000</v>
      </c>
      <c r="M236" s="186">
        <f t="shared" ca="1" si="70"/>
        <v>764665.36335956398</v>
      </c>
      <c r="N236" s="186">
        <f t="shared" ca="1" si="62"/>
        <v>0</v>
      </c>
      <c r="O236" s="343">
        <f t="shared" ca="1" si="63"/>
        <v>-764665.36335956398</v>
      </c>
      <c r="P236" s="344">
        <f t="shared" ca="1" si="64"/>
        <v>0</v>
      </c>
      <c r="Q236" s="143">
        <f t="shared" ca="1" si="65"/>
        <v>764665.36335956398</v>
      </c>
      <c r="R236" s="187">
        <f t="shared" ca="1" si="71"/>
        <v>2.6503258576332351E-3</v>
      </c>
      <c r="S236" s="143">
        <f t="shared" ca="1" si="67"/>
        <v>764665.36335956398</v>
      </c>
      <c r="T236" s="187">
        <f t="shared" ca="1" si="72"/>
        <v>2.6503258576332351E-3</v>
      </c>
      <c r="X236" s="412" t="str">
        <f t="shared" ca="1" si="69"/>
        <v>P</v>
      </c>
    </row>
    <row r="237" spans="2:24" s="405" customFormat="1" outlineLevel="1" x14ac:dyDescent="0.25">
      <c r="B237" s="173"/>
      <c r="C237" s="150"/>
      <c r="D237" s="150"/>
      <c r="E237" s="150"/>
      <c r="F237" s="151"/>
      <c r="G237" s="148" t="str">
        <f ca="1"/>
        <v>USD MIDCURVE WEDGE 18M3Y VS 18M1Y/18M1Y1Y/18M2Y1Y</v>
      </c>
      <c r="H237" s="189">
        <f t="shared" ca="1" si="58"/>
        <v>0</v>
      </c>
      <c r="I237" s="189">
        <f t="shared" ca="1" si="59"/>
        <v>4619120</v>
      </c>
      <c r="J237" s="155">
        <f t="shared" ca="1" si="60"/>
        <v>680386.06607014313</v>
      </c>
      <c r="K237" s="340">
        <f t="shared" ca="1" si="70"/>
        <v>1997767499.9999998</v>
      </c>
      <c r="L237" s="186">
        <f t="shared" ca="1" si="70"/>
        <v>10500000</v>
      </c>
      <c r="M237" s="186">
        <f t="shared" ca="1" si="70"/>
        <v>4619120</v>
      </c>
      <c r="N237" s="186">
        <f t="shared" ca="1" si="62"/>
        <v>0</v>
      </c>
      <c r="O237" s="343">
        <f t="shared" ca="1" si="63"/>
        <v>-4619120</v>
      </c>
      <c r="P237" s="344">
        <f t="shared" ca="1" si="64"/>
        <v>0</v>
      </c>
      <c r="Q237" s="143">
        <f t="shared" ca="1" si="65"/>
        <v>4619120</v>
      </c>
      <c r="R237" s="187">
        <f t="shared" ca="1" si="71"/>
        <v>1.6009843994665502E-2</v>
      </c>
      <c r="S237" s="143">
        <f t="shared" ca="1" si="67"/>
        <v>4619120</v>
      </c>
      <c r="T237" s="187">
        <f t="shared" ca="1" si="72"/>
        <v>1.6009843994665502E-2</v>
      </c>
      <c r="X237" s="412" t="str">
        <f t="shared" ca="1" si="69"/>
        <v>P</v>
      </c>
    </row>
    <row r="238" spans="2:24" s="405" customFormat="1" outlineLevel="1" x14ac:dyDescent="0.25">
      <c r="B238" s="173"/>
      <c r="C238" s="150"/>
      <c r="D238" s="150"/>
      <c r="E238" s="150"/>
      <c r="F238" s="151"/>
      <c r="G238" s="148" t="str">
        <f ca="1"/>
        <v>JPM CP</v>
      </c>
      <c r="H238" s="189">
        <f t="shared" ca="1" si="58"/>
        <v>449.31506871961346</v>
      </c>
      <c r="I238" s="189">
        <f t="shared" ca="1" si="59"/>
        <v>19888388.888888888</v>
      </c>
      <c r="J238" s="155">
        <f t="shared" ca="1" si="60"/>
        <v>405746.16666666418</v>
      </c>
      <c r="K238" s="340" t="str">
        <f t="shared" ca="1" si="70"/>
        <v/>
      </c>
      <c r="L238" s="186" t="str">
        <f t="shared" ca="1" si="70"/>
        <v/>
      </c>
      <c r="M238" s="186" t="str">
        <f t="shared" ca="1" si="70"/>
        <v/>
      </c>
      <c r="N238" s="186" t="str">
        <f t="shared" ca="1" si="62"/>
        <v/>
      </c>
      <c r="O238" s="343" t="str">
        <f t="shared" ca="1" si="63"/>
        <v/>
      </c>
      <c r="P238" s="344" t="str">
        <f t="shared" ca="1" si="64"/>
        <v/>
      </c>
      <c r="Q238" s="143">
        <f t="shared" ca="1" si="65"/>
        <v>0</v>
      </c>
      <c r="R238" s="187">
        <f t="shared" ca="1" si="71"/>
        <v>0</v>
      </c>
      <c r="S238" s="143">
        <f t="shared" ca="1" si="67"/>
        <v>0</v>
      </c>
      <c r="T238" s="187">
        <f t="shared" ca="1" si="72"/>
        <v>0</v>
      </c>
      <c r="X238" s="412" t="str">
        <f t="shared" ca="1" si="69"/>
        <v>I</v>
      </c>
    </row>
    <row r="239" spans="2:24" s="405" customFormat="1" outlineLevel="1" x14ac:dyDescent="0.25">
      <c r="B239" s="173"/>
      <c r="C239" s="150"/>
      <c r="D239" s="150"/>
      <c r="E239" s="150"/>
      <c r="F239" s="151"/>
      <c r="G239" s="148" t="str">
        <f ca="1"/>
        <v>TBILL</v>
      </c>
      <c r="H239" s="189">
        <f t="shared" ca="1" si="58"/>
        <v>5145.5187126970341</v>
      </c>
      <c r="I239" s="189">
        <f t="shared" ca="1" si="59"/>
        <v>227799218.0730952</v>
      </c>
      <c r="J239" s="155">
        <f t="shared" ca="1" si="60"/>
        <v>2394257.270132497</v>
      </c>
      <c r="K239" s="340" t="str">
        <f t="shared" ca="1" si="70"/>
        <v/>
      </c>
      <c r="L239" s="186" t="str">
        <f t="shared" ca="1" si="70"/>
        <v/>
      </c>
      <c r="M239" s="186" t="str">
        <f t="shared" ca="1" si="70"/>
        <v/>
      </c>
      <c r="N239" s="186" t="str">
        <f t="shared" ca="1" si="62"/>
        <v/>
      </c>
      <c r="O239" s="343" t="str">
        <f t="shared" ca="1" si="63"/>
        <v/>
      </c>
      <c r="P239" s="344" t="str">
        <f t="shared" ca="1" si="64"/>
        <v/>
      </c>
      <c r="Q239" s="143">
        <f t="shared" ca="1" si="65"/>
        <v>0</v>
      </c>
      <c r="R239" s="187">
        <f t="shared" ca="1" si="71"/>
        <v>0</v>
      </c>
      <c r="S239" s="143">
        <f t="shared" ca="1" si="67"/>
        <v>0</v>
      </c>
      <c r="T239" s="187">
        <f t="shared" ca="1" si="72"/>
        <v>0</v>
      </c>
      <c r="X239" s="412" t="str">
        <f t="shared" ca="1" si="69"/>
        <v>I</v>
      </c>
    </row>
    <row r="240" spans="2:24" s="405" customFormat="1" outlineLevel="1" x14ac:dyDescent="0.25">
      <c r="B240" s="173"/>
      <c r="C240" s="150"/>
      <c r="D240" s="150"/>
      <c r="E240" s="150"/>
      <c r="F240" s="151"/>
      <c r="G240" s="148" t="str">
        <f ca="1"/>
        <v>CASH   AUD</v>
      </c>
      <c r="H240" s="189">
        <f t="shared" ca="1" si="58"/>
        <v>275513.83675291325</v>
      </c>
      <c r="I240" s="189">
        <f t="shared" ca="1" si="59"/>
        <v>275513.83675291325</v>
      </c>
      <c r="J240" s="155">
        <f t="shared" ca="1" si="60"/>
        <v>0</v>
      </c>
      <c r="K240" s="340" t="str">
        <f t="shared" ca="1" si="70"/>
        <v/>
      </c>
      <c r="L240" s="186" t="str">
        <f t="shared" ca="1" si="70"/>
        <v/>
      </c>
      <c r="M240" s="186" t="str">
        <f t="shared" ca="1" si="70"/>
        <v/>
      </c>
      <c r="N240" s="186" t="str">
        <f t="shared" ca="1" si="62"/>
        <v/>
      </c>
      <c r="O240" s="343" t="str">
        <f t="shared" ca="1" si="63"/>
        <v/>
      </c>
      <c r="P240" s="344" t="str">
        <f t="shared" ca="1" si="64"/>
        <v/>
      </c>
      <c r="Q240" s="143">
        <f t="shared" ca="1" si="65"/>
        <v>0</v>
      </c>
      <c r="R240" s="187">
        <f t="shared" ca="1" si="71"/>
        <v>0</v>
      </c>
      <c r="S240" s="143">
        <f t="shared" ca="1" si="67"/>
        <v>0</v>
      </c>
      <c r="T240" s="187">
        <f t="shared" ca="1" si="72"/>
        <v>0</v>
      </c>
      <c r="X240" s="412" t="str">
        <f t="shared" ca="1" si="69"/>
        <v>I</v>
      </c>
    </row>
    <row r="241" spans="1:24" x14ac:dyDescent="0.25">
      <c r="B241" s="186"/>
      <c r="C241" s="150"/>
      <c r="D241" s="150"/>
      <c r="E241" s="150"/>
      <c r="F241" s="151"/>
      <c r="G241" s="148" t="str">
        <f ca="1"/>
        <v>CASH   EUR</v>
      </c>
      <c r="H241" s="189">
        <f t="shared" ca="1" si="58"/>
        <v>3982851.290356061</v>
      </c>
      <c r="I241" s="189">
        <f t="shared" ca="1" si="59"/>
        <v>3982851.290356061</v>
      </c>
      <c r="J241" s="155">
        <f t="shared" ca="1" si="60"/>
        <v>0</v>
      </c>
      <c r="K241" s="340" t="str">
        <f t="shared" ca="1" si="70"/>
        <v/>
      </c>
      <c r="L241" s="186" t="str">
        <f t="shared" ca="1" si="70"/>
        <v/>
      </c>
      <c r="M241" s="186" t="str">
        <f t="shared" ca="1" si="70"/>
        <v/>
      </c>
      <c r="N241" s="186" t="str">
        <f t="shared" ca="1" si="62"/>
        <v/>
      </c>
      <c r="O241" s="343" t="str">
        <f t="shared" ca="1" si="63"/>
        <v/>
      </c>
      <c r="P241" s="344" t="str">
        <f t="shared" ca="1" si="64"/>
        <v/>
      </c>
      <c r="Q241" s="143">
        <f t="shared" ca="1" si="65"/>
        <v>0</v>
      </c>
      <c r="R241" s="187">
        <f t="shared" ca="1" si="71"/>
        <v>0</v>
      </c>
      <c r="S241" s="143">
        <f t="shared" ca="1" si="67"/>
        <v>0</v>
      </c>
      <c r="T241" s="187">
        <f t="shared" ca="1" si="72"/>
        <v>0</v>
      </c>
      <c r="X241" s="412" t="str">
        <f t="shared" ca="1" si="69"/>
        <v>I</v>
      </c>
    </row>
    <row r="242" spans="1:24" ht="15" customHeight="1" x14ac:dyDescent="0.25">
      <c r="G242" s="148" t="str">
        <f ca="1"/>
        <v>CASH   GBP</v>
      </c>
      <c r="H242" s="189">
        <f t="shared" ca="1" si="58"/>
        <v>-80500.530149612896</v>
      </c>
      <c r="I242" s="189">
        <f t="shared" ca="1" si="59"/>
        <v>-80500.530149612896</v>
      </c>
      <c r="J242" s="155">
        <f t="shared" ca="1" si="60"/>
        <v>0</v>
      </c>
      <c r="K242" s="340" t="str">
        <f t="shared" ca="1" si="70"/>
        <v/>
      </c>
      <c r="L242" s="186" t="str">
        <f t="shared" ca="1" si="70"/>
        <v/>
      </c>
      <c r="M242" s="186" t="str">
        <f t="shared" ca="1" si="70"/>
        <v/>
      </c>
      <c r="N242" s="186" t="str">
        <f t="shared" ca="1" si="62"/>
        <v/>
      </c>
      <c r="O242" s="343" t="str">
        <f t="shared" ca="1" si="63"/>
        <v/>
      </c>
      <c r="P242" s="344" t="str">
        <f t="shared" ca="1" si="64"/>
        <v/>
      </c>
      <c r="Q242" s="143">
        <f t="shared" ca="1" si="65"/>
        <v>0</v>
      </c>
      <c r="R242" s="187">
        <f t="shared" ca="1" si="66"/>
        <v>0</v>
      </c>
      <c r="S242" s="143">
        <f t="shared" ca="1" si="67"/>
        <v>0</v>
      </c>
      <c r="T242" s="187">
        <f t="shared" ca="1" si="68"/>
        <v>0</v>
      </c>
      <c r="X242" s="412" t="str">
        <f t="shared" ca="1" si="69"/>
        <v>I</v>
      </c>
    </row>
    <row r="243" spans="1:24" x14ac:dyDescent="0.25">
      <c r="A243" s="2"/>
      <c r="B243" s="186"/>
      <c r="G243" s="148" t="str">
        <f ca="1"/>
        <v>CASH   JPY</v>
      </c>
      <c r="H243" s="189">
        <f t="shared" ca="1" si="58"/>
        <v>1515680.067056651</v>
      </c>
      <c r="I243" s="189">
        <f t="shared" ca="1" si="59"/>
        <v>1515680.067056651</v>
      </c>
      <c r="J243" s="155">
        <f t="shared" ca="1" si="60"/>
        <v>0</v>
      </c>
      <c r="K243" s="340" t="str">
        <f t="shared" ca="1" si="70"/>
        <v/>
      </c>
      <c r="L243" s="186" t="str">
        <f t="shared" ca="1" si="70"/>
        <v/>
      </c>
      <c r="M243" s="186" t="str">
        <f t="shared" ca="1" si="70"/>
        <v/>
      </c>
      <c r="N243" s="186" t="str">
        <f t="shared" ca="1" si="62"/>
        <v/>
      </c>
      <c r="O243" s="343" t="str">
        <f t="shared" ca="1" si="63"/>
        <v/>
      </c>
      <c r="P243" s="344" t="str">
        <f t="shared" ca="1" si="64"/>
        <v/>
      </c>
      <c r="Q243" s="143">
        <f t="shared" ca="1" si="65"/>
        <v>0</v>
      </c>
      <c r="R243" s="187">
        <f t="shared" ca="1" si="66"/>
        <v>0</v>
      </c>
      <c r="S243" s="143">
        <f t="shared" ca="1" si="67"/>
        <v>0</v>
      </c>
      <c r="T243" s="187">
        <f t="shared" ca="1" si="68"/>
        <v>0</v>
      </c>
      <c r="X243" s="412" t="str">
        <f t="shared" ca="1" si="69"/>
        <v>I</v>
      </c>
    </row>
    <row r="244" spans="1:24" x14ac:dyDescent="0.25">
      <c r="B244" s="186"/>
      <c r="G244" s="148">
        <f ca="1"/>
        <v>0</v>
      </c>
      <c r="H244" s="189" t="str">
        <f t="shared" ca="1" si="58"/>
        <v/>
      </c>
      <c r="I244" s="189" t="str">
        <f t="shared" ca="1" si="59"/>
        <v/>
      </c>
      <c r="J244" s="155" t="str">
        <f t="shared" ca="1" si="60"/>
        <v/>
      </c>
      <c r="K244" s="340" t="str">
        <f t="shared" ca="1" si="70"/>
        <v/>
      </c>
      <c r="L244" s="186" t="str">
        <f t="shared" ca="1" si="70"/>
        <v/>
      </c>
      <c r="M244" s="186" t="str">
        <f t="shared" ca="1" si="70"/>
        <v/>
      </c>
      <c r="N244" s="186" t="str">
        <f t="shared" ca="1" si="62"/>
        <v/>
      </c>
      <c r="O244" s="343" t="str">
        <f t="shared" ca="1" si="63"/>
        <v/>
      </c>
      <c r="P244" s="344" t="str">
        <f t="shared" ca="1" si="64"/>
        <v/>
      </c>
      <c r="Q244" s="143" t="str">
        <f t="shared" ca="1" si="65"/>
        <v/>
      </c>
      <c r="R244" s="187" t="str">
        <f t="shared" ca="1" si="66"/>
        <v/>
      </c>
      <c r="S244" s="143" t="str">
        <f t="shared" ca="1" si="67"/>
        <v/>
      </c>
      <c r="T244" s="187" t="str">
        <f t="shared" ca="1" si="68"/>
        <v/>
      </c>
      <c r="X244" s="412" t="e">
        <f t="shared" ca="1" si="69"/>
        <v>#N/A</v>
      </c>
    </row>
    <row r="245" spans="1:24" s="411" customFormat="1" x14ac:dyDescent="0.25">
      <c r="B245" s="186"/>
      <c r="G245" s="148">
        <f ca="1"/>
        <v>0</v>
      </c>
      <c r="H245" s="189" t="str">
        <f t="shared" ca="1" si="58"/>
        <v/>
      </c>
      <c r="I245" s="189" t="str">
        <f t="shared" ca="1" si="59"/>
        <v/>
      </c>
      <c r="J245" s="155" t="str">
        <f t="shared" ca="1" si="60"/>
        <v/>
      </c>
      <c r="K245" s="340" t="str">
        <f t="shared" ca="1" si="70"/>
        <v/>
      </c>
      <c r="L245" s="186" t="str">
        <f t="shared" ca="1" si="70"/>
        <v/>
      </c>
      <c r="M245" s="186" t="str">
        <f t="shared" ca="1" si="70"/>
        <v/>
      </c>
      <c r="N245" s="186" t="str">
        <f t="shared" ca="1" si="62"/>
        <v/>
      </c>
      <c r="O245" s="343" t="str">
        <f t="shared" ca="1" si="63"/>
        <v/>
      </c>
      <c r="P245" s="344" t="str">
        <f t="shared" ca="1" si="64"/>
        <v/>
      </c>
      <c r="Q245" s="143" t="str">
        <f t="shared" ca="1" si="65"/>
        <v/>
      </c>
      <c r="R245" s="187" t="str">
        <f t="shared" ref="R245:R268" ca="1" si="73">IF(NOT(ISTEXT($G245)),"",Q245/Nav)</f>
        <v/>
      </c>
      <c r="S245" s="143" t="str">
        <f t="shared" ca="1" si="67"/>
        <v/>
      </c>
      <c r="T245" s="187" t="str">
        <f t="shared" ref="T245:T268" ca="1" si="74">IF(NOT(ISTEXT($G245)),"",S245/Nav)</f>
        <v/>
      </c>
      <c r="X245" s="412" t="e">
        <f t="shared" ca="1" si="69"/>
        <v>#N/A</v>
      </c>
    </row>
    <row r="246" spans="1:24" s="411" customFormat="1" x14ac:dyDescent="0.25">
      <c r="B246" s="186"/>
      <c r="G246" s="148">
        <f ca="1"/>
        <v>0</v>
      </c>
      <c r="H246" s="189" t="str">
        <f t="shared" ca="1" si="58"/>
        <v/>
      </c>
      <c r="I246" s="189" t="str">
        <f t="shared" ca="1" si="59"/>
        <v/>
      </c>
      <c r="J246" s="155" t="str">
        <f t="shared" ca="1" si="60"/>
        <v/>
      </c>
      <c r="K246" s="340" t="str">
        <f t="shared" ca="1" si="70"/>
        <v/>
      </c>
      <c r="L246" s="186" t="str">
        <f t="shared" ca="1" si="70"/>
        <v/>
      </c>
      <c r="M246" s="186" t="str">
        <f t="shared" ca="1" si="70"/>
        <v/>
      </c>
      <c r="N246" s="186" t="str">
        <f t="shared" ca="1" si="62"/>
        <v/>
      </c>
      <c r="O246" s="343" t="str">
        <f t="shared" ca="1" si="63"/>
        <v/>
      </c>
      <c r="P246" s="344" t="str">
        <f t="shared" ca="1" si="64"/>
        <v/>
      </c>
      <c r="Q246" s="143" t="str">
        <f t="shared" ca="1" si="65"/>
        <v/>
      </c>
      <c r="R246" s="187" t="str">
        <f t="shared" ca="1" si="73"/>
        <v/>
      </c>
      <c r="S246" s="143" t="str">
        <f t="shared" ca="1" si="67"/>
        <v/>
      </c>
      <c r="T246" s="187" t="str">
        <f t="shared" ca="1" si="74"/>
        <v/>
      </c>
      <c r="X246" s="412" t="e">
        <f t="shared" ca="1" si="69"/>
        <v>#N/A</v>
      </c>
    </row>
    <row r="247" spans="1:24" s="411" customFormat="1" x14ac:dyDescent="0.25">
      <c r="B247" s="186"/>
      <c r="G247" s="148">
        <f ca="1"/>
        <v>0</v>
      </c>
      <c r="H247" s="189" t="str">
        <f t="shared" ca="1" si="58"/>
        <v/>
      </c>
      <c r="I247" s="189" t="str">
        <f t="shared" ca="1" si="59"/>
        <v/>
      </c>
      <c r="J247" s="155" t="str">
        <f t="shared" ca="1" si="60"/>
        <v/>
      </c>
      <c r="K247" s="340" t="str">
        <f t="shared" ca="1" si="70"/>
        <v/>
      </c>
      <c r="L247" s="186" t="str">
        <f t="shared" ca="1" si="70"/>
        <v/>
      </c>
      <c r="M247" s="186" t="str">
        <f t="shared" ca="1" si="70"/>
        <v/>
      </c>
      <c r="N247" s="186" t="str">
        <f t="shared" ca="1" si="62"/>
        <v/>
      </c>
      <c r="O247" s="343" t="str">
        <f t="shared" ca="1" si="63"/>
        <v/>
      </c>
      <c r="P247" s="344" t="str">
        <f t="shared" ca="1" si="64"/>
        <v/>
      </c>
      <c r="Q247" s="143" t="str">
        <f t="shared" ca="1" si="65"/>
        <v/>
      </c>
      <c r="R247" s="187" t="str">
        <f t="shared" ca="1" si="73"/>
        <v/>
      </c>
      <c r="S247" s="143" t="str">
        <f t="shared" ca="1" si="67"/>
        <v/>
      </c>
      <c r="T247" s="187" t="str">
        <f t="shared" ca="1" si="74"/>
        <v/>
      </c>
      <c r="X247" s="412" t="e">
        <f t="shared" ca="1" si="69"/>
        <v>#N/A</v>
      </c>
    </row>
    <row r="248" spans="1:24" s="411" customFormat="1" x14ac:dyDescent="0.25">
      <c r="B248" s="186"/>
      <c r="G248" s="148">
        <f ca="1"/>
        <v>0</v>
      </c>
      <c r="H248" s="189" t="str">
        <f t="shared" ca="1" si="58"/>
        <v/>
      </c>
      <c r="I248" s="189" t="str">
        <f t="shared" ca="1" si="59"/>
        <v/>
      </c>
      <c r="J248" s="155" t="str">
        <f t="shared" ca="1" si="60"/>
        <v/>
      </c>
      <c r="K248" s="340" t="str">
        <f t="shared" ca="1" si="70"/>
        <v/>
      </c>
      <c r="L248" s="186" t="str">
        <f t="shared" ca="1" si="70"/>
        <v/>
      </c>
      <c r="M248" s="186" t="str">
        <f t="shared" ca="1" si="70"/>
        <v/>
      </c>
      <c r="N248" s="186" t="str">
        <f t="shared" ca="1" si="62"/>
        <v/>
      </c>
      <c r="O248" s="343" t="str">
        <f t="shared" ca="1" si="63"/>
        <v/>
      </c>
      <c r="P248" s="344" t="str">
        <f t="shared" ca="1" si="64"/>
        <v/>
      </c>
      <c r="Q248" s="143" t="str">
        <f t="shared" ca="1" si="65"/>
        <v/>
      </c>
      <c r="R248" s="187" t="str">
        <f t="shared" ca="1" si="73"/>
        <v/>
      </c>
      <c r="S248" s="143" t="str">
        <f t="shared" ca="1" si="67"/>
        <v/>
      </c>
      <c r="T248" s="187" t="str">
        <f t="shared" ca="1" si="74"/>
        <v/>
      </c>
      <c r="X248" s="412" t="e">
        <f t="shared" ca="1" si="69"/>
        <v>#N/A</v>
      </c>
    </row>
    <row r="249" spans="1:24" s="411" customFormat="1" x14ac:dyDescent="0.25">
      <c r="B249" s="186"/>
      <c r="G249" s="148">
        <f ca="1"/>
        <v>0</v>
      </c>
      <c r="H249" s="189" t="str">
        <f t="shared" ca="1" si="58"/>
        <v/>
      </c>
      <c r="I249" s="189" t="str">
        <f t="shared" ca="1" si="59"/>
        <v/>
      </c>
      <c r="J249" s="155" t="str">
        <f t="shared" ca="1" si="60"/>
        <v/>
      </c>
      <c r="K249" s="340" t="str">
        <f t="shared" ca="1" si="70"/>
        <v/>
      </c>
      <c r="L249" s="186" t="str">
        <f t="shared" ca="1" si="70"/>
        <v/>
      </c>
      <c r="M249" s="186" t="str">
        <f t="shared" ca="1" si="70"/>
        <v/>
      </c>
      <c r="N249" s="186" t="str">
        <f t="shared" ca="1" si="62"/>
        <v/>
      </c>
      <c r="O249" s="343" t="str">
        <f t="shared" ca="1" si="63"/>
        <v/>
      </c>
      <c r="P249" s="344" t="str">
        <f t="shared" ca="1" si="64"/>
        <v/>
      </c>
      <c r="Q249" s="143" t="str">
        <f t="shared" ca="1" si="65"/>
        <v/>
      </c>
      <c r="R249" s="187" t="str">
        <f t="shared" ca="1" si="73"/>
        <v/>
      </c>
      <c r="S249" s="143" t="str">
        <f t="shared" ca="1" si="67"/>
        <v/>
      </c>
      <c r="T249" s="187" t="str">
        <f t="shared" ca="1" si="74"/>
        <v/>
      </c>
      <c r="X249" s="412" t="e">
        <f t="shared" ca="1" si="69"/>
        <v>#N/A</v>
      </c>
    </row>
    <row r="250" spans="1:24" s="411" customFormat="1" x14ac:dyDescent="0.25">
      <c r="B250" s="186"/>
      <c r="G250" s="148">
        <f ca="1"/>
        <v>0</v>
      </c>
      <c r="H250" s="189" t="str">
        <f t="shared" ca="1" si="58"/>
        <v/>
      </c>
      <c r="I250" s="189" t="str">
        <f t="shared" ca="1" si="59"/>
        <v/>
      </c>
      <c r="J250" s="155" t="str">
        <f t="shared" ca="1" si="60"/>
        <v/>
      </c>
      <c r="K250" s="340" t="str">
        <f t="shared" ca="1" si="70"/>
        <v/>
      </c>
      <c r="L250" s="186" t="str">
        <f t="shared" ca="1" si="70"/>
        <v/>
      </c>
      <c r="M250" s="186" t="str">
        <f t="shared" ca="1" si="70"/>
        <v/>
      </c>
      <c r="N250" s="186" t="str">
        <f t="shared" ca="1" si="62"/>
        <v/>
      </c>
      <c r="O250" s="343" t="str">
        <f t="shared" ca="1" si="63"/>
        <v/>
      </c>
      <c r="P250" s="344" t="str">
        <f t="shared" ca="1" si="64"/>
        <v/>
      </c>
      <c r="Q250" s="143" t="str">
        <f t="shared" ca="1" si="65"/>
        <v/>
      </c>
      <c r="R250" s="187" t="str">
        <f t="shared" ca="1" si="73"/>
        <v/>
      </c>
      <c r="S250" s="143" t="str">
        <f t="shared" ca="1" si="67"/>
        <v/>
      </c>
      <c r="T250" s="187" t="str">
        <f t="shared" ca="1" si="74"/>
        <v/>
      </c>
      <c r="X250" s="412" t="e">
        <f t="shared" ca="1" si="69"/>
        <v>#N/A</v>
      </c>
    </row>
    <row r="251" spans="1:24" s="411" customFormat="1" x14ac:dyDescent="0.25">
      <c r="B251" s="186"/>
      <c r="G251" s="148">
        <f ca="1"/>
        <v>0</v>
      </c>
      <c r="H251" s="189" t="str">
        <f t="shared" ca="1" si="58"/>
        <v/>
      </c>
      <c r="I251" s="189" t="str">
        <f t="shared" ca="1" si="59"/>
        <v/>
      </c>
      <c r="J251" s="155" t="str">
        <f t="shared" ca="1" si="60"/>
        <v/>
      </c>
      <c r="K251" s="340" t="str">
        <f t="shared" ca="1" si="70"/>
        <v/>
      </c>
      <c r="L251" s="186" t="str">
        <f t="shared" ca="1" si="70"/>
        <v/>
      </c>
      <c r="M251" s="186" t="str">
        <f t="shared" ca="1" si="70"/>
        <v/>
      </c>
      <c r="N251" s="186" t="str">
        <f t="shared" ca="1" si="62"/>
        <v/>
      </c>
      <c r="O251" s="343" t="str">
        <f t="shared" ca="1" si="63"/>
        <v/>
      </c>
      <c r="P251" s="344" t="str">
        <f t="shared" ca="1" si="64"/>
        <v/>
      </c>
      <c r="Q251" s="143" t="str">
        <f t="shared" ca="1" si="65"/>
        <v/>
      </c>
      <c r="R251" s="187" t="str">
        <f t="shared" ca="1" si="73"/>
        <v/>
      </c>
      <c r="S251" s="143" t="str">
        <f t="shared" ca="1" si="67"/>
        <v/>
      </c>
      <c r="T251" s="187" t="str">
        <f t="shared" ca="1" si="74"/>
        <v/>
      </c>
      <c r="X251" s="412" t="e">
        <f t="shared" ca="1" si="69"/>
        <v>#N/A</v>
      </c>
    </row>
    <row r="252" spans="1:24" s="411" customFormat="1" x14ac:dyDescent="0.25">
      <c r="B252" s="186"/>
      <c r="G252" s="148">
        <f ca="1"/>
        <v>0</v>
      </c>
      <c r="H252" s="189" t="str">
        <f t="shared" ca="1" si="58"/>
        <v/>
      </c>
      <c r="I252" s="189" t="str">
        <f t="shared" ca="1" si="59"/>
        <v/>
      </c>
      <c r="J252" s="155" t="str">
        <f t="shared" ca="1" si="60"/>
        <v/>
      </c>
      <c r="K252" s="340" t="str">
        <f t="shared" ca="1" si="70"/>
        <v/>
      </c>
      <c r="L252" s="186" t="str">
        <f t="shared" ca="1" si="70"/>
        <v/>
      </c>
      <c r="M252" s="186" t="str">
        <f t="shared" ca="1" si="70"/>
        <v/>
      </c>
      <c r="N252" s="186" t="str">
        <f t="shared" ca="1" si="62"/>
        <v/>
      </c>
      <c r="O252" s="343" t="str">
        <f t="shared" ca="1" si="63"/>
        <v/>
      </c>
      <c r="P252" s="344" t="str">
        <f t="shared" ca="1" si="64"/>
        <v/>
      </c>
      <c r="Q252" s="143" t="str">
        <f t="shared" ca="1" si="65"/>
        <v/>
      </c>
      <c r="R252" s="187" t="str">
        <f t="shared" ca="1" si="73"/>
        <v/>
      </c>
      <c r="S252" s="143" t="str">
        <f t="shared" ca="1" si="67"/>
        <v/>
      </c>
      <c r="T252" s="187" t="str">
        <f t="shared" ca="1" si="74"/>
        <v/>
      </c>
      <c r="X252" s="412" t="e">
        <f t="shared" ca="1" si="69"/>
        <v>#N/A</v>
      </c>
    </row>
    <row r="253" spans="1:24" s="411" customFormat="1" x14ac:dyDescent="0.25">
      <c r="B253" s="186"/>
      <c r="G253" s="148">
        <f ca="1"/>
        <v>0</v>
      </c>
      <c r="H253" s="189" t="str">
        <f t="shared" ca="1" si="58"/>
        <v/>
      </c>
      <c r="I253" s="189" t="str">
        <f t="shared" ca="1" si="59"/>
        <v/>
      </c>
      <c r="J253" s="155" t="str">
        <f t="shared" ca="1" si="60"/>
        <v/>
      </c>
      <c r="K253" s="340" t="str">
        <f t="shared" ca="1" si="70"/>
        <v/>
      </c>
      <c r="L253" s="186" t="str">
        <f t="shared" ca="1" si="70"/>
        <v/>
      </c>
      <c r="M253" s="186" t="str">
        <f t="shared" ca="1" si="70"/>
        <v/>
      </c>
      <c r="N253" s="186" t="str">
        <f t="shared" ca="1" si="62"/>
        <v/>
      </c>
      <c r="O253" s="343" t="str">
        <f t="shared" ca="1" si="63"/>
        <v/>
      </c>
      <c r="P253" s="344" t="str">
        <f t="shared" ca="1" si="64"/>
        <v/>
      </c>
      <c r="Q253" s="143" t="str">
        <f t="shared" ca="1" si="65"/>
        <v/>
      </c>
      <c r="R253" s="187" t="str">
        <f t="shared" ca="1" si="73"/>
        <v/>
      </c>
      <c r="S253" s="143" t="str">
        <f t="shared" ca="1" si="67"/>
        <v/>
      </c>
      <c r="T253" s="187" t="str">
        <f t="shared" ca="1" si="74"/>
        <v/>
      </c>
      <c r="X253" s="412" t="e">
        <f t="shared" ca="1" si="69"/>
        <v>#N/A</v>
      </c>
    </row>
    <row r="254" spans="1:24" s="411" customFormat="1" x14ac:dyDescent="0.25">
      <c r="B254" s="186"/>
      <c r="G254" s="148">
        <f ca="1"/>
        <v>0</v>
      </c>
      <c r="H254" s="189" t="str">
        <f t="shared" ca="1" si="58"/>
        <v/>
      </c>
      <c r="I254" s="189" t="str">
        <f t="shared" ca="1" si="59"/>
        <v/>
      </c>
      <c r="J254" s="155" t="str">
        <f t="shared" ca="1" si="60"/>
        <v/>
      </c>
      <c r="K254" s="340" t="str">
        <f t="shared" ca="1" si="70"/>
        <v/>
      </c>
      <c r="L254" s="186" t="str">
        <f t="shared" ca="1" si="70"/>
        <v/>
      </c>
      <c r="M254" s="186" t="str">
        <f t="shared" ca="1" si="70"/>
        <v/>
      </c>
      <c r="N254" s="186" t="str">
        <f t="shared" ca="1" si="62"/>
        <v/>
      </c>
      <c r="O254" s="343" t="str">
        <f t="shared" ca="1" si="63"/>
        <v/>
      </c>
      <c r="P254" s="344" t="str">
        <f t="shared" ca="1" si="64"/>
        <v/>
      </c>
      <c r="Q254" s="143" t="str">
        <f t="shared" ca="1" si="65"/>
        <v/>
      </c>
      <c r="R254" s="187" t="str">
        <f t="shared" ca="1" si="73"/>
        <v/>
      </c>
      <c r="S254" s="143" t="str">
        <f t="shared" ca="1" si="67"/>
        <v/>
      </c>
      <c r="T254" s="187" t="str">
        <f t="shared" ca="1" si="74"/>
        <v/>
      </c>
      <c r="X254" s="412" t="e">
        <f t="shared" ca="1" si="69"/>
        <v>#N/A</v>
      </c>
    </row>
    <row r="255" spans="1:24" s="411" customFormat="1" x14ac:dyDescent="0.25">
      <c r="B255" s="186"/>
      <c r="G255" s="148">
        <f ca="1"/>
        <v>0</v>
      </c>
      <c r="H255" s="189" t="str">
        <f t="shared" ca="1" si="58"/>
        <v/>
      </c>
      <c r="I255" s="189" t="str">
        <f t="shared" ca="1" si="59"/>
        <v/>
      </c>
      <c r="J255" s="155" t="str">
        <f t="shared" ca="1" si="60"/>
        <v/>
      </c>
      <c r="K255" s="340" t="str">
        <f t="shared" ca="1" si="70"/>
        <v/>
      </c>
      <c r="L255" s="186" t="str">
        <f t="shared" ca="1" si="70"/>
        <v/>
      </c>
      <c r="M255" s="186" t="str">
        <f t="shared" ca="1" si="70"/>
        <v/>
      </c>
      <c r="N255" s="186" t="str">
        <f t="shared" ca="1" si="62"/>
        <v/>
      </c>
      <c r="O255" s="343" t="str">
        <f t="shared" ca="1" si="63"/>
        <v/>
      </c>
      <c r="P255" s="344" t="str">
        <f t="shared" ca="1" si="64"/>
        <v/>
      </c>
      <c r="Q255" s="143" t="str">
        <f t="shared" ca="1" si="65"/>
        <v/>
      </c>
      <c r="R255" s="187" t="str">
        <f t="shared" ca="1" si="73"/>
        <v/>
      </c>
      <c r="S255" s="143" t="str">
        <f t="shared" ca="1" si="67"/>
        <v/>
      </c>
      <c r="T255" s="187" t="str">
        <f t="shared" ca="1" si="74"/>
        <v/>
      </c>
      <c r="X255" s="412" t="e">
        <f t="shared" ca="1" si="69"/>
        <v>#N/A</v>
      </c>
    </row>
    <row r="256" spans="1:24" s="411" customFormat="1" x14ac:dyDescent="0.25">
      <c r="B256" s="186"/>
      <c r="G256" s="148">
        <f ca="1"/>
        <v>0</v>
      </c>
      <c r="H256" s="189" t="str">
        <f t="shared" ca="1" si="58"/>
        <v/>
      </c>
      <c r="I256" s="189" t="str">
        <f t="shared" ca="1" si="59"/>
        <v/>
      </c>
      <c r="J256" s="155" t="str">
        <f t="shared" ca="1" si="60"/>
        <v/>
      </c>
      <c r="K256" s="340" t="str">
        <f t="shared" ca="1" si="70"/>
        <v/>
      </c>
      <c r="L256" s="186" t="str">
        <f t="shared" ca="1" si="70"/>
        <v/>
      </c>
      <c r="M256" s="186" t="str">
        <f t="shared" ca="1" si="70"/>
        <v/>
      </c>
      <c r="N256" s="186" t="str">
        <f t="shared" ca="1" si="62"/>
        <v/>
      </c>
      <c r="O256" s="343" t="str">
        <f t="shared" ca="1" si="63"/>
        <v/>
      </c>
      <c r="P256" s="344" t="str">
        <f t="shared" ca="1" si="64"/>
        <v/>
      </c>
      <c r="Q256" s="143" t="str">
        <f t="shared" ca="1" si="65"/>
        <v/>
      </c>
      <c r="R256" s="187" t="str">
        <f t="shared" ca="1" si="73"/>
        <v/>
      </c>
      <c r="S256" s="143" t="str">
        <f t="shared" ca="1" si="67"/>
        <v/>
      </c>
      <c r="T256" s="187" t="str">
        <f t="shared" ca="1" si="74"/>
        <v/>
      </c>
      <c r="X256" s="412" t="e">
        <f t="shared" ca="1" si="69"/>
        <v>#N/A</v>
      </c>
    </row>
    <row r="257" spans="2:24" s="411" customFormat="1" x14ac:dyDescent="0.25">
      <c r="B257" s="186"/>
      <c r="G257" s="148">
        <f ca="1"/>
        <v>0</v>
      </c>
      <c r="H257" s="189" t="str">
        <f t="shared" ca="1" si="58"/>
        <v/>
      </c>
      <c r="I257" s="189" t="str">
        <f t="shared" ca="1" si="59"/>
        <v/>
      </c>
      <c r="J257" s="155" t="str">
        <f t="shared" ca="1" si="60"/>
        <v/>
      </c>
      <c r="K257" s="340" t="str">
        <f t="shared" ca="1" si="70"/>
        <v/>
      </c>
      <c r="L257" s="186" t="str">
        <f t="shared" ca="1" si="70"/>
        <v/>
      </c>
      <c r="M257" s="186" t="str">
        <f t="shared" ca="1" si="70"/>
        <v/>
      </c>
      <c r="N257" s="186" t="str">
        <f t="shared" ca="1" si="62"/>
        <v/>
      </c>
      <c r="O257" s="343" t="str">
        <f t="shared" ca="1" si="63"/>
        <v/>
      </c>
      <c r="P257" s="344" t="str">
        <f t="shared" ca="1" si="64"/>
        <v/>
      </c>
      <c r="Q257" s="143" t="str">
        <f t="shared" ca="1" si="65"/>
        <v/>
      </c>
      <c r="R257" s="187" t="str">
        <f t="shared" ca="1" si="73"/>
        <v/>
      </c>
      <c r="S257" s="143" t="str">
        <f t="shared" ca="1" si="67"/>
        <v/>
      </c>
      <c r="T257" s="187" t="str">
        <f t="shared" ca="1" si="74"/>
        <v/>
      </c>
      <c r="X257" s="412" t="e">
        <f t="shared" ca="1" si="69"/>
        <v>#N/A</v>
      </c>
    </row>
    <row r="258" spans="2:24" s="411" customFormat="1" x14ac:dyDescent="0.25">
      <c r="B258" s="186"/>
      <c r="G258" s="148">
        <f ca="1"/>
        <v>0</v>
      </c>
      <c r="H258" s="189" t="str">
        <f t="shared" ca="1" si="58"/>
        <v/>
      </c>
      <c r="I258" s="189" t="str">
        <f t="shared" ca="1" si="59"/>
        <v/>
      </c>
      <c r="J258" s="155" t="str">
        <f t="shared" ca="1" si="60"/>
        <v/>
      </c>
      <c r="K258" s="340" t="str">
        <f t="shared" ca="1" si="70"/>
        <v/>
      </c>
      <c r="L258" s="186" t="str">
        <f t="shared" ca="1" si="70"/>
        <v/>
      </c>
      <c r="M258" s="186" t="str">
        <f t="shared" ca="1" si="70"/>
        <v/>
      </c>
      <c r="N258" s="186" t="str">
        <f t="shared" ca="1" si="62"/>
        <v/>
      </c>
      <c r="O258" s="343" t="str">
        <f t="shared" ca="1" si="63"/>
        <v/>
      </c>
      <c r="P258" s="344" t="str">
        <f t="shared" ca="1" si="64"/>
        <v/>
      </c>
      <c r="Q258" s="143" t="str">
        <f t="shared" ca="1" si="65"/>
        <v/>
      </c>
      <c r="R258" s="187" t="str">
        <f t="shared" ca="1" si="73"/>
        <v/>
      </c>
      <c r="S258" s="143" t="str">
        <f t="shared" ca="1" si="67"/>
        <v/>
      </c>
      <c r="T258" s="187" t="str">
        <f t="shared" ca="1" si="74"/>
        <v/>
      </c>
      <c r="X258" s="412" t="e">
        <f t="shared" ca="1" si="69"/>
        <v>#N/A</v>
      </c>
    </row>
    <row r="259" spans="2:24" s="411" customFormat="1" x14ac:dyDescent="0.25">
      <c r="B259" s="186"/>
      <c r="G259" s="148">
        <f ca="1"/>
        <v>0</v>
      </c>
      <c r="H259" s="189" t="str">
        <f t="shared" ca="1" si="58"/>
        <v/>
      </c>
      <c r="I259" s="189" t="str">
        <f t="shared" ca="1" si="59"/>
        <v/>
      </c>
      <c r="J259" s="155" t="str">
        <f t="shared" ca="1" si="60"/>
        <v/>
      </c>
      <c r="K259" s="340" t="str">
        <f t="shared" ca="1" si="70"/>
        <v/>
      </c>
      <c r="L259" s="186" t="str">
        <f t="shared" ca="1" si="70"/>
        <v/>
      </c>
      <c r="M259" s="186" t="str">
        <f t="shared" ca="1" si="70"/>
        <v/>
      </c>
      <c r="N259" s="186" t="str">
        <f t="shared" ca="1" si="62"/>
        <v/>
      </c>
      <c r="O259" s="343" t="str">
        <f t="shared" ca="1" si="63"/>
        <v/>
      </c>
      <c r="P259" s="344" t="str">
        <f t="shared" ca="1" si="64"/>
        <v/>
      </c>
      <c r="Q259" s="143" t="str">
        <f t="shared" ca="1" si="65"/>
        <v/>
      </c>
      <c r="R259" s="187" t="str">
        <f t="shared" ca="1" si="73"/>
        <v/>
      </c>
      <c r="S259" s="143" t="str">
        <f t="shared" ca="1" si="67"/>
        <v/>
      </c>
      <c r="T259" s="187" t="str">
        <f t="shared" ca="1" si="74"/>
        <v/>
      </c>
      <c r="X259" s="412" t="e">
        <f t="shared" ca="1" si="69"/>
        <v>#N/A</v>
      </c>
    </row>
    <row r="260" spans="2:24" s="411" customFormat="1" x14ac:dyDescent="0.25">
      <c r="B260" s="186"/>
      <c r="G260" s="148">
        <f ca="1"/>
        <v>0</v>
      </c>
      <c r="H260" s="189" t="str">
        <f t="shared" ca="1" si="58"/>
        <v/>
      </c>
      <c r="I260" s="189" t="str">
        <f t="shared" ca="1" si="59"/>
        <v/>
      </c>
      <c r="J260" s="155" t="str">
        <f t="shared" ca="1" si="60"/>
        <v/>
      </c>
      <c r="K260" s="340" t="str">
        <f t="shared" ca="1" si="70"/>
        <v/>
      </c>
      <c r="L260" s="186" t="str">
        <f t="shared" ca="1" si="70"/>
        <v/>
      </c>
      <c r="M260" s="186" t="str">
        <f t="shared" ca="1" si="70"/>
        <v/>
      </c>
      <c r="N260" s="186" t="str">
        <f t="shared" ca="1" si="62"/>
        <v/>
      </c>
      <c r="O260" s="343" t="str">
        <f t="shared" ca="1" si="63"/>
        <v/>
      </c>
      <c r="P260" s="344" t="str">
        <f t="shared" ca="1" si="64"/>
        <v/>
      </c>
      <c r="Q260" s="143" t="str">
        <f t="shared" ca="1" si="65"/>
        <v/>
      </c>
      <c r="R260" s="187" t="str">
        <f t="shared" ca="1" si="73"/>
        <v/>
      </c>
      <c r="S260" s="143" t="str">
        <f t="shared" ca="1" si="67"/>
        <v/>
      </c>
      <c r="T260" s="187" t="str">
        <f t="shared" ca="1" si="74"/>
        <v/>
      </c>
      <c r="X260" s="412" t="e">
        <f t="shared" ca="1" si="69"/>
        <v>#N/A</v>
      </c>
    </row>
    <row r="261" spans="2:24" s="411" customFormat="1" x14ac:dyDescent="0.25">
      <c r="B261" s="186"/>
      <c r="G261" s="148">
        <f ca="1"/>
        <v>0</v>
      </c>
      <c r="H261" s="189" t="str">
        <f t="shared" ca="1" si="58"/>
        <v/>
      </c>
      <c r="I261" s="189" t="str">
        <f t="shared" ca="1" si="59"/>
        <v/>
      </c>
      <c r="J261" s="155" t="str">
        <f t="shared" ca="1" si="60"/>
        <v/>
      </c>
      <c r="K261" s="340" t="str">
        <f t="shared" ca="1" si="70"/>
        <v/>
      </c>
      <c r="L261" s="186" t="str">
        <f t="shared" ca="1" si="70"/>
        <v/>
      </c>
      <c r="M261" s="186" t="str">
        <f t="shared" ca="1" si="70"/>
        <v/>
      </c>
      <c r="N261" s="186" t="str">
        <f t="shared" ca="1" si="62"/>
        <v/>
      </c>
      <c r="O261" s="343" t="str">
        <f t="shared" ca="1" si="63"/>
        <v/>
      </c>
      <c r="P261" s="344" t="str">
        <f t="shared" ca="1" si="64"/>
        <v/>
      </c>
      <c r="Q261" s="143" t="str">
        <f t="shared" ca="1" si="65"/>
        <v/>
      </c>
      <c r="R261" s="187" t="str">
        <f t="shared" ca="1" si="73"/>
        <v/>
      </c>
      <c r="S261" s="143" t="str">
        <f t="shared" ca="1" si="67"/>
        <v/>
      </c>
      <c r="T261" s="187" t="str">
        <f t="shared" ca="1" si="74"/>
        <v/>
      </c>
      <c r="X261" s="412" t="e">
        <f t="shared" ref="X261:X268" ca="1" si="75">INDEX(strategy_level_concentrations,MATCH($G261,OFFSET(strategy_level_concentrations,0,0,,1),0),MATCH("stopLossType",OFFSET(strategy_level_concentrations,0,0,1),0))</f>
        <v>#N/A</v>
      </c>
    </row>
    <row r="262" spans="2:24" s="411" customFormat="1" x14ac:dyDescent="0.25">
      <c r="B262" s="186"/>
      <c r="G262" s="148">
        <f ca="1"/>
        <v>0</v>
      </c>
      <c r="H262" s="189" t="str">
        <f t="shared" ca="1" si="58"/>
        <v/>
      </c>
      <c r="I262" s="189" t="str">
        <f t="shared" ca="1" si="59"/>
        <v/>
      </c>
      <c r="J262" s="155" t="str">
        <f t="shared" ca="1" si="60"/>
        <v/>
      </c>
      <c r="K262" s="340" t="str">
        <f t="shared" ca="1" si="70"/>
        <v/>
      </c>
      <c r="L262" s="186" t="str">
        <f t="shared" ca="1" si="70"/>
        <v/>
      </c>
      <c r="M262" s="186" t="str">
        <f t="shared" ca="1" si="70"/>
        <v/>
      </c>
      <c r="N262" s="186" t="str">
        <f t="shared" ca="1" si="62"/>
        <v/>
      </c>
      <c r="O262" s="343" t="str">
        <f t="shared" ca="1" si="63"/>
        <v/>
      </c>
      <c r="P262" s="344" t="str">
        <f t="shared" ca="1" si="64"/>
        <v/>
      </c>
      <c r="Q262" s="143" t="str">
        <f t="shared" ca="1" si="65"/>
        <v/>
      </c>
      <c r="R262" s="187" t="str">
        <f t="shared" ca="1" si="73"/>
        <v/>
      </c>
      <c r="S262" s="143" t="str">
        <f t="shared" ca="1" si="67"/>
        <v/>
      </c>
      <c r="T262" s="187" t="str">
        <f t="shared" ca="1" si="74"/>
        <v/>
      </c>
      <c r="X262" s="412" t="e">
        <f t="shared" ca="1" si="75"/>
        <v>#N/A</v>
      </c>
    </row>
    <row r="263" spans="2:24" s="411" customFormat="1" x14ac:dyDescent="0.25">
      <c r="B263" s="186"/>
      <c r="G263" s="148">
        <f ca="1"/>
        <v>0</v>
      </c>
      <c r="H263" s="189" t="str">
        <f t="shared" ca="1" si="58"/>
        <v/>
      </c>
      <c r="I263" s="189" t="str">
        <f t="shared" ca="1" si="59"/>
        <v/>
      </c>
      <c r="J263" s="155" t="str">
        <f t="shared" ca="1" si="60"/>
        <v/>
      </c>
      <c r="K263" s="340" t="str">
        <f t="shared" ca="1" si="70"/>
        <v/>
      </c>
      <c r="L263" s="186" t="str">
        <f t="shared" ca="1" si="70"/>
        <v/>
      </c>
      <c r="M263" s="186" t="str">
        <f t="shared" ca="1" si="70"/>
        <v/>
      </c>
      <c r="N263" s="186" t="str">
        <f t="shared" ca="1" si="62"/>
        <v/>
      </c>
      <c r="O263" s="343" t="str">
        <f t="shared" ca="1" si="63"/>
        <v/>
      </c>
      <c r="P263" s="344" t="str">
        <f t="shared" ca="1" si="64"/>
        <v/>
      </c>
      <c r="Q263" s="143" t="str">
        <f t="shared" ca="1" si="65"/>
        <v/>
      </c>
      <c r="R263" s="187" t="str">
        <f t="shared" ca="1" si="73"/>
        <v/>
      </c>
      <c r="S263" s="143" t="str">
        <f t="shared" ca="1" si="67"/>
        <v/>
      </c>
      <c r="T263" s="187" t="str">
        <f t="shared" ca="1" si="74"/>
        <v/>
      </c>
      <c r="X263" s="412" t="e">
        <f t="shared" ca="1" si="75"/>
        <v>#N/A</v>
      </c>
    </row>
    <row r="264" spans="2:24" s="411" customFormat="1" x14ac:dyDescent="0.25">
      <c r="B264" s="186"/>
      <c r="G264" s="148">
        <f ca="1"/>
        <v>0</v>
      </c>
      <c r="H264" s="189" t="str">
        <f t="shared" ca="1" si="58"/>
        <v/>
      </c>
      <c r="I264" s="189" t="str">
        <f t="shared" ca="1" si="59"/>
        <v/>
      </c>
      <c r="J264" s="155" t="str">
        <f t="shared" ca="1" si="60"/>
        <v/>
      </c>
      <c r="K264" s="340" t="str">
        <f t="shared" ca="1" si="70"/>
        <v/>
      </c>
      <c r="L264" s="186" t="str">
        <f t="shared" ca="1" si="70"/>
        <v/>
      </c>
      <c r="M264" s="186" t="str">
        <f t="shared" ca="1" si="70"/>
        <v/>
      </c>
      <c r="N264" s="186" t="str">
        <f t="shared" ca="1" si="62"/>
        <v/>
      </c>
      <c r="O264" s="343" t="str">
        <f t="shared" ca="1" si="63"/>
        <v/>
      </c>
      <c r="P264" s="344" t="str">
        <f t="shared" ca="1" si="64"/>
        <v/>
      </c>
      <c r="Q264" s="143" t="str">
        <f t="shared" ca="1" si="65"/>
        <v/>
      </c>
      <c r="R264" s="187" t="str">
        <f t="shared" ca="1" si="73"/>
        <v/>
      </c>
      <c r="S264" s="143" t="str">
        <f t="shared" ca="1" si="67"/>
        <v/>
      </c>
      <c r="T264" s="187" t="str">
        <f t="shared" ca="1" si="74"/>
        <v/>
      </c>
      <c r="X264" s="412" t="e">
        <f t="shared" ca="1" si="75"/>
        <v>#N/A</v>
      </c>
    </row>
    <row r="265" spans="2:24" s="411" customFormat="1" x14ac:dyDescent="0.25">
      <c r="B265" s="186"/>
      <c r="G265" s="148">
        <f ca="1"/>
        <v>0</v>
      </c>
      <c r="H265" s="189" t="str">
        <f t="shared" ca="1" si="58"/>
        <v/>
      </c>
      <c r="I265" s="189" t="str">
        <f t="shared" ca="1" si="59"/>
        <v/>
      </c>
      <c r="J265" s="155" t="str">
        <f t="shared" ca="1" si="60"/>
        <v/>
      </c>
      <c r="K265" s="340" t="str">
        <f t="shared" ca="1" si="70"/>
        <v/>
      </c>
      <c r="L265" s="186" t="str">
        <f t="shared" ca="1" si="70"/>
        <v/>
      </c>
      <c r="M265" s="186" t="str">
        <f t="shared" ca="1" si="70"/>
        <v/>
      </c>
      <c r="N265" s="186" t="str">
        <f t="shared" ca="1" si="62"/>
        <v/>
      </c>
      <c r="O265" s="343" t="str">
        <f t="shared" ca="1" si="63"/>
        <v/>
      </c>
      <c r="P265" s="344" t="str">
        <f t="shared" ca="1" si="64"/>
        <v/>
      </c>
      <c r="Q265" s="143" t="str">
        <f t="shared" ca="1" si="65"/>
        <v/>
      </c>
      <c r="R265" s="187" t="str">
        <f t="shared" ca="1" si="73"/>
        <v/>
      </c>
      <c r="S265" s="143" t="str">
        <f t="shared" ca="1" si="67"/>
        <v/>
      </c>
      <c r="T265" s="187" t="str">
        <f t="shared" ca="1" si="74"/>
        <v/>
      </c>
      <c r="X265" s="412" t="e">
        <f t="shared" ca="1" si="75"/>
        <v>#N/A</v>
      </c>
    </row>
    <row r="266" spans="2:24" s="411" customFormat="1" x14ac:dyDescent="0.25">
      <c r="B266" s="186"/>
      <c r="G266" s="148">
        <f ca="1"/>
        <v>0</v>
      </c>
      <c r="H266" s="189" t="str">
        <f t="shared" ca="1" si="58"/>
        <v/>
      </c>
      <c r="I266" s="189" t="str">
        <f t="shared" ca="1" si="59"/>
        <v/>
      </c>
      <c r="J266" s="155" t="str">
        <f t="shared" ca="1" si="60"/>
        <v/>
      </c>
      <c r="K266" s="340" t="str">
        <f t="shared" ca="1" si="70"/>
        <v/>
      </c>
      <c r="L266" s="186" t="str">
        <f t="shared" ca="1" si="70"/>
        <v/>
      </c>
      <c r="M266" s="186" t="str">
        <f t="shared" ca="1" si="70"/>
        <v/>
      </c>
      <c r="N266" s="186" t="str">
        <f t="shared" ca="1" si="62"/>
        <v/>
      </c>
      <c r="O266" s="343" t="str">
        <f t="shared" ca="1" si="63"/>
        <v/>
      </c>
      <c r="P266" s="344" t="str">
        <f t="shared" ca="1" si="64"/>
        <v/>
      </c>
      <c r="Q266" s="143" t="str">
        <f t="shared" ca="1" si="65"/>
        <v/>
      </c>
      <c r="R266" s="187" t="str">
        <f t="shared" ca="1" si="73"/>
        <v/>
      </c>
      <c r="S266" s="143" t="str">
        <f t="shared" ca="1" si="67"/>
        <v/>
      </c>
      <c r="T266" s="187" t="str">
        <f t="shared" ca="1" si="74"/>
        <v/>
      </c>
      <c r="X266" s="412" t="e">
        <f t="shared" ca="1" si="75"/>
        <v>#N/A</v>
      </c>
    </row>
    <row r="267" spans="2:24" s="411" customFormat="1" x14ac:dyDescent="0.25">
      <c r="B267" s="186"/>
      <c r="G267" s="148">
        <f ca="1"/>
        <v>0</v>
      </c>
      <c r="H267" s="189" t="str">
        <f t="shared" ca="1" si="58"/>
        <v/>
      </c>
      <c r="I267" s="189" t="str">
        <f t="shared" ca="1" si="59"/>
        <v/>
      </c>
      <c r="J267" s="155" t="str">
        <f t="shared" ca="1" si="60"/>
        <v/>
      </c>
      <c r="K267" s="340" t="str">
        <f t="shared" ca="1" si="70"/>
        <v/>
      </c>
      <c r="L267" s="186" t="str">
        <f t="shared" ca="1" si="70"/>
        <v/>
      </c>
      <c r="M267" s="186" t="str">
        <f t="shared" ca="1" si="70"/>
        <v/>
      </c>
      <c r="N267" s="186" t="str">
        <f t="shared" ca="1" si="62"/>
        <v/>
      </c>
      <c r="O267" s="343" t="str">
        <f t="shared" ca="1" si="63"/>
        <v/>
      </c>
      <c r="P267" s="344" t="str">
        <f t="shared" ca="1" si="64"/>
        <v/>
      </c>
      <c r="Q267" s="143" t="str">
        <f t="shared" ca="1" si="65"/>
        <v/>
      </c>
      <c r="R267" s="187" t="str">
        <f t="shared" ca="1" si="73"/>
        <v/>
      </c>
      <c r="S267" s="143" t="str">
        <f t="shared" ca="1" si="67"/>
        <v/>
      </c>
      <c r="T267" s="187" t="str">
        <f t="shared" ca="1" si="74"/>
        <v/>
      </c>
      <c r="X267" s="412" t="e">
        <f t="shared" ca="1" si="75"/>
        <v>#N/A</v>
      </c>
    </row>
    <row r="268" spans="2:24" ht="15.75" customHeight="1" x14ac:dyDescent="0.25">
      <c r="B268" s="186"/>
      <c r="E268" s="2"/>
      <c r="F268" s="3"/>
      <c r="G268" s="148">
        <f ca="1"/>
        <v>0</v>
      </c>
      <c r="H268" s="189" t="str">
        <f t="shared" ca="1" si="58"/>
        <v/>
      </c>
      <c r="I268" s="189" t="str">
        <f t="shared" ca="1" si="59"/>
        <v/>
      </c>
      <c r="J268" s="155" t="str">
        <f t="shared" ca="1" si="60"/>
        <v/>
      </c>
      <c r="K268" s="340" t="str">
        <f t="shared" ca="1" si="70"/>
        <v/>
      </c>
      <c r="L268" s="186" t="str">
        <f t="shared" ca="1" si="70"/>
        <v/>
      </c>
      <c r="M268" s="186" t="str">
        <f t="shared" ca="1" si="70"/>
        <v/>
      </c>
      <c r="N268" s="186" t="str">
        <f t="shared" ca="1" si="62"/>
        <v/>
      </c>
      <c r="O268" s="343" t="str">
        <f t="shared" ca="1" si="63"/>
        <v/>
      </c>
      <c r="P268" s="344" t="str">
        <f t="shared" ca="1" si="64"/>
        <v/>
      </c>
      <c r="Q268" s="143" t="str">
        <f t="shared" ca="1" si="65"/>
        <v/>
      </c>
      <c r="R268" s="187" t="str">
        <f t="shared" ca="1" si="73"/>
        <v/>
      </c>
      <c r="S268" s="143" t="str">
        <f t="shared" ca="1" si="67"/>
        <v/>
      </c>
      <c r="T268" s="187" t="str">
        <f t="shared" ca="1" si="74"/>
        <v/>
      </c>
      <c r="X268" s="412" t="e">
        <f t="shared" ca="1" si="75"/>
        <v>#N/A</v>
      </c>
    </row>
    <row r="269" spans="2:24" ht="12" customHeight="1" x14ac:dyDescent="0.25">
      <c r="B269" s="186"/>
    </row>
    <row r="270" spans="2:24" ht="17.25" x14ac:dyDescent="0.3">
      <c r="B270" s="186"/>
      <c r="C270" s="87" t="s">
        <v>106</v>
      </c>
      <c r="D270"/>
      <c r="E270"/>
      <c r="F270"/>
      <c r="G270"/>
      <c r="H270"/>
      <c r="I270"/>
      <c r="J270"/>
      <c r="K270"/>
      <c r="L270" s="116"/>
      <c r="M270"/>
      <c r="N270"/>
      <c r="O270"/>
      <c r="P270" s="117"/>
      <c r="Q270" s="16"/>
      <c r="R270" s="118"/>
      <c r="S270" s="118"/>
    </row>
    <row r="271" spans="2:24" ht="17.25" x14ac:dyDescent="0.3">
      <c r="B271" s="186"/>
      <c r="C271"/>
      <c r="D271" s="87"/>
      <c r="E271"/>
      <c r="F271"/>
      <c r="G271"/>
      <c r="H271"/>
      <c r="L271" s="117"/>
      <c r="N271" s="16" t="s">
        <v>107</v>
      </c>
      <c r="O271" s="16"/>
      <c r="P271" s="16"/>
      <c r="Q271" s="190"/>
      <c r="R271" s="190"/>
      <c r="S271" s="190"/>
      <c r="T271" s="190"/>
    </row>
    <row r="272" spans="2:24" ht="47.25" x14ac:dyDescent="0.25">
      <c r="B272" s="186"/>
      <c r="C272" s="22"/>
      <c r="D272" s="121"/>
      <c r="E272" s="121"/>
      <c r="F272" s="427" t="s">
        <v>108</v>
      </c>
      <c r="G272" s="428"/>
      <c r="H272" s="422" t="s">
        <v>109</v>
      </c>
      <c r="I272" s="423"/>
      <c r="J272" s="423"/>
      <c r="K272" s="424"/>
      <c r="L272" s="191" t="s">
        <v>96</v>
      </c>
      <c r="M272" s="131" t="s">
        <v>110</v>
      </c>
      <c r="N272" s="192" t="s">
        <v>100</v>
      </c>
      <c r="O272" s="166" t="s">
        <v>111</v>
      </c>
      <c r="P272" s="193" t="s">
        <v>38</v>
      </c>
      <c r="Q272" s="375"/>
      <c r="R272" s="426" t="s">
        <v>112</v>
      </c>
      <c r="S272" s="426"/>
      <c r="T272" s="375"/>
    </row>
    <row r="273" spans="2:20" x14ac:dyDescent="0.25">
      <c r="B273" s="186"/>
      <c r="C273" s="177"/>
      <c r="D273" s="194"/>
      <c r="E273" s="194"/>
      <c r="F273" s="166"/>
      <c r="G273" s="195"/>
      <c r="H273" s="192" t="s">
        <v>33</v>
      </c>
      <c r="I273" s="196" t="s">
        <v>34</v>
      </c>
      <c r="J273" s="196" t="s">
        <v>35</v>
      </c>
      <c r="K273" s="374" t="s">
        <v>36</v>
      </c>
      <c r="L273" s="133">
        <f ca="1">SUM(L274:L345)</f>
        <v>282116188.4503867</v>
      </c>
      <c r="M273" s="198">
        <f ca="1">SUM(M274:M345)</f>
        <v>1.2653162680852577</v>
      </c>
      <c r="N273" s="199">
        <f ca="1">SUM(N274:N345)</f>
        <v>0.20791817446917318</v>
      </c>
      <c r="O273" s="200">
        <f ca="1">SUM(O274:O345)</f>
        <v>7.7500971760541618E-3</v>
      </c>
      <c r="P273" s="201">
        <f ca="1">SUM(P274:P345)</f>
        <v>0.21566827164522739</v>
      </c>
      <c r="Q273" s="375"/>
      <c r="R273" s="202" t="s">
        <v>113</v>
      </c>
      <c r="S273" s="203"/>
      <c r="T273" s="47" t="s">
        <v>7</v>
      </c>
    </row>
    <row r="274" spans="2:20" x14ac:dyDescent="0.25">
      <c r="B274" s="186"/>
      <c r="C274"/>
      <c r="D274"/>
      <c r="E274" s="138"/>
      <c r="F274"/>
      <c r="G274" s="148" t="str">
        <f t="array" aca="1" ref="G274:G307" ca="1">OFFSET(theme_level_concentrations,1,0,1000,1)</f>
        <v>CDS FLATTENER</v>
      </c>
      <c r="H274" s="204">
        <f t="shared" ref="H274:K323" ca="1" si="76">IF(NOT(ISTEXT($G274)),"",IFERROR(INDEX(theme_level_concentrations,MATCH($G274,OFFSET(theme_level_concentrations,0,0,,1),0),MATCH(H$273,OFFSET(theme_level_concentrations,0,0,1),0)),0))</f>
        <v>0</v>
      </c>
      <c r="I274" s="205">
        <f t="shared" ca="1" si="76"/>
        <v>0</v>
      </c>
      <c r="J274" s="206">
        <f t="shared" ca="1" si="76"/>
        <v>9263.818698670806</v>
      </c>
      <c r="K274" s="207">
        <f t="shared" ca="1" si="76"/>
        <v>178866.00673740002</v>
      </c>
      <c r="L274" s="185">
        <f t="shared" ref="L274:L345" ca="1" si="77">IF(NOT(ISTEXT($G274)),"",IFERROR(INDEX(theme_level_concentrations,MATCH($G274,OFFSET(theme_level_concentrations,0,0,,1),0),MATCH("Market Value",OFFSET(theme_level_concentrations,0,0,1),0)),0))</f>
        <v>-2289436.0427789232</v>
      </c>
      <c r="M274" s="208">
        <f t="shared" ref="M274:M345" ca="1" si="78">IF(NOT(ISTEXT($G274)),"",IFERROR(INDEX(theme_level_concentrations,MATCH($G274,OFFSET(theme_level_concentrations,0,0,,1),0),MATCH("Leverage",OFFSET(theme_level_concentrations,0,0,1),0)),0)/Nav)</f>
        <v>9.7354068561751536E-3</v>
      </c>
      <c r="N274" s="209">
        <f t="shared" ref="N274:N345" ca="1" si="79">IF(NOT(ISTEXT($G274)),"",IFERROR(INDEX(theme_level_concentrations,MATCH($G274,OFFSET(theme_level_concentrations,0,0,,1),0),MATCH("Concentration Exposure",OFFSET(theme_level_concentrations,0,0,1),0)),0)/Nav)</f>
        <v>6.1206863319326569E-3</v>
      </c>
      <c r="O274" s="188">
        <f t="shared" ref="O274:O345" ca="1" si="80">IF(NOT(ISTEXT($G274)),"",IFERROR(INDEX(theme_level_concentrations,MATCH($G274,OFFSET(theme_level_concentrations,0,0,,1),0),MATCH("closedPL",OFFSET(theme_level_concentrations,0,0,1),0)),0)/Nav)</f>
        <v>0</v>
      </c>
      <c r="P274" s="188">
        <f t="shared" ref="P274:P288" ca="1" si="81">IF(NOT(ISTEXT($G274)),"",N274+O274)</f>
        <v>6.1206863319326569E-3</v>
      </c>
      <c r="Q274" s="375">
        <v>1</v>
      </c>
      <c r="R274" s="62" t="str">
        <f ca="1">INDEX($G$274:$G$345,MATCH(1,INDEX(($P$274:$P$345=LARGE($P$274:$P$345,ROWS(D$1:$D1)))*(COUNTIF(D$1:$D1,$P$274:$P$345)=0),),0))</f>
        <v>USD VEGA</v>
      </c>
      <c r="S274" s="144"/>
      <c r="T274" s="15">
        <f ca="1">INDEX($P$274:$P$345,MATCH(1,INDEX(($P$274:$P$345=LARGE($P$274:$P$345,ROWS(D$1:$D1)))*(COUNTIF(D$1:$D1,$P$274:$P$345)=0),),0))</f>
        <v>7.0038554199311764E-2</v>
      </c>
    </row>
    <row r="275" spans="2:20" x14ac:dyDescent="0.25">
      <c r="B275" s="186"/>
      <c r="C275"/>
      <c r="D275"/>
      <c r="E275" s="138"/>
      <c r="F275"/>
      <c r="G275" s="148" t="str">
        <f ca="1"/>
        <v>CHINA CREDIT STRESS</v>
      </c>
      <c r="H275" s="210">
        <f t="shared" ca="1" si="76"/>
        <v>0</v>
      </c>
      <c r="I275" s="205">
        <f t="shared" ca="1" si="76"/>
        <v>0</v>
      </c>
      <c r="J275" s="205">
        <f t="shared" ca="1" si="76"/>
        <v>142288.02311253187</v>
      </c>
      <c r="K275" s="207">
        <f t="shared" ca="1" si="76"/>
        <v>0</v>
      </c>
      <c r="L275" s="155">
        <f t="shared" ca="1" si="77"/>
        <v>1028987.4879151051</v>
      </c>
      <c r="M275" s="208">
        <f t="shared" ca="1" si="78"/>
        <v>4.9072972684541763E-2</v>
      </c>
      <c r="N275" s="211">
        <f t="shared" ca="1" si="79"/>
        <v>1.0303111498373672E-2</v>
      </c>
      <c r="O275" s="187">
        <f t="shared" ca="1" si="80"/>
        <v>0</v>
      </c>
      <c r="P275" s="187">
        <f t="shared" ca="1" si="81"/>
        <v>1.0303111498373672E-2</v>
      </c>
      <c r="Q275" s="375">
        <v>2</v>
      </c>
      <c r="R275" s="62" t="str">
        <f ca="1">INDEX($G$274:$G$345,MATCH(1,INDEX(($P$274:$P$345=LARGE($P$274:$P$345,ROWS(D$1:$D2)))*(COUNTIF(D$1:$D2,$P$274:$P$345)=0),),0))</f>
        <v>USD CURVE STEEPENER</v>
      </c>
      <c r="S275" s="144"/>
      <c r="T275" s="15">
        <f ca="1">INDEX($P$274:$P$345,MATCH(1,INDEX(($P$274:$P$345=LARGE($P$274:$P$345,ROWS(D$1:$D2)))*(COUNTIF(D$1:$D2,$P$274:$P$345)=0),),0))</f>
        <v>3.6719342658403993E-2</v>
      </c>
    </row>
    <row r="276" spans="2:20" x14ac:dyDescent="0.25">
      <c r="B276" s="186"/>
      <c r="C276"/>
      <c r="D276"/>
      <c r="E276" s="138"/>
      <c r="F276"/>
      <c r="G276" s="148" t="str">
        <f ca="1"/>
        <v>COMMERCIAL PAPER</v>
      </c>
      <c r="H276" s="210">
        <f t="shared" ca="1" si="76"/>
        <v>0</v>
      </c>
      <c r="I276" s="205">
        <f t="shared" ca="1" si="76"/>
        <v>0</v>
      </c>
      <c r="J276" s="205">
        <f t="shared" ca="1" si="76"/>
        <v>0</v>
      </c>
      <c r="K276" s="207">
        <f t="shared" ca="1" si="76"/>
        <v>0</v>
      </c>
      <c r="L276" s="155">
        <f t="shared" ca="1" si="77"/>
        <v>19888388.888888888</v>
      </c>
      <c r="M276" s="208">
        <f t="shared" ca="1" si="78"/>
        <v>6.8933044263052246E-2</v>
      </c>
      <c r="N276" s="211">
        <f t="shared" ca="1" si="79"/>
        <v>0</v>
      </c>
      <c r="O276" s="187">
        <f t="shared" ca="1" si="80"/>
        <v>0</v>
      </c>
      <c r="P276" s="187">
        <f t="shared" ca="1" si="81"/>
        <v>0</v>
      </c>
      <c r="Q276" s="375">
        <v>3</v>
      </c>
      <c r="R276" s="62" t="str">
        <f ca="1">INDEX($G$274:$G$345,MATCH(1,INDEX(($P$274:$P$345=LARGE($P$274:$P$345,ROWS(D$1:$D3)))*(COUNTIF(D$1:$D3,$P$274:$P$345)=0),),0))</f>
        <v>US IG CREDIT</v>
      </c>
      <c r="S276" s="144"/>
      <c r="T276" s="15">
        <f ca="1">INDEX($P$274:$P$345,MATCH(1,INDEX(($P$274:$P$345=LARGE($P$274:$P$345,ROWS(D$1:$D3)))*(COUNTIF(D$1:$D3,$P$274:$P$345)=0),),0))</f>
        <v>1.8491878044766784E-2</v>
      </c>
    </row>
    <row r="277" spans="2:20" x14ac:dyDescent="0.25">
      <c r="B277" s="186"/>
      <c r="C277"/>
      <c r="D277"/>
      <c r="E277" s="138"/>
      <c r="F277"/>
      <c r="G277" s="148" t="str">
        <f ca="1"/>
        <v>DM FX CARRY</v>
      </c>
      <c r="H277" s="210">
        <f t="shared" ca="1" si="76"/>
        <v>-16261578.267169133</v>
      </c>
      <c r="I277" s="205">
        <f t="shared" ca="1" si="76"/>
        <v>0</v>
      </c>
      <c r="J277" s="205">
        <f t="shared" ca="1" si="76"/>
        <v>0</v>
      </c>
      <c r="K277" s="207">
        <f t="shared" ca="1" si="76"/>
        <v>0</v>
      </c>
      <c r="L277" s="155">
        <f t="shared" ca="1" si="77"/>
        <v>1536249.4821362495</v>
      </c>
      <c r="M277" s="208">
        <f t="shared" ca="1" si="78"/>
        <v>5.3246320827099155E-3</v>
      </c>
      <c r="N277" s="211">
        <f t="shared" ca="1" si="79"/>
        <v>5.3246320827099155E-3</v>
      </c>
      <c r="O277" s="187">
        <f t="shared" ca="1" si="80"/>
        <v>1.8307401814544844E-4</v>
      </c>
      <c r="P277" s="187">
        <f t="shared" ca="1" si="81"/>
        <v>5.5077061008553642E-3</v>
      </c>
      <c r="Q277" s="375">
        <v>4</v>
      </c>
      <c r="R277" s="62" t="str">
        <f ca="1">INDEX($G$274:$G$345,MATCH(1,INDEX(($P$274:$P$345=LARGE($P$274:$P$345,ROWS(D$1:$D4)))*(COUNTIF(D$1:$D4,$P$274:$P$345)=0),),0))</f>
        <v>USD MIDCURVE WEDGE</v>
      </c>
      <c r="S277" s="144"/>
      <c r="T277" s="15">
        <f ca="1">INDEX($P$274:$P$345,MATCH(1,INDEX(($P$274:$P$345=LARGE($P$274:$P$345,ROWS(D$1:$D4)))*(COUNTIF(D$1:$D4,$P$274:$P$345)=0),),0))</f>
        <v>1.6009843994665502E-2</v>
      </c>
    </row>
    <row r="278" spans="2:20" x14ac:dyDescent="0.25">
      <c r="B278" s="186"/>
      <c r="C278" s="375"/>
      <c r="D278" s="375"/>
      <c r="E278" s="75"/>
      <c r="F278" s="13"/>
      <c r="G278" s="148" t="str">
        <f ca="1"/>
        <v>DUAL BINARY BASKET</v>
      </c>
      <c r="H278" s="210">
        <f t="shared" ca="1" si="76"/>
        <v>-6923119.3436523974</v>
      </c>
      <c r="I278" s="205">
        <f t="shared" ca="1" si="76"/>
        <v>0</v>
      </c>
      <c r="J278" s="205">
        <f t="shared" ca="1" si="76"/>
        <v>0</v>
      </c>
      <c r="K278" s="207">
        <f t="shared" ca="1" si="76"/>
        <v>0</v>
      </c>
      <c r="L278" s="155">
        <f t="shared" ca="1" si="77"/>
        <v>431078.1354408951</v>
      </c>
      <c r="M278" s="208">
        <f t="shared" ca="1" si="78"/>
        <v>1.4941143979632519E-3</v>
      </c>
      <c r="N278" s="211">
        <f t="shared" ca="1" si="79"/>
        <v>1.3911536725478781E-3</v>
      </c>
      <c r="O278" s="187">
        <f t="shared" ca="1" si="80"/>
        <v>0</v>
      </c>
      <c r="P278" s="187">
        <f t="shared" ca="1" si="81"/>
        <v>1.3911536725478781E-3</v>
      </c>
      <c r="Q278" s="375">
        <v>5</v>
      </c>
      <c r="R278" s="67" t="str">
        <f ca="1">INDEX($G$274:$G$345,MATCH(1,INDEX(($P$274:$P$345=LARGE($P$274:$P$345,ROWS(D$1:$D5)))*(COUNTIF(D$1:$D5,$P$274:$P$345)=0),),0))</f>
        <v>EM CARRY</v>
      </c>
      <c r="S278" s="180"/>
      <c r="T278" s="40">
        <f ca="1">INDEX($P$274:$P$345,MATCH(1,INDEX(($P$274:$P$345=LARGE($P$274:$P$345,ROWS(D$1:$D5)))*(COUNTIF(D$1:$D5,$P$274:$P$345)=0),),0))</f>
        <v>1.2629252808279947E-2</v>
      </c>
    </row>
    <row r="279" spans="2:20" x14ac:dyDescent="0.25">
      <c r="B279" s="186"/>
      <c r="C279" s="375"/>
      <c r="D279" s="375"/>
      <c r="E279" s="75"/>
      <c r="F279" s="13"/>
      <c r="G279" s="148" t="str">
        <f ca="1"/>
        <v>EM CARRY</v>
      </c>
      <c r="H279" s="210">
        <f t="shared" ca="1" si="76"/>
        <v>13618256.549448473</v>
      </c>
      <c r="I279" s="205">
        <f t="shared" ca="1" si="76"/>
        <v>0</v>
      </c>
      <c r="J279" s="205">
        <f t="shared" ca="1" si="76"/>
        <v>0</v>
      </c>
      <c r="K279" s="207">
        <f t="shared" ca="1" si="76"/>
        <v>0</v>
      </c>
      <c r="L279" s="155">
        <f t="shared" ca="1" si="77"/>
        <v>748034.19385554548</v>
      </c>
      <c r="M279" s="208">
        <f t="shared" ca="1" si="78"/>
        <v>2.5926823174766307E-3</v>
      </c>
      <c r="N279" s="211">
        <f t="shared" ca="1" si="79"/>
        <v>8.4644734408129522E-3</v>
      </c>
      <c r="O279" s="187">
        <f t="shared" ca="1" si="80"/>
        <v>4.1647793674669939E-3</v>
      </c>
      <c r="P279" s="187">
        <f t="shared" ca="1" si="81"/>
        <v>1.2629252808279947E-2</v>
      </c>
      <c r="Q279" s="375"/>
      <c r="R279" s="71" t="s">
        <v>38</v>
      </c>
      <c r="S279" s="375"/>
      <c r="T279" s="36">
        <f ca="1">SUM(T274:T278)</f>
        <v>0.153888871705428</v>
      </c>
    </row>
    <row r="280" spans="2:20" x14ac:dyDescent="0.25">
      <c r="B280" s="186"/>
      <c r="C280" s="375"/>
      <c r="D280" s="375"/>
      <c r="E280" s="75"/>
      <c r="F280" s="13"/>
      <c r="G280" s="148" t="str">
        <f ca="1"/>
        <v>G10 FX GAMMA</v>
      </c>
      <c r="H280" s="210">
        <f t="shared" ca="1" si="76"/>
        <v>6203826.2136700805</v>
      </c>
      <c r="I280" s="205">
        <f t="shared" ca="1" si="76"/>
        <v>0</v>
      </c>
      <c r="J280" s="205">
        <f t="shared" ca="1" si="76"/>
        <v>0</v>
      </c>
      <c r="K280" s="207">
        <f t="shared" ca="1" si="76"/>
        <v>0</v>
      </c>
      <c r="L280" s="155">
        <f t="shared" ca="1" si="77"/>
        <v>210800.25234017172</v>
      </c>
      <c r="M280" s="208">
        <f t="shared" ca="1" si="78"/>
        <v>7.3063249147072831E-4</v>
      </c>
      <c r="N280" s="211">
        <f t="shared" ca="1" si="79"/>
        <v>1.2107066716403952E-3</v>
      </c>
      <c r="O280" s="187">
        <f t="shared" ca="1" si="80"/>
        <v>1.6112615280520931E-3</v>
      </c>
      <c r="P280" s="187">
        <f t="shared" ca="1" si="81"/>
        <v>2.8219681996924885E-3</v>
      </c>
      <c r="Q280" s="375"/>
      <c r="R280" s="375"/>
      <c r="S280" s="144"/>
      <c r="T280" s="212"/>
    </row>
    <row r="281" spans="2:20" x14ac:dyDescent="0.25">
      <c r="B281" s="186"/>
      <c r="C281" s="375"/>
      <c r="D281" s="375"/>
      <c r="E281" s="75"/>
      <c r="F281" s="13"/>
      <c r="G281" s="148" t="str">
        <f ca="1"/>
        <v>GREEK BANKS</v>
      </c>
      <c r="H281" s="210">
        <f t="shared" ca="1" si="76"/>
        <v>0</v>
      </c>
      <c r="I281" s="205">
        <f t="shared" ca="1" si="76"/>
        <v>0</v>
      </c>
      <c r="J281" s="205">
        <f t="shared" ca="1" si="76"/>
        <v>0</v>
      </c>
      <c r="K281" s="207">
        <f t="shared" ca="1" si="76"/>
        <v>971441.28179999988</v>
      </c>
      <c r="L281" s="155">
        <f t="shared" ca="1" si="77"/>
        <v>971441.28179999988</v>
      </c>
      <c r="M281" s="208">
        <f t="shared" ca="1" si="78"/>
        <v>3.5219360663543381E-3</v>
      </c>
      <c r="N281" s="211">
        <f t="shared" ca="1" si="79"/>
        <v>4.0552134332424005E-3</v>
      </c>
      <c r="O281" s="187">
        <f t="shared" ca="1" si="80"/>
        <v>0</v>
      </c>
      <c r="P281" s="187">
        <f t="shared" ca="1" si="81"/>
        <v>4.0552134332424005E-3</v>
      </c>
      <c r="Q281" s="375"/>
      <c r="R281" s="375"/>
      <c r="S281" s="144"/>
      <c r="T281" s="212"/>
    </row>
    <row r="282" spans="2:20" x14ac:dyDescent="0.25">
      <c r="B282" s="186"/>
      <c r="C282" s="375"/>
      <c r="D282" s="375"/>
      <c r="E282" s="75"/>
      <c r="F282" s="13"/>
      <c r="G282" s="148" t="str">
        <f ca="1"/>
        <v>JAPAN CDS</v>
      </c>
      <c r="H282" s="210">
        <f t="shared" ca="1" si="76"/>
        <v>0</v>
      </c>
      <c r="I282" s="205">
        <f t="shared" ca="1" si="76"/>
        <v>0</v>
      </c>
      <c r="J282" s="205">
        <f t="shared" ca="1" si="76"/>
        <v>56302.323020482647</v>
      </c>
      <c r="K282" s="207">
        <f t="shared" ca="1" si="76"/>
        <v>0</v>
      </c>
      <c r="L282" s="155">
        <f t="shared" ca="1" si="77"/>
        <v>-2392088.2368460959</v>
      </c>
      <c r="M282" s="208">
        <f t="shared" ca="1" si="78"/>
        <v>2.4945378488590044E-2</v>
      </c>
      <c r="N282" s="211">
        <f t="shared" ca="1" si="79"/>
        <v>4.1591932648640008E-3</v>
      </c>
      <c r="O282" s="187">
        <f t="shared" ca="1" si="80"/>
        <v>0</v>
      </c>
      <c r="P282" s="187">
        <f t="shared" ca="1" si="81"/>
        <v>4.1591932648640008E-3</v>
      </c>
      <c r="Q282" s="173" t="s">
        <v>89</v>
      </c>
      <c r="R282" s="213" t="s">
        <v>114</v>
      </c>
      <c r="S282" s="144"/>
      <c r="T282" s="212"/>
    </row>
    <row r="283" spans="2:20" x14ac:dyDescent="0.25">
      <c r="B283" s="186"/>
      <c r="C283" s="375"/>
      <c r="D283" s="375"/>
      <c r="E283" s="75"/>
      <c r="F283" s="13"/>
      <c r="G283" s="148" t="str">
        <f ca="1"/>
        <v>LONG LATAM</v>
      </c>
      <c r="H283" s="210">
        <f t="shared" ca="1" si="76"/>
        <v>-1565854.8663955939</v>
      </c>
      <c r="I283" s="205">
        <f t="shared" ca="1" si="76"/>
        <v>0</v>
      </c>
      <c r="J283" s="205">
        <f t="shared" ca="1" si="76"/>
        <v>0</v>
      </c>
      <c r="K283" s="207">
        <f t="shared" ca="1" si="76"/>
        <v>0</v>
      </c>
      <c r="L283" s="155">
        <f t="shared" ca="1" si="77"/>
        <v>34382.140653557464</v>
      </c>
      <c r="M283" s="208">
        <f t="shared" ca="1" si="78"/>
        <v>1.1916830653156912E-4</v>
      </c>
      <c r="N283" s="211">
        <f t="shared" ca="1" si="79"/>
        <v>8.1450868103586705E-4</v>
      </c>
      <c r="O283" s="187">
        <f t="shared" ca="1" si="80"/>
        <v>0</v>
      </c>
      <c r="P283" s="187">
        <f t="shared" ca="1" si="81"/>
        <v>8.1450868103586705E-4</v>
      </c>
      <c r="Q283" s="186"/>
      <c r="R283" s="375" t="s">
        <v>33</v>
      </c>
      <c r="S283" s="144" t="s">
        <v>115</v>
      </c>
      <c r="T283" s="212"/>
    </row>
    <row r="284" spans="2:20" x14ac:dyDescent="0.25">
      <c r="B284" s="186"/>
      <c r="C284" s="375"/>
      <c r="D284" s="375"/>
      <c r="E284" s="75"/>
      <c r="F284" s="13"/>
      <c r="G284" s="148" t="str">
        <f ca="1"/>
        <v>LONG USDASIA</v>
      </c>
      <c r="H284" s="210">
        <f t="shared" ca="1" si="76"/>
        <v>31767244.945988875</v>
      </c>
      <c r="I284" s="205">
        <f t="shared" ca="1" si="76"/>
        <v>0</v>
      </c>
      <c r="J284" s="205">
        <f t="shared" ca="1" si="76"/>
        <v>0</v>
      </c>
      <c r="K284" s="207">
        <f t="shared" ca="1" si="76"/>
        <v>0</v>
      </c>
      <c r="L284" s="155">
        <f t="shared" ca="1" si="77"/>
        <v>1450134.8635773794</v>
      </c>
      <c r="M284" s="208">
        <f t="shared" ca="1" si="78"/>
        <v>5.4282016835136239E-3</v>
      </c>
      <c r="N284" s="211">
        <f t="shared" ca="1" si="79"/>
        <v>5.7582096789599259E-3</v>
      </c>
      <c r="O284" s="187">
        <f t="shared" ca="1" si="80"/>
        <v>7.8051590661511475E-8</v>
      </c>
      <c r="P284" s="187">
        <f t="shared" ca="1" si="81"/>
        <v>5.758287730550587E-3</v>
      </c>
      <c r="Q284" s="186"/>
      <c r="R284" s="375" t="s">
        <v>34</v>
      </c>
      <c r="S284" s="144" t="s">
        <v>116</v>
      </c>
      <c r="T284" s="212"/>
    </row>
    <row r="285" spans="2:20" x14ac:dyDescent="0.25">
      <c r="B285" s="186"/>
      <c r="C285" s="375"/>
      <c r="D285" s="375"/>
      <c r="E285" s="75"/>
      <c r="F285" s="13"/>
      <c r="G285" s="148" t="str">
        <f ca="1"/>
        <v>RUBLE STRENGTH</v>
      </c>
      <c r="H285" s="210">
        <f t="shared" ca="1" si="76"/>
        <v>-99648.285131452998</v>
      </c>
      <c r="I285" s="205">
        <f t="shared" ca="1" si="76"/>
        <v>0</v>
      </c>
      <c r="J285" s="205">
        <f t="shared" ca="1" si="76"/>
        <v>0</v>
      </c>
      <c r="K285" s="207">
        <f t="shared" ca="1" si="76"/>
        <v>0</v>
      </c>
      <c r="L285" s="155">
        <f t="shared" ca="1" si="77"/>
        <v>1992.8556736054138</v>
      </c>
      <c r="M285" s="208">
        <f t="shared" ca="1" si="78"/>
        <v>6.9072265795880404E-6</v>
      </c>
      <c r="N285" s="211">
        <f t="shared" ca="1" si="79"/>
        <v>7.6945075399984008E-4</v>
      </c>
      <c r="O285" s="187">
        <f t="shared" ca="1" si="80"/>
        <v>5.9337801377409155E-4</v>
      </c>
      <c r="P285" s="187">
        <f t="shared" ca="1" si="81"/>
        <v>1.3628287677739316E-3</v>
      </c>
      <c r="Q285" s="186"/>
      <c r="R285" s="375" t="s">
        <v>35</v>
      </c>
      <c r="S285" s="144" t="s">
        <v>117</v>
      </c>
      <c r="T285" s="212"/>
    </row>
    <row r="286" spans="2:20" x14ac:dyDescent="0.25">
      <c r="B286" s="186"/>
      <c r="C286" s="375"/>
      <c r="D286" s="375"/>
      <c r="E286" s="75"/>
      <c r="F286" s="13"/>
      <c r="G286" s="148" t="str">
        <f ca="1"/>
        <v>SWEDISH GROWTH</v>
      </c>
      <c r="H286" s="210">
        <f t="shared" ca="1" si="76"/>
        <v>-6764473.9026428042</v>
      </c>
      <c r="I286" s="205">
        <f t="shared" ca="1" si="76"/>
        <v>0</v>
      </c>
      <c r="J286" s="205">
        <f t="shared" ca="1" si="76"/>
        <v>0</v>
      </c>
      <c r="K286" s="207">
        <f t="shared" ca="1" si="76"/>
        <v>0</v>
      </c>
      <c r="L286" s="155">
        <f t="shared" ca="1" si="77"/>
        <v>169800.94898695519</v>
      </c>
      <c r="M286" s="208">
        <f t="shared" ca="1" si="78"/>
        <v>5.8852913616171652E-4</v>
      </c>
      <c r="N286" s="211">
        <f t="shared" ca="1" si="79"/>
        <v>1.8668765467722615E-3</v>
      </c>
      <c r="O286" s="187">
        <f t="shared" ca="1" si="80"/>
        <v>8.7422206773366391E-10</v>
      </c>
      <c r="P286" s="187">
        <f t="shared" ca="1" si="81"/>
        <v>1.8668774209943293E-3</v>
      </c>
      <c r="Q286" s="186"/>
      <c r="R286" s="375" t="s">
        <v>36</v>
      </c>
      <c r="S286" s="144" t="s">
        <v>115</v>
      </c>
      <c r="T286" s="212"/>
    </row>
    <row r="287" spans="2:20" x14ac:dyDescent="0.25">
      <c r="B287" s="186"/>
      <c r="C287" s="375"/>
      <c r="D287" s="375"/>
      <c r="E287" s="75"/>
      <c r="F287" s="13"/>
      <c r="G287" s="148" t="str">
        <f ca="1"/>
        <v>TBILL</v>
      </c>
      <c r="H287" s="210">
        <f t="shared" ca="1" si="76"/>
        <v>0</v>
      </c>
      <c r="I287" s="205">
        <f t="shared" ca="1" si="76"/>
        <v>0</v>
      </c>
      <c r="J287" s="205">
        <f t="shared" ca="1" si="76"/>
        <v>0</v>
      </c>
      <c r="K287" s="207">
        <f t="shared" ca="1" si="76"/>
        <v>0</v>
      </c>
      <c r="L287" s="155">
        <f t="shared" ca="1" si="77"/>
        <v>227799218.0730952</v>
      </c>
      <c r="M287" s="208">
        <f t="shared" ca="1" si="78"/>
        <v>0.78955081129241944</v>
      </c>
      <c r="N287" s="211">
        <f t="shared" ca="1" si="79"/>
        <v>0</v>
      </c>
      <c r="O287" s="187">
        <f t="shared" ca="1" si="80"/>
        <v>0</v>
      </c>
      <c r="P287" s="187">
        <f t="shared" ca="1" si="81"/>
        <v>0</v>
      </c>
      <c r="Q287" s="375"/>
      <c r="R287" s="375"/>
      <c r="S287" s="144"/>
      <c r="T287" s="212"/>
    </row>
    <row r="288" spans="2:20" x14ac:dyDescent="0.25">
      <c r="B288" s="186"/>
      <c r="C288" s="375"/>
      <c r="D288" s="375"/>
      <c r="E288" s="75"/>
      <c r="F288" s="13"/>
      <c r="G288" s="148" t="str">
        <f ca="1"/>
        <v>UK FRONT END RATES</v>
      </c>
      <c r="H288" s="210">
        <f t="shared" ca="1" si="76"/>
        <v>0</v>
      </c>
      <c r="I288" s="205">
        <f t="shared" ca="1" si="76"/>
        <v>3573.5426211951635</v>
      </c>
      <c r="J288" s="205">
        <f t="shared" ca="1" si="76"/>
        <v>0</v>
      </c>
      <c r="K288" s="207">
        <f t="shared" ca="1" si="76"/>
        <v>0</v>
      </c>
      <c r="L288" s="155">
        <f t="shared" ca="1" si="77"/>
        <v>136979.70130796541</v>
      </c>
      <c r="M288" s="208">
        <f t="shared" ca="1" si="78"/>
        <v>5.8643306623460236E-4</v>
      </c>
      <c r="N288" s="211">
        <f t="shared" ca="1" si="79"/>
        <v>4.7477087591931024E-4</v>
      </c>
      <c r="O288" s="187">
        <f t="shared" ca="1" si="80"/>
        <v>0</v>
      </c>
      <c r="P288" s="187">
        <f t="shared" ca="1" si="81"/>
        <v>4.7477087591931024E-4</v>
      </c>
      <c r="Q288" s="173" t="s">
        <v>118</v>
      </c>
      <c r="R288" s="71" t="s">
        <v>119</v>
      </c>
      <c r="S288" s="375"/>
      <c r="T288" s="212"/>
    </row>
    <row r="289" spans="2:20" s="411" customFormat="1" x14ac:dyDescent="0.25">
      <c r="B289" s="186"/>
      <c r="E289" s="75"/>
      <c r="F289" s="13"/>
      <c r="G289" s="148" t="str">
        <f ca="1"/>
        <v>US FED HIKE</v>
      </c>
      <c r="H289" s="210">
        <f t="shared" ca="1" si="76"/>
        <v>0</v>
      </c>
      <c r="I289" s="205">
        <f t="shared" ca="1" si="76"/>
        <v>6961.0074282972109</v>
      </c>
      <c r="J289" s="205">
        <f t="shared" ca="1" si="76"/>
        <v>0</v>
      </c>
      <c r="K289" s="207">
        <f t="shared" ca="1" si="76"/>
        <v>0</v>
      </c>
      <c r="L289" s="155">
        <f t="shared" ca="1" si="77"/>
        <v>2474348.8252890161</v>
      </c>
      <c r="M289" s="208">
        <f t="shared" ca="1" si="78"/>
        <v>2.5241533755189723E-2</v>
      </c>
      <c r="N289" s="211">
        <f t="shared" ca="1" si="79"/>
        <v>1.0382700467215794E-2</v>
      </c>
      <c r="O289" s="187">
        <f t="shared" ca="1" si="80"/>
        <v>1.1975253228028052E-3</v>
      </c>
      <c r="P289" s="187">
        <f t="shared" ref="P289:P345" ca="1" si="82">IF(NOT(ISTEXT($G289)),"",N289+O289)</f>
        <v>1.1580225790018599E-2</v>
      </c>
      <c r="Q289" s="173"/>
      <c r="R289" s="71"/>
      <c r="T289" s="212"/>
    </row>
    <row r="290" spans="2:20" s="411" customFormat="1" x14ac:dyDescent="0.25">
      <c r="B290" s="186"/>
      <c r="E290" s="75"/>
      <c r="F290" s="13"/>
      <c r="G290" s="148" t="str">
        <f ca="1"/>
        <v>US IG CREDIT</v>
      </c>
      <c r="H290" s="210">
        <f t="shared" ca="1" si="76"/>
        <v>0</v>
      </c>
      <c r="I290" s="205">
        <f t="shared" ca="1" si="76"/>
        <v>0</v>
      </c>
      <c r="J290" s="205">
        <f t="shared" ca="1" si="76"/>
        <v>273061.08933549467</v>
      </c>
      <c r="K290" s="207">
        <f t="shared" ca="1" si="76"/>
        <v>0</v>
      </c>
      <c r="L290" s="155">
        <f t="shared" ca="1" si="77"/>
        <v>-6001123.1037682462</v>
      </c>
      <c r="M290" s="208">
        <f t="shared" ca="1" si="78"/>
        <v>9.9564200378138526E-2</v>
      </c>
      <c r="N290" s="211">
        <f t="shared" ca="1" si="79"/>
        <v>1.8491878044766784E-2</v>
      </c>
      <c r="O290" s="187">
        <f t="shared" ca="1" si="80"/>
        <v>0</v>
      </c>
      <c r="P290" s="187">
        <f t="shared" ca="1" si="82"/>
        <v>1.8491878044766784E-2</v>
      </c>
      <c r="Q290" s="173"/>
      <c r="R290" s="71"/>
      <c r="T290" s="212"/>
    </row>
    <row r="291" spans="2:20" s="411" customFormat="1" x14ac:dyDescent="0.25">
      <c r="B291" s="186"/>
      <c r="E291" s="75"/>
      <c r="F291" s="13"/>
      <c r="G291" s="148" t="str">
        <f ca="1"/>
        <v>USD CURVE STEEPENER</v>
      </c>
      <c r="H291" s="210">
        <f t="shared" ca="1" si="76"/>
        <v>0</v>
      </c>
      <c r="I291" s="205">
        <f t="shared" ca="1" si="76"/>
        <v>-246470.15580504388</v>
      </c>
      <c r="J291" s="205">
        <f t="shared" ca="1" si="76"/>
        <v>0</v>
      </c>
      <c r="K291" s="207">
        <f t="shared" ca="1" si="76"/>
        <v>0</v>
      </c>
      <c r="L291" s="155">
        <f t="shared" ca="1" si="77"/>
        <v>10594172.56762787</v>
      </c>
      <c r="M291" s="208">
        <f t="shared" ca="1" si="78"/>
        <v>3.6719342658403993E-2</v>
      </c>
      <c r="N291" s="211">
        <f t="shared" ca="1" si="79"/>
        <v>3.6719342658403993E-2</v>
      </c>
      <c r="O291" s="187">
        <f t="shared" ca="1" si="80"/>
        <v>0</v>
      </c>
      <c r="P291" s="187">
        <f t="shared" ca="1" si="82"/>
        <v>3.6719342658403993E-2</v>
      </c>
      <c r="Q291" s="173"/>
      <c r="R291" s="71"/>
      <c r="T291" s="212"/>
    </row>
    <row r="292" spans="2:20" s="411" customFormat="1" x14ac:dyDescent="0.25">
      <c r="B292" s="186"/>
      <c r="E292" s="75"/>
      <c r="F292" s="13"/>
      <c r="G292" s="148" t="str">
        <f ca="1"/>
        <v>USD MICRO STEEPENER</v>
      </c>
      <c r="H292" s="210">
        <f t="shared" ca="1" si="76"/>
        <v>0</v>
      </c>
      <c r="I292" s="205">
        <f t="shared" ca="1" si="76"/>
        <v>6949.1697631949901</v>
      </c>
      <c r="J292" s="205">
        <f t="shared" ca="1" si="76"/>
        <v>0</v>
      </c>
      <c r="K292" s="207">
        <f t="shared" ca="1" si="76"/>
        <v>0</v>
      </c>
      <c r="L292" s="155">
        <f t="shared" ca="1" si="77"/>
        <v>-24776.837570759701</v>
      </c>
      <c r="M292" s="208">
        <f t="shared" ca="1" si="78"/>
        <v>4.5656703884636933E-2</v>
      </c>
      <c r="N292" s="211">
        <f t="shared" ca="1" si="79"/>
        <v>5.5628681719982901E-3</v>
      </c>
      <c r="O292" s="187">
        <f t="shared" ca="1" si="80"/>
        <v>0</v>
      </c>
      <c r="P292" s="187">
        <f t="shared" ca="1" si="82"/>
        <v>5.5628681719982901E-3</v>
      </c>
      <c r="Q292" s="173"/>
      <c r="R292" s="71"/>
      <c r="T292" s="212"/>
    </row>
    <row r="293" spans="2:20" s="411" customFormat="1" x14ac:dyDescent="0.25">
      <c r="B293" s="186"/>
      <c r="E293" s="75"/>
      <c r="F293" s="13"/>
      <c r="G293" s="148" t="str">
        <f ca="1"/>
        <v>USD MIDCURVE WEDGE</v>
      </c>
      <c r="H293" s="210">
        <f t="shared" ca="1" si="76"/>
        <v>0</v>
      </c>
      <c r="I293" s="205">
        <f t="shared" ca="1" si="76"/>
        <v>0</v>
      </c>
      <c r="J293" s="205">
        <f t="shared" ca="1" si="76"/>
        <v>0</v>
      </c>
      <c r="K293" s="207">
        <f t="shared" ca="1" si="76"/>
        <v>0</v>
      </c>
      <c r="L293" s="155">
        <f t="shared" ca="1" si="77"/>
        <v>4619120</v>
      </c>
      <c r="M293" s="208">
        <f t="shared" ca="1" si="78"/>
        <v>1.6009843994665502E-2</v>
      </c>
      <c r="N293" s="211">
        <f t="shared" ca="1" si="79"/>
        <v>1.6009843994665502E-2</v>
      </c>
      <c r="O293" s="187">
        <f t="shared" ca="1" si="80"/>
        <v>0</v>
      </c>
      <c r="P293" s="187">
        <f t="shared" ca="1" si="82"/>
        <v>1.6009843994665502E-2</v>
      </c>
      <c r="Q293" s="173"/>
      <c r="R293" s="71"/>
      <c r="T293" s="212"/>
    </row>
    <row r="294" spans="2:20" s="411" customFormat="1" x14ac:dyDescent="0.25">
      <c r="B294" s="186"/>
      <c r="E294" s="75"/>
      <c r="F294" s="13"/>
      <c r="G294" s="148" t="str">
        <f ca="1"/>
        <v>USD VEGA</v>
      </c>
      <c r="H294" s="210">
        <f t="shared" ca="1" si="76"/>
        <v>36394950.885479078</v>
      </c>
      <c r="I294" s="205">
        <f t="shared" ca="1" si="76"/>
        <v>6509.9248643570172</v>
      </c>
      <c r="J294" s="205">
        <f t="shared" ca="1" si="76"/>
        <v>0</v>
      </c>
      <c r="K294" s="207">
        <f t="shared" ca="1" si="76"/>
        <v>0</v>
      </c>
      <c r="L294" s="155">
        <f t="shared" ca="1" si="77"/>
        <v>20728482.972762365</v>
      </c>
      <c r="M294" s="208">
        <f t="shared" ca="1" si="78"/>
        <v>7.9493793054448286E-2</v>
      </c>
      <c r="N294" s="211">
        <f t="shared" ca="1" si="79"/>
        <v>7.0038554199311764E-2</v>
      </c>
      <c r="O294" s="187">
        <f t="shared" ca="1" si="80"/>
        <v>0</v>
      </c>
      <c r="P294" s="187">
        <f t="shared" ca="1" si="82"/>
        <v>7.0038554199311764E-2</v>
      </c>
      <c r="Q294" s="173"/>
      <c r="R294" s="71"/>
      <c r="T294" s="212"/>
    </row>
    <row r="295" spans="2:20" s="411" customFormat="1" x14ac:dyDescent="0.25">
      <c r="B295" s="186"/>
      <c r="E295" s="75"/>
      <c r="F295" s="13"/>
      <c r="G295" s="148">
        <f ca="1"/>
        <v>0</v>
      </c>
      <c r="H295" s="210" t="str">
        <f t="shared" ca="1" si="76"/>
        <v/>
      </c>
      <c r="I295" s="205" t="str">
        <f t="shared" ca="1" si="76"/>
        <v/>
      </c>
      <c r="J295" s="205" t="str">
        <f t="shared" ca="1" si="76"/>
        <v/>
      </c>
      <c r="K295" s="207" t="str">
        <f t="shared" ca="1" si="76"/>
        <v/>
      </c>
      <c r="L295" s="155" t="str">
        <f t="shared" ca="1" si="77"/>
        <v/>
      </c>
      <c r="M295" s="208" t="str">
        <f t="shared" ca="1" si="78"/>
        <v/>
      </c>
      <c r="N295" s="211" t="str">
        <f t="shared" ca="1" si="79"/>
        <v/>
      </c>
      <c r="O295" s="187" t="str">
        <f t="shared" ca="1" si="80"/>
        <v/>
      </c>
      <c r="P295" s="187" t="str">
        <f t="shared" ca="1" si="82"/>
        <v/>
      </c>
      <c r="Q295" s="173"/>
      <c r="R295" s="71"/>
      <c r="T295" s="212"/>
    </row>
    <row r="296" spans="2:20" s="411" customFormat="1" x14ac:dyDescent="0.25">
      <c r="B296" s="186"/>
      <c r="E296" s="75"/>
      <c r="F296" s="13"/>
      <c r="G296" s="148">
        <f ca="1"/>
        <v>0</v>
      </c>
      <c r="H296" s="210" t="str">
        <f t="shared" ca="1" si="76"/>
        <v/>
      </c>
      <c r="I296" s="205" t="str">
        <f t="shared" ca="1" si="76"/>
        <v/>
      </c>
      <c r="J296" s="205" t="str">
        <f t="shared" ca="1" si="76"/>
        <v/>
      </c>
      <c r="K296" s="207" t="str">
        <f t="shared" ca="1" si="76"/>
        <v/>
      </c>
      <c r="L296" s="155" t="str">
        <f t="shared" ca="1" si="77"/>
        <v/>
      </c>
      <c r="M296" s="208" t="str">
        <f t="shared" ca="1" si="78"/>
        <v/>
      </c>
      <c r="N296" s="211" t="str">
        <f t="shared" ca="1" si="79"/>
        <v/>
      </c>
      <c r="O296" s="187" t="str">
        <f t="shared" ca="1" si="80"/>
        <v/>
      </c>
      <c r="P296" s="187" t="str">
        <f t="shared" ca="1" si="82"/>
        <v/>
      </c>
      <c r="Q296" s="173"/>
      <c r="R296" s="71"/>
      <c r="T296" s="212"/>
    </row>
    <row r="297" spans="2:20" s="411" customFormat="1" x14ac:dyDescent="0.25">
      <c r="B297" s="186"/>
      <c r="E297" s="75"/>
      <c r="F297" s="13"/>
      <c r="G297" s="148">
        <f ca="1"/>
        <v>0</v>
      </c>
      <c r="H297" s="210" t="str">
        <f t="shared" ca="1" si="76"/>
        <v/>
      </c>
      <c r="I297" s="205" t="str">
        <f t="shared" ca="1" si="76"/>
        <v/>
      </c>
      <c r="J297" s="205" t="str">
        <f t="shared" ca="1" si="76"/>
        <v/>
      </c>
      <c r="K297" s="207" t="str">
        <f t="shared" ca="1" si="76"/>
        <v/>
      </c>
      <c r="L297" s="155" t="str">
        <f t="shared" ca="1" si="77"/>
        <v/>
      </c>
      <c r="M297" s="208" t="str">
        <f t="shared" ca="1" si="78"/>
        <v/>
      </c>
      <c r="N297" s="211" t="str">
        <f t="shared" ca="1" si="79"/>
        <v/>
      </c>
      <c r="O297" s="187" t="str">
        <f t="shared" ca="1" si="80"/>
        <v/>
      </c>
      <c r="P297" s="187" t="str">
        <f t="shared" ca="1" si="82"/>
        <v/>
      </c>
      <c r="Q297" s="173"/>
      <c r="R297" s="71"/>
      <c r="T297" s="212"/>
    </row>
    <row r="298" spans="2:20" s="411" customFormat="1" x14ac:dyDescent="0.25">
      <c r="B298" s="186"/>
      <c r="E298" s="75"/>
      <c r="F298" s="13"/>
      <c r="G298" s="148">
        <f ca="1"/>
        <v>0</v>
      </c>
      <c r="H298" s="210" t="str">
        <f t="shared" ca="1" si="76"/>
        <v/>
      </c>
      <c r="I298" s="205" t="str">
        <f t="shared" ca="1" si="76"/>
        <v/>
      </c>
      <c r="J298" s="205" t="str">
        <f t="shared" ca="1" si="76"/>
        <v/>
      </c>
      <c r="K298" s="207" t="str">
        <f t="shared" ca="1" si="76"/>
        <v/>
      </c>
      <c r="L298" s="155" t="str">
        <f t="shared" ca="1" si="77"/>
        <v/>
      </c>
      <c r="M298" s="208" t="str">
        <f t="shared" ca="1" si="78"/>
        <v/>
      </c>
      <c r="N298" s="211" t="str">
        <f t="shared" ca="1" si="79"/>
        <v/>
      </c>
      <c r="O298" s="187" t="str">
        <f t="shared" ca="1" si="80"/>
        <v/>
      </c>
      <c r="P298" s="187" t="str">
        <f t="shared" ca="1" si="82"/>
        <v/>
      </c>
      <c r="Q298" s="173"/>
      <c r="R298" s="71"/>
      <c r="T298" s="212"/>
    </row>
    <row r="299" spans="2:20" s="411" customFormat="1" x14ac:dyDescent="0.25">
      <c r="B299" s="186"/>
      <c r="E299" s="75"/>
      <c r="F299" s="13"/>
      <c r="G299" s="148">
        <f ca="1"/>
        <v>0</v>
      </c>
      <c r="H299" s="210" t="str">
        <f t="shared" ca="1" si="76"/>
        <v/>
      </c>
      <c r="I299" s="205" t="str">
        <f t="shared" ca="1" si="76"/>
        <v/>
      </c>
      <c r="J299" s="205" t="str">
        <f t="shared" ca="1" si="76"/>
        <v/>
      </c>
      <c r="K299" s="207" t="str">
        <f t="shared" ca="1" si="76"/>
        <v/>
      </c>
      <c r="L299" s="155" t="str">
        <f t="shared" ca="1" si="77"/>
        <v/>
      </c>
      <c r="M299" s="208" t="str">
        <f t="shared" ca="1" si="78"/>
        <v/>
      </c>
      <c r="N299" s="211" t="str">
        <f t="shared" ca="1" si="79"/>
        <v/>
      </c>
      <c r="O299" s="187" t="str">
        <f t="shared" ca="1" si="80"/>
        <v/>
      </c>
      <c r="P299" s="187" t="str">
        <f t="shared" ca="1" si="82"/>
        <v/>
      </c>
      <c r="Q299" s="173"/>
      <c r="R299" s="71"/>
      <c r="T299" s="212"/>
    </row>
    <row r="300" spans="2:20" s="411" customFormat="1" x14ac:dyDescent="0.25">
      <c r="B300" s="186"/>
      <c r="E300" s="75"/>
      <c r="F300" s="13"/>
      <c r="G300" s="148">
        <f ca="1"/>
        <v>0</v>
      </c>
      <c r="H300" s="210" t="str">
        <f t="shared" ca="1" si="76"/>
        <v/>
      </c>
      <c r="I300" s="205" t="str">
        <f t="shared" ca="1" si="76"/>
        <v/>
      </c>
      <c r="J300" s="205" t="str">
        <f t="shared" ca="1" si="76"/>
        <v/>
      </c>
      <c r="K300" s="207" t="str">
        <f t="shared" ca="1" si="76"/>
        <v/>
      </c>
      <c r="L300" s="155" t="str">
        <f t="shared" ca="1" si="77"/>
        <v/>
      </c>
      <c r="M300" s="208" t="str">
        <f t="shared" ca="1" si="78"/>
        <v/>
      </c>
      <c r="N300" s="211" t="str">
        <f t="shared" ca="1" si="79"/>
        <v/>
      </c>
      <c r="O300" s="187" t="str">
        <f t="shared" ca="1" si="80"/>
        <v/>
      </c>
      <c r="P300" s="187" t="str">
        <f t="shared" ca="1" si="82"/>
        <v/>
      </c>
      <c r="Q300" s="173"/>
      <c r="R300" s="71"/>
      <c r="T300" s="212"/>
    </row>
    <row r="301" spans="2:20" s="411" customFormat="1" x14ac:dyDescent="0.25">
      <c r="B301" s="186"/>
      <c r="E301" s="75"/>
      <c r="F301" s="13"/>
      <c r="G301" s="148">
        <f ca="1"/>
        <v>0</v>
      </c>
      <c r="H301" s="210" t="str">
        <f t="shared" ca="1" si="76"/>
        <v/>
      </c>
      <c r="I301" s="205" t="str">
        <f t="shared" ca="1" si="76"/>
        <v/>
      </c>
      <c r="J301" s="205" t="str">
        <f t="shared" ca="1" si="76"/>
        <v/>
      </c>
      <c r="K301" s="207" t="str">
        <f t="shared" ca="1" si="76"/>
        <v/>
      </c>
      <c r="L301" s="155" t="str">
        <f t="shared" ca="1" si="77"/>
        <v/>
      </c>
      <c r="M301" s="208" t="str">
        <f t="shared" ca="1" si="78"/>
        <v/>
      </c>
      <c r="N301" s="211" t="str">
        <f t="shared" ca="1" si="79"/>
        <v/>
      </c>
      <c r="O301" s="187" t="str">
        <f t="shared" ca="1" si="80"/>
        <v/>
      </c>
      <c r="P301" s="187" t="str">
        <f t="shared" ca="1" si="82"/>
        <v/>
      </c>
      <c r="Q301" s="173"/>
      <c r="R301" s="71"/>
      <c r="T301" s="212"/>
    </row>
    <row r="302" spans="2:20" s="411" customFormat="1" x14ac:dyDescent="0.25">
      <c r="B302" s="186"/>
      <c r="E302" s="75"/>
      <c r="F302" s="13"/>
      <c r="G302" s="148">
        <f ca="1"/>
        <v>0</v>
      </c>
      <c r="H302" s="210" t="str">
        <f t="shared" ca="1" si="76"/>
        <v/>
      </c>
      <c r="I302" s="205" t="str">
        <f t="shared" ca="1" si="76"/>
        <v/>
      </c>
      <c r="J302" s="205" t="str">
        <f t="shared" ca="1" si="76"/>
        <v/>
      </c>
      <c r="K302" s="207" t="str">
        <f t="shared" ca="1" si="76"/>
        <v/>
      </c>
      <c r="L302" s="155" t="str">
        <f t="shared" ca="1" si="77"/>
        <v/>
      </c>
      <c r="M302" s="208" t="str">
        <f t="shared" ca="1" si="78"/>
        <v/>
      </c>
      <c r="N302" s="211" t="str">
        <f t="shared" ca="1" si="79"/>
        <v/>
      </c>
      <c r="O302" s="187" t="str">
        <f t="shared" ca="1" si="80"/>
        <v/>
      </c>
      <c r="P302" s="187" t="str">
        <f t="shared" ca="1" si="82"/>
        <v/>
      </c>
      <c r="Q302" s="173"/>
      <c r="R302" s="71"/>
      <c r="T302" s="212"/>
    </row>
    <row r="303" spans="2:20" s="411" customFormat="1" x14ac:dyDescent="0.25">
      <c r="B303" s="186"/>
      <c r="E303" s="75"/>
      <c r="F303" s="13"/>
      <c r="G303" s="148">
        <f ca="1"/>
        <v>0</v>
      </c>
      <c r="H303" s="210" t="str">
        <f t="shared" ca="1" si="76"/>
        <v/>
      </c>
      <c r="I303" s="205" t="str">
        <f t="shared" ca="1" si="76"/>
        <v/>
      </c>
      <c r="J303" s="205" t="str">
        <f t="shared" ca="1" si="76"/>
        <v/>
      </c>
      <c r="K303" s="207" t="str">
        <f t="shared" ca="1" si="76"/>
        <v/>
      </c>
      <c r="L303" s="155" t="str">
        <f t="shared" ca="1" si="77"/>
        <v/>
      </c>
      <c r="M303" s="208" t="str">
        <f t="shared" ca="1" si="78"/>
        <v/>
      </c>
      <c r="N303" s="211" t="str">
        <f t="shared" ca="1" si="79"/>
        <v/>
      </c>
      <c r="O303" s="187" t="str">
        <f t="shared" ca="1" si="80"/>
        <v/>
      </c>
      <c r="P303" s="187" t="str">
        <f t="shared" ca="1" si="82"/>
        <v/>
      </c>
      <c r="Q303" s="173"/>
      <c r="R303" s="71"/>
      <c r="T303" s="212"/>
    </row>
    <row r="304" spans="2:20" s="411" customFormat="1" x14ac:dyDescent="0.25">
      <c r="B304" s="186"/>
      <c r="E304" s="75"/>
      <c r="F304" s="13"/>
      <c r="G304" s="148">
        <f ca="1"/>
        <v>0</v>
      </c>
      <c r="H304" s="210" t="str">
        <f t="shared" ca="1" si="76"/>
        <v/>
      </c>
      <c r="I304" s="205" t="str">
        <f t="shared" ca="1" si="76"/>
        <v/>
      </c>
      <c r="J304" s="205" t="str">
        <f t="shared" ca="1" si="76"/>
        <v/>
      </c>
      <c r="K304" s="207" t="str">
        <f t="shared" ca="1" si="76"/>
        <v/>
      </c>
      <c r="L304" s="155" t="str">
        <f t="shared" ca="1" si="77"/>
        <v/>
      </c>
      <c r="M304" s="208" t="str">
        <f t="shared" ca="1" si="78"/>
        <v/>
      </c>
      <c r="N304" s="211" t="str">
        <f t="shared" ca="1" si="79"/>
        <v/>
      </c>
      <c r="O304" s="187" t="str">
        <f t="shared" ca="1" si="80"/>
        <v/>
      </c>
      <c r="P304" s="187" t="str">
        <f t="shared" ca="1" si="82"/>
        <v/>
      </c>
      <c r="Q304" s="173"/>
      <c r="R304" s="71"/>
      <c r="T304" s="212"/>
    </row>
    <row r="305" spans="2:20" s="411" customFormat="1" x14ac:dyDescent="0.25">
      <c r="B305" s="186"/>
      <c r="E305" s="75"/>
      <c r="F305" s="13"/>
      <c r="G305" s="148">
        <f ca="1"/>
        <v>0</v>
      </c>
      <c r="H305" s="210" t="str">
        <f t="shared" ca="1" si="76"/>
        <v/>
      </c>
      <c r="I305" s="205" t="str">
        <f t="shared" ca="1" si="76"/>
        <v/>
      </c>
      <c r="J305" s="205" t="str">
        <f t="shared" ca="1" si="76"/>
        <v/>
      </c>
      <c r="K305" s="207" t="str">
        <f t="shared" ca="1" si="76"/>
        <v/>
      </c>
      <c r="L305" s="155" t="str">
        <f t="shared" ca="1" si="77"/>
        <v/>
      </c>
      <c r="M305" s="208" t="str">
        <f t="shared" ca="1" si="78"/>
        <v/>
      </c>
      <c r="N305" s="211" t="str">
        <f t="shared" ca="1" si="79"/>
        <v/>
      </c>
      <c r="O305" s="187" t="str">
        <f t="shared" ca="1" si="80"/>
        <v/>
      </c>
      <c r="P305" s="187" t="str">
        <f t="shared" ca="1" si="82"/>
        <v/>
      </c>
      <c r="Q305" s="173"/>
      <c r="R305" s="71"/>
      <c r="T305" s="212"/>
    </row>
    <row r="306" spans="2:20" s="411" customFormat="1" x14ac:dyDescent="0.25">
      <c r="B306" s="186"/>
      <c r="E306" s="75"/>
      <c r="F306" s="13"/>
      <c r="G306" s="148">
        <f ca="1"/>
        <v>0</v>
      </c>
      <c r="H306" s="210" t="str">
        <f t="shared" ca="1" si="76"/>
        <v/>
      </c>
      <c r="I306" s="205" t="str">
        <f t="shared" ca="1" si="76"/>
        <v/>
      </c>
      <c r="J306" s="205" t="str">
        <f t="shared" ca="1" si="76"/>
        <v/>
      </c>
      <c r="K306" s="207" t="str">
        <f t="shared" ca="1" si="76"/>
        <v/>
      </c>
      <c r="L306" s="155" t="str">
        <f t="shared" ca="1" si="77"/>
        <v/>
      </c>
      <c r="M306" s="208" t="str">
        <f t="shared" ca="1" si="78"/>
        <v/>
      </c>
      <c r="N306" s="211" t="str">
        <f t="shared" ca="1" si="79"/>
        <v/>
      </c>
      <c r="O306" s="187" t="str">
        <f t="shared" ca="1" si="80"/>
        <v/>
      </c>
      <c r="P306" s="187" t="str">
        <f t="shared" ca="1" si="82"/>
        <v/>
      </c>
      <c r="Q306" s="173"/>
      <c r="R306" s="71"/>
      <c r="T306" s="212"/>
    </row>
    <row r="307" spans="2:20" s="411" customFormat="1" x14ac:dyDescent="0.25">
      <c r="B307" s="186"/>
      <c r="E307" s="75"/>
      <c r="F307" s="13"/>
      <c r="G307" s="148">
        <f ca="1"/>
        <v>0</v>
      </c>
      <c r="H307" s="210" t="str">
        <f t="shared" ca="1" si="76"/>
        <v/>
      </c>
      <c r="I307" s="205" t="str">
        <f t="shared" ca="1" si="76"/>
        <v/>
      </c>
      <c r="J307" s="205" t="str">
        <f t="shared" ca="1" si="76"/>
        <v/>
      </c>
      <c r="K307" s="207" t="str">
        <f t="shared" ca="1" si="76"/>
        <v/>
      </c>
      <c r="L307" s="155" t="str">
        <f t="shared" ca="1" si="77"/>
        <v/>
      </c>
      <c r="M307" s="208" t="str">
        <f t="shared" ca="1" si="78"/>
        <v/>
      </c>
      <c r="N307" s="211" t="str">
        <f t="shared" ca="1" si="79"/>
        <v/>
      </c>
      <c r="O307" s="187" t="str">
        <f t="shared" ca="1" si="80"/>
        <v/>
      </c>
      <c r="P307" s="187" t="str">
        <f t="shared" ca="1" si="82"/>
        <v/>
      </c>
      <c r="Q307" s="173"/>
      <c r="R307" s="71"/>
      <c r="T307" s="212"/>
    </row>
    <row r="308" spans="2:20" s="411" customFormat="1" x14ac:dyDescent="0.25">
      <c r="B308" s="186"/>
      <c r="E308" s="75"/>
      <c r="F308" s="13"/>
      <c r="G308" s="148"/>
      <c r="H308" s="210" t="str">
        <f t="shared" ca="1" si="76"/>
        <v/>
      </c>
      <c r="I308" s="205" t="str">
        <f t="shared" ca="1" si="76"/>
        <v/>
      </c>
      <c r="J308" s="205" t="str">
        <f t="shared" ca="1" si="76"/>
        <v/>
      </c>
      <c r="K308" s="207" t="str">
        <f t="shared" ca="1" si="76"/>
        <v/>
      </c>
      <c r="L308" s="155" t="str">
        <f t="shared" ca="1" si="77"/>
        <v/>
      </c>
      <c r="M308" s="208" t="str">
        <f t="shared" ca="1" si="78"/>
        <v/>
      </c>
      <c r="N308" s="211" t="str">
        <f t="shared" ca="1" si="79"/>
        <v/>
      </c>
      <c r="O308" s="187" t="str">
        <f t="shared" ca="1" si="80"/>
        <v/>
      </c>
      <c r="P308" s="187" t="str">
        <f t="shared" si="82"/>
        <v/>
      </c>
      <c r="Q308" s="173"/>
      <c r="R308" s="71"/>
      <c r="T308" s="212"/>
    </row>
    <row r="309" spans="2:20" s="411" customFormat="1" x14ac:dyDescent="0.25">
      <c r="B309" s="186"/>
      <c r="E309" s="75"/>
      <c r="F309" s="13"/>
      <c r="G309" s="148"/>
      <c r="H309" s="210" t="str">
        <f t="shared" ca="1" si="76"/>
        <v/>
      </c>
      <c r="I309" s="205" t="str">
        <f t="shared" ca="1" si="76"/>
        <v/>
      </c>
      <c r="J309" s="205" t="str">
        <f t="shared" ca="1" si="76"/>
        <v/>
      </c>
      <c r="K309" s="207" t="str">
        <f t="shared" ca="1" si="76"/>
        <v/>
      </c>
      <c r="L309" s="155" t="str">
        <f t="shared" ca="1" si="77"/>
        <v/>
      </c>
      <c r="M309" s="208" t="str">
        <f t="shared" ca="1" si="78"/>
        <v/>
      </c>
      <c r="N309" s="211" t="str">
        <f t="shared" ca="1" si="79"/>
        <v/>
      </c>
      <c r="O309" s="187" t="str">
        <f t="shared" ca="1" si="80"/>
        <v/>
      </c>
      <c r="P309" s="187" t="str">
        <f t="shared" si="82"/>
        <v/>
      </c>
      <c r="Q309" s="173"/>
      <c r="R309" s="71"/>
      <c r="T309" s="212"/>
    </row>
    <row r="310" spans="2:20" s="411" customFormat="1" x14ac:dyDescent="0.25">
      <c r="B310" s="186"/>
      <c r="E310" s="75"/>
      <c r="F310" s="13"/>
      <c r="G310" s="148"/>
      <c r="H310" s="210" t="str">
        <f t="shared" ca="1" si="76"/>
        <v/>
      </c>
      <c r="I310" s="205" t="str">
        <f t="shared" ca="1" si="76"/>
        <v/>
      </c>
      <c r="J310" s="205" t="str">
        <f t="shared" ca="1" si="76"/>
        <v/>
      </c>
      <c r="K310" s="207" t="str">
        <f t="shared" ca="1" si="76"/>
        <v/>
      </c>
      <c r="L310" s="155" t="str">
        <f t="shared" ca="1" si="77"/>
        <v/>
      </c>
      <c r="M310" s="208" t="str">
        <f t="shared" ca="1" si="78"/>
        <v/>
      </c>
      <c r="N310" s="211" t="str">
        <f t="shared" ca="1" si="79"/>
        <v/>
      </c>
      <c r="O310" s="187" t="str">
        <f t="shared" ca="1" si="80"/>
        <v/>
      </c>
      <c r="P310" s="187" t="str">
        <f t="shared" si="82"/>
        <v/>
      </c>
      <c r="Q310" s="173"/>
      <c r="R310" s="71"/>
      <c r="T310" s="212"/>
    </row>
    <row r="311" spans="2:20" s="411" customFormat="1" x14ac:dyDescent="0.25">
      <c r="B311" s="186"/>
      <c r="E311" s="75"/>
      <c r="F311" s="13"/>
      <c r="G311" s="148"/>
      <c r="H311" s="210" t="str">
        <f t="shared" ca="1" si="76"/>
        <v/>
      </c>
      <c r="I311" s="205" t="str">
        <f t="shared" ca="1" si="76"/>
        <v/>
      </c>
      <c r="J311" s="205" t="str">
        <f t="shared" ca="1" si="76"/>
        <v/>
      </c>
      <c r="K311" s="207" t="str">
        <f t="shared" ca="1" si="76"/>
        <v/>
      </c>
      <c r="L311" s="155" t="str">
        <f t="shared" ca="1" si="77"/>
        <v/>
      </c>
      <c r="M311" s="208" t="str">
        <f t="shared" ca="1" si="78"/>
        <v/>
      </c>
      <c r="N311" s="211" t="str">
        <f t="shared" ca="1" si="79"/>
        <v/>
      </c>
      <c r="O311" s="187" t="str">
        <f t="shared" ca="1" si="80"/>
        <v/>
      </c>
      <c r="P311" s="187" t="str">
        <f t="shared" si="82"/>
        <v/>
      </c>
      <c r="Q311" s="173"/>
      <c r="R311" s="71"/>
      <c r="T311" s="212"/>
    </row>
    <row r="312" spans="2:20" s="411" customFormat="1" x14ac:dyDescent="0.25">
      <c r="B312" s="186"/>
      <c r="E312" s="75"/>
      <c r="F312" s="13"/>
      <c r="G312" s="148"/>
      <c r="H312" s="210" t="str">
        <f t="shared" ca="1" si="76"/>
        <v/>
      </c>
      <c r="I312" s="205" t="str">
        <f t="shared" ca="1" si="76"/>
        <v/>
      </c>
      <c r="J312" s="205" t="str">
        <f t="shared" ca="1" si="76"/>
        <v/>
      </c>
      <c r="K312" s="207" t="str">
        <f t="shared" ca="1" si="76"/>
        <v/>
      </c>
      <c r="L312" s="155" t="str">
        <f t="shared" ca="1" si="77"/>
        <v/>
      </c>
      <c r="M312" s="208" t="str">
        <f t="shared" ca="1" si="78"/>
        <v/>
      </c>
      <c r="N312" s="211" t="str">
        <f t="shared" ca="1" si="79"/>
        <v/>
      </c>
      <c r="O312" s="187" t="str">
        <f t="shared" ca="1" si="80"/>
        <v/>
      </c>
      <c r="P312" s="187" t="str">
        <f t="shared" si="82"/>
        <v/>
      </c>
      <c r="Q312" s="173"/>
      <c r="R312" s="71"/>
      <c r="T312" s="212"/>
    </row>
    <row r="313" spans="2:20" s="411" customFormat="1" x14ac:dyDescent="0.25">
      <c r="B313" s="186"/>
      <c r="E313" s="75"/>
      <c r="F313" s="13"/>
      <c r="G313" s="148"/>
      <c r="H313" s="210" t="str">
        <f t="shared" ca="1" si="76"/>
        <v/>
      </c>
      <c r="I313" s="205" t="str">
        <f t="shared" ca="1" si="76"/>
        <v/>
      </c>
      <c r="J313" s="205" t="str">
        <f t="shared" ca="1" si="76"/>
        <v/>
      </c>
      <c r="K313" s="207" t="str">
        <f t="shared" ca="1" si="76"/>
        <v/>
      </c>
      <c r="L313" s="155" t="str">
        <f t="shared" ca="1" si="77"/>
        <v/>
      </c>
      <c r="M313" s="208" t="str">
        <f t="shared" ca="1" si="78"/>
        <v/>
      </c>
      <c r="N313" s="211" t="str">
        <f t="shared" ca="1" si="79"/>
        <v/>
      </c>
      <c r="O313" s="187" t="str">
        <f t="shared" ca="1" si="80"/>
        <v/>
      </c>
      <c r="P313" s="187" t="str">
        <f t="shared" si="82"/>
        <v/>
      </c>
      <c r="Q313" s="173"/>
      <c r="R313" s="71"/>
      <c r="T313" s="212"/>
    </row>
    <row r="314" spans="2:20" s="411" customFormat="1" x14ac:dyDescent="0.25">
      <c r="B314" s="186"/>
      <c r="E314" s="75"/>
      <c r="F314" s="13"/>
      <c r="G314" s="148"/>
      <c r="H314" s="210" t="str">
        <f t="shared" ca="1" si="76"/>
        <v/>
      </c>
      <c r="I314" s="205" t="str">
        <f t="shared" ca="1" si="76"/>
        <v/>
      </c>
      <c r="J314" s="205" t="str">
        <f t="shared" ca="1" si="76"/>
        <v/>
      </c>
      <c r="K314" s="207" t="str">
        <f t="shared" ca="1" si="76"/>
        <v/>
      </c>
      <c r="L314" s="155" t="str">
        <f t="shared" ca="1" si="77"/>
        <v/>
      </c>
      <c r="M314" s="208" t="str">
        <f t="shared" ca="1" si="78"/>
        <v/>
      </c>
      <c r="N314" s="211" t="str">
        <f t="shared" ca="1" si="79"/>
        <v/>
      </c>
      <c r="O314" s="187" t="str">
        <f t="shared" ca="1" si="80"/>
        <v/>
      </c>
      <c r="P314" s="187" t="str">
        <f t="shared" si="82"/>
        <v/>
      </c>
      <c r="Q314" s="173"/>
      <c r="R314" s="71"/>
      <c r="T314" s="212"/>
    </row>
    <row r="315" spans="2:20" s="411" customFormat="1" x14ac:dyDescent="0.25">
      <c r="B315" s="186"/>
      <c r="E315" s="75"/>
      <c r="F315" s="13"/>
      <c r="G315" s="148"/>
      <c r="H315" s="210" t="str">
        <f t="shared" ca="1" si="76"/>
        <v/>
      </c>
      <c r="I315" s="205" t="str">
        <f t="shared" ca="1" si="76"/>
        <v/>
      </c>
      <c r="J315" s="205" t="str">
        <f t="shared" ca="1" si="76"/>
        <v/>
      </c>
      <c r="K315" s="207" t="str">
        <f t="shared" ca="1" si="76"/>
        <v/>
      </c>
      <c r="L315" s="155" t="str">
        <f t="shared" ca="1" si="77"/>
        <v/>
      </c>
      <c r="M315" s="208" t="str">
        <f t="shared" ca="1" si="78"/>
        <v/>
      </c>
      <c r="N315" s="211" t="str">
        <f t="shared" ca="1" si="79"/>
        <v/>
      </c>
      <c r="O315" s="187" t="str">
        <f t="shared" ca="1" si="80"/>
        <v/>
      </c>
      <c r="P315" s="187" t="str">
        <f t="shared" si="82"/>
        <v/>
      </c>
      <c r="Q315" s="173"/>
      <c r="R315" s="71"/>
      <c r="T315" s="212"/>
    </row>
    <row r="316" spans="2:20" s="411" customFormat="1" x14ac:dyDescent="0.25">
      <c r="B316" s="186"/>
      <c r="E316" s="75"/>
      <c r="F316" s="13"/>
      <c r="G316" s="148"/>
      <c r="H316" s="210" t="str">
        <f t="shared" ca="1" si="76"/>
        <v/>
      </c>
      <c r="I316" s="205" t="str">
        <f t="shared" ca="1" si="76"/>
        <v/>
      </c>
      <c r="J316" s="205" t="str">
        <f t="shared" ca="1" si="76"/>
        <v/>
      </c>
      <c r="K316" s="207" t="str">
        <f t="shared" ca="1" si="76"/>
        <v/>
      </c>
      <c r="L316" s="155" t="str">
        <f t="shared" ca="1" si="77"/>
        <v/>
      </c>
      <c r="M316" s="208" t="str">
        <f t="shared" ca="1" si="78"/>
        <v/>
      </c>
      <c r="N316" s="211" t="str">
        <f t="shared" ca="1" si="79"/>
        <v/>
      </c>
      <c r="O316" s="187" t="str">
        <f t="shared" ca="1" si="80"/>
        <v/>
      </c>
      <c r="P316" s="187" t="str">
        <f t="shared" si="82"/>
        <v/>
      </c>
      <c r="Q316" s="173"/>
      <c r="R316" s="71"/>
      <c r="T316" s="212"/>
    </row>
    <row r="317" spans="2:20" s="411" customFormat="1" x14ac:dyDescent="0.25">
      <c r="B317" s="186"/>
      <c r="E317" s="75"/>
      <c r="F317" s="13"/>
      <c r="G317" s="148"/>
      <c r="H317" s="210" t="str">
        <f t="shared" ca="1" si="76"/>
        <v/>
      </c>
      <c r="I317" s="205" t="str">
        <f t="shared" ca="1" si="76"/>
        <v/>
      </c>
      <c r="J317" s="205" t="str">
        <f t="shared" ca="1" si="76"/>
        <v/>
      </c>
      <c r="K317" s="207" t="str">
        <f t="shared" ca="1" si="76"/>
        <v/>
      </c>
      <c r="L317" s="155" t="str">
        <f t="shared" ca="1" si="77"/>
        <v/>
      </c>
      <c r="M317" s="208" t="str">
        <f t="shared" ca="1" si="78"/>
        <v/>
      </c>
      <c r="N317" s="211" t="str">
        <f t="shared" ca="1" si="79"/>
        <v/>
      </c>
      <c r="O317" s="187" t="str">
        <f t="shared" ca="1" si="80"/>
        <v/>
      </c>
      <c r="P317" s="187" t="str">
        <f t="shared" si="82"/>
        <v/>
      </c>
      <c r="Q317" s="173"/>
      <c r="R317" s="71"/>
      <c r="T317" s="212"/>
    </row>
    <row r="318" spans="2:20" s="411" customFormat="1" x14ac:dyDescent="0.25">
      <c r="B318" s="186"/>
      <c r="E318" s="75"/>
      <c r="F318" s="13"/>
      <c r="G318" s="148"/>
      <c r="H318" s="210" t="str">
        <f t="shared" ca="1" si="76"/>
        <v/>
      </c>
      <c r="I318" s="205" t="str">
        <f t="shared" ca="1" si="76"/>
        <v/>
      </c>
      <c r="J318" s="205" t="str">
        <f t="shared" ca="1" si="76"/>
        <v/>
      </c>
      <c r="K318" s="207" t="str">
        <f t="shared" ca="1" si="76"/>
        <v/>
      </c>
      <c r="L318" s="155" t="str">
        <f t="shared" ca="1" si="77"/>
        <v/>
      </c>
      <c r="M318" s="208" t="str">
        <f t="shared" ca="1" si="78"/>
        <v/>
      </c>
      <c r="N318" s="211" t="str">
        <f t="shared" ca="1" si="79"/>
        <v/>
      </c>
      <c r="O318" s="187" t="str">
        <f t="shared" ca="1" si="80"/>
        <v/>
      </c>
      <c r="P318" s="187" t="str">
        <f t="shared" si="82"/>
        <v/>
      </c>
      <c r="Q318" s="173"/>
      <c r="R318" s="71"/>
      <c r="T318" s="212"/>
    </row>
    <row r="319" spans="2:20" s="411" customFormat="1" x14ac:dyDescent="0.25">
      <c r="B319" s="186"/>
      <c r="E319" s="75"/>
      <c r="F319" s="13"/>
      <c r="G319" s="148"/>
      <c r="H319" s="210" t="str">
        <f t="shared" ca="1" si="76"/>
        <v/>
      </c>
      <c r="I319" s="205" t="str">
        <f t="shared" ca="1" si="76"/>
        <v/>
      </c>
      <c r="J319" s="205" t="str">
        <f t="shared" ca="1" si="76"/>
        <v/>
      </c>
      <c r="K319" s="207" t="str">
        <f t="shared" ca="1" si="76"/>
        <v/>
      </c>
      <c r="L319" s="155" t="str">
        <f t="shared" ca="1" si="77"/>
        <v/>
      </c>
      <c r="M319" s="208" t="str">
        <f t="shared" ca="1" si="78"/>
        <v/>
      </c>
      <c r="N319" s="211" t="str">
        <f t="shared" ca="1" si="79"/>
        <v/>
      </c>
      <c r="O319" s="187" t="str">
        <f t="shared" ca="1" si="80"/>
        <v/>
      </c>
      <c r="P319" s="187" t="str">
        <f t="shared" si="82"/>
        <v/>
      </c>
      <c r="Q319" s="173"/>
      <c r="R319" s="71"/>
      <c r="T319" s="212"/>
    </row>
    <row r="320" spans="2:20" s="411" customFormat="1" x14ac:dyDescent="0.25">
      <c r="B320" s="186"/>
      <c r="E320" s="75"/>
      <c r="F320" s="13"/>
      <c r="G320" s="148"/>
      <c r="H320" s="210" t="str">
        <f t="shared" ca="1" si="76"/>
        <v/>
      </c>
      <c r="I320" s="205" t="str">
        <f t="shared" ca="1" si="76"/>
        <v/>
      </c>
      <c r="J320" s="205" t="str">
        <f t="shared" ca="1" si="76"/>
        <v/>
      </c>
      <c r="K320" s="207" t="str">
        <f t="shared" ca="1" si="76"/>
        <v/>
      </c>
      <c r="L320" s="155" t="str">
        <f t="shared" ca="1" si="77"/>
        <v/>
      </c>
      <c r="M320" s="208" t="str">
        <f t="shared" ca="1" si="78"/>
        <v/>
      </c>
      <c r="N320" s="211" t="str">
        <f t="shared" ca="1" si="79"/>
        <v/>
      </c>
      <c r="O320" s="187" t="str">
        <f t="shared" ca="1" si="80"/>
        <v/>
      </c>
      <c r="P320" s="187" t="str">
        <f t="shared" si="82"/>
        <v/>
      </c>
      <c r="Q320" s="173"/>
      <c r="R320" s="71"/>
      <c r="T320" s="212"/>
    </row>
    <row r="321" spans="2:20" s="411" customFormat="1" x14ac:dyDescent="0.25">
      <c r="B321" s="186"/>
      <c r="E321" s="75"/>
      <c r="F321" s="13"/>
      <c r="G321" s="148"/>
      <c r="H321" s="210" t="str">
        <f t="shared" ca="1" si="76"/>
        <v/>
      </c>
      <c r="I321" s="205" t="str">
        <f t="shared" ca="1" si="76"/>
        <v/>
      </c>
      <c r="J321" s="205" t="str">
        <f t="shared" ca="1" si="76"/>
        <v/>
      </c>
      <c r="K321" s="207" t="str">
        <f t="shared" ca="1" si="76"/>
        <v/>
      </c>
      <c r="L321" s="155" t="str">
        <f t="shared" ca="1" si="77"/>
        <v/>
      </c>
      <c r="M321" s="208" t="str">
        <f t="shared" ca="1" si="78"/>
        <v/>
      </c>
      <c r="N321" s="211" t="str">
        <f t="shared" ca="1" si="79"/>
        <v/>
      </c>
      <c r="O321" s="187" t="str">
        <f t="shared" ca="1" si="80"/>
        <v/>
      </c>
      <c r="P321" s="187" t="str">
        <f t="shared" si="82"/>
        <v/>
      </c>
      <c r="Q321" s="173"/>
      <c r="R321" s="71"/>
      <c r="T321" s="212"/>
    </row>
    <row r="322" spans="2:20" s="411" customFormat="1" x14ac:dyDescent="0.25">
      <c r="B322" s="186"/>
      <c r="E322" s="75"/>
      <c r="F322" s="13"/>
      <c r="G322" s="148"/>
      <c r="H322" s="210" t="str">
        <f t="shared" ca="1" si="76"/>
        <v/>
      </c>
      <c r="I322" s="205" t="str">
        <f t="shared" ca="1" si="76"/>
        <v/>
      </c>
      <c r="J322" s="205" t="str">
        <f t="shared" ca="1" si="76"/>
        <v/>
      </c>
      <c r="K322" s="207" t="str">
        <f t="shared" ca="1" si="76"/>
        <v/>
      </c>
      <c r="L322" s="155" t="str">
        <f t="shared" ca="1" si="77"/>
        <v/>
      </c>
      <c r="M322" s="208" t="str">
        <f t="shared" ca="1" si="78"/>
        <v/>
      </c>
      <c r="N322" s="211" t="str">
        <f t="shared" ca="1" si="79"/>
        <v/>
      </c>
      <c r="O322" s="187" t="str">
        <f t="shared" ca="1" si="80"/>
        <v/>
      </c>
      <c r="P322" s="187" t="str">
        <f t="shared" si="82"/>
        <v/>
      </c>
      <c r="Q322" s="173"/>
      <c r="R322" s="71"/>
      <c r="T322" s="212"/>
    </row>
    <row r="323" spans="2:20" s="411" customFormat="1" x14ac:dyDescent="0.25">
      <c r="B323" s="186"/>
      <c r="E323" s="75"/>
      <c r="F323" s="13"/>
      <c r="G323" s="148"/>
      <c r="H323" s="210" t="str">
        <f t="shared" ca="1" si="76"/>
        <v/>
      </c>
      <c r="I323" s="205" t="str">
        <f t="shared" ca="1" si="76"/>
        <v/>
      </c>
      <c r="J323" s="205" t="str">
        <f t="shared" ca="1" si="76"/>
        <v/>
      </c>
      <c r="K323" s="207" t="str">
        <f t="shared" ref="H323:K345" ca="1" si="83">IF(NOT(ISTEXT($G323)),"",IFERROR(INDEX(theme_level_concentrations,MATCH($G323,OFFSET(theme_level_concentrations,0,0,,1),0),MATCH(K$273,OFFSET(theme_level_concentrations,0,0,1),0)),0))</f>
        <v/>
      </c>
      <c r="L323" s="155" t="str">
        <f t="shared" ca="1" si="77"/>
        <v/>
      </c>
      <c r="M323" s="208" t="str">
        <f t="shared" ca="1" si="78"/>
        <v/>
      </c>
      <c r="N323" s="211" t="str">
        <f t="shared" ca="1" si="79"/>
        <v/>
      </c>
      <c r="O323" s="187" t="str">
        <f t="shared" ca="1" si="80"/>
        <v/>
      </c>
      <c r="P323" s="187" t="str">
        <f t="shared" si="82"/>
        <v/>
      </c>
      <c r="Q323" s="173"/>
      <c r="R323" s="71"/>
      <c r="T323" s="212"/>
    </row>
    <row r="324" spans="2:20" s="411" customFormat="1" x14ac:dyDescent="0.25">
      <c r="B324" s="186"/>
      <c r="E324" s="75"/>
      <c r="F324" s="13"/>
      <c r="G324" s="148"/>
      <c r="H324" s="210" t="str">
        <f t="shared" ca="1" si="83"/>
        <v/>
      </c>
      <c r="I324" s="205" t="str">
        <f t="shared" ca="1" si="83"/>
        <v/>
      </c>
      <c r="J324" s="205" t="str">
        <f t="shared" ca="1" si="83"/>
        <v/>
      </c>
      <c r="K324" s="207" t="str">
        <f t="shared" ca="1" si="83"/>
        <v/>
      </c>
      <c r="L324" s="155" t="str">
        <f t="shared" ca="1" si="77"/>
        <v/>
      </c>
      <c r="M324" s="208" t="str">
        <f t="shared" ca="1" si="78"/>
        <v/>
      </c>
      <c r="N324" s="211" t="str">
        <f t="shared" ca="1" si="79"/>
        <v/>
      </c>
      <c r="O324" s="187" t="str">
        <f t="shared" ca="1" si="80"/>
        <v/>
      </c>
      <c r="P324" s="187" t="str">
        <f t="shared" si="82"/>
        <v/>
      </c>
      <c r="Q324" s="173"/>
      <c r="R324" s="71"/>
      <c r="T324" s="212"/>
    </row>
    <row r="325" spans="2:20" s="411" customFormat="1" x14ac:dyDescent="0.25">
      <c r="B325" s="186"/>
      <c r="E325" s="75"/>
      <c r="F325" s="13"/>
      <c r="G325" s="148"/>
      <c r="H325" s="210" t="str">
        <f t="shared" ca="1" si="83"/>
        <v/>
      </c>
      <c r="I325" s="205" t="str">
        <f t="shared" ca="1" si="83"/>
        <v/>
      </c>
      <c r="J325" s="205" t="str">
        <f t="shared" ca="1" si="83"/>
        <v/>
      </c>
      <c r="K325" s="207" t="str">
        <f t="shared" ca="1" si="83"/>
        <v/>
      </c>
      <c r="L325" s="155" t="str">
        <f t="shared" ca="1" si="77"/>
        <v/>
      </c>
      <c r="M325" s="208" t="str">
        <f t="shared" ca="1" si="78"/>
        <v/>
      </c>
      <c r="N325" s="211" t="str">
        <f t="shared" ca="1" si="79"/>
        <v/>
      </c>
      <c r="O325" s="187" t="str">
        <f t="shared" ca="1" si="80"/>
        <v/>
      </c>
      <c r="P325" s="187" t="str">
        <f t="shared" si="82"/>
        <v/>
      </c>
      <c r="Q325" s="173"/>
      <c r="R325" s="71"/>
      <c r="T325" s="212"/>
    </row>
    <row r="326" spans="2:20" s="411" customFormat="1" x14ac:dyDescent="0.25">
      <c r="B326" s="186"/>
      <c r="E326" s="75"/>
      <c r="F326" s="13"/>
      <c r="G326" s="148"/>
      <c r="H326" s="210" t="str">
        <f t="shared" ca="1" si="83"/>
        <v/>
      </c>
      <c r="I326" s="205" t="str">
        <f t="shared" ca="1" si="83"/>
        <v/>
      </c>
      <c r="J326" s="205" t="str">
        <f t="shared" ca="1" si="83"/>
        <v/>
      </c>
      <c r="K326" s="207" t="str">
        <f t="shared" ca="1" si="83"/>
        <v/>
      </c>
      <c r="L326" s="155" t="str">
        <f t="shared" ca="1" si="77"/>
        <v/>
      </c>
      <c r="M326" s="208" t="str">
        <f t="shared" ca="1" si="78"/>
        <v/>
      </c>
      <c r="N326" s="211" t="str">
        <f t="shared" ca="1" si="79"/>
        <v/>
      </c>
      <c r="O326" s="187" t="str">
        <f t="shared" ca="1" si="80"/>
        <v/>
      </c>
      <c r="P326" s="187" t="str">
        <f t="shared" si="82"/>
        <v/>
      </c>
      <c r="Q326" s="173"/>
      <c r="R326" s="71"/>
      <c r="T326" s="212"/>
    </row>
    <row r="327" spans="2:20" x14ac:dyDescent="0.25">
      <c r="C327" s="375"/>
      <c r="D327" s="375"/>
      <c r="E327" s="75"/>
      <c r="F327" s="13"/>
      <c r="G327" s="148"/>
      <c r="H327" s="210" t="str">
        <f t="shared" ca="1" si="83"/>
        <v/>
      </c>
      <c r="I327" s="205" t="str">
        <f t="shared" ca="1" si="83"/>
        <v/>
      </c>
      <c r="J327" s="205" t="str">
        <f t="shared" ca="1" si="83"/>
        <v/>
      </c>
      <c r="K327" s="207" t="str">
        <f t="shared" ca="1" si="83"/>
        <v/>
      </c>
      <c r="L327" s="155" t="str">
        <f t="shared" ca="1" si="77"/>
        <v/>
      </c>
      <c r="M327" s="208" t="str">
        <f t="shared" ca="1" si="78"/>
        <v/>
      </c>
      <c r="N327" s="211" t="str">
        <f t="shared" ca="1" si="79"/>
        <v/>
      </c>
      <c r="O327" s="187" t="str">
        <f t="shared" ca="1" si="80"/>
        <v/>
      </c>
      <c r="P327" s="187" t="str">
        <f t="shared" si="82"/>
        <v/>
      </c>
      <c r="Q327" s="375"/>
      <c r="R327" s="375"/>
      <c r="S327" s="375"/>
      <c r="T327" s="212"/>
    </row>
    <row r="328" spans="2:20" x14ac:dyDescent="0.25">
      <c r="B328" s="186"/>
      <c r="C328" s="375"/>
      <c r="D328" s="375"/>
      <c r="E328" s="75"/>
      <c r="F328" s="13"/>
      <c r="G328" s="148"/>
      <c r="H328" s="210" t="str">
        <f t="shared" ca="1" si="83"/>
        <v/>
      </c>
      <c r="I328" s="205" t="str">
        <f t="shared" ca="1" si="83"/>
        <v/>
      </c>
      <c r="J328" s="205" t="str">
        <f t="shared" ca="1" si="83"/>
        <v/>
      </c>
      <c r="K328" s="207" t="str">
        <f t="shared" ca="1" si="83"/>
        <v/>
      </c>
      <c r="L328" s="155" t="str">
        <f t="shared" ca="1" si="77"/>
        <v/>
      </c>
      <c r="M328" s="208" t="str">
        <f t="shared" ca="1" si="78"/>
        <v/>
      </c>
      <c r="N328" s="211" t="str">
        <f t="shared" ca="1" si="79"/>
        <v/>
      </c>
      <c r="O328" s="187" t="str">
        <f t="shared" ca="1" si="80"/>
        <v/>
      </c>
      <c r="P328" s="187" t="str">
        <f t="shared" si="82"/>
        <v/>
      </c>
      <c r="Q328" s="375"/>
      <c r="R328" s="375"/>
      <c r="S328" s="375"/>
      <c r="T328" s="212"/>
    </row>
    <row r="329" spans="2:20" x14ac:dyDescent="0.25">
      <c r="C329" s="375"/>
      <c r="D329" s="375"/>
      <c r="E329" s="75"/>
      <c r="F329" s="13"/>
      <c r="G329" s="148"/>
      <c r="H329" s="210" t="str">
        <f t="shared" ca="1" si="83"/>
        <v/>
      </c>
      <c r="I329" s="205" t="str">
        <f t="shared" ca="1" si="83"/>
        <v/>
      </c>
      <c r="J329" s="205" t="str">
        <f t="shared" ca="1" si="83"/>
        <v/>
      </c>
      <c r="K329" s="207" t="str">
        <f t="shared" ca="1" si="83"/>
        <v/>
      </c>
      <c r="L329" s="155" t="str">
        <f t="shared" ca="1" si="77"/>
        <v/>
      </c>
      <c r="M329" s="208" t="str">
        <f t="shared" ca="1" si="78"/>
        <v/>
      </c>
      <c r="N329" s="211" t="str">
        <f t="shared" ca="1" si="79"/>
        <v/>
      </c>
      <c r="O329" s="187" t="str">
        <f t="shared" ca="1" si="80"/>
        <v/>
      </c>
      <c r="P329" s="187" t="str">
        <f t="shared" si="82"/>
        <v/>
      </c>
      <c r="Q329" s="186"/>
      <c r="R329" s="375"/>
      <c r="S329" s="144"/>
      <c r="T329" s="212"/>
    </row>
    <row r="330" spans="2:20" x14ac:dyDescent="0.25">
      <c r="C330" s="375"/>
      <c r="D330" s="375"/>
      <c r="E330" s="75"/>
      <c r="F330" s="13"/>
      <c r="G330" s="148"/>
      <c r="H330" s="210" t="str">
        <f t="shared" ca="1" si="83"/>
        <v/>
      </c>
      <c r="I330" s="205" t="str">
        <f t="shared" ca="1" si="83"/>
        <v/>
      </c>
      <c r="J330" s="205" t="str">
        <f t="shared" ca="1" si="83"/>
        <v/>
      </c>
      <c r="K330" s="207" t="str">
        <f t="shared" ca="1" si="83"/>
        <v/>
      </c>
      <c r="L330" s="155" t="str">
        <f t="shared" ca="1" si="77"/>
        <v/>
      </c>
      <c r="M330" s="208" t="str">
        <f t="shared" ca="1" si="78"/>
        <v/>
      </c>
      <c r="N330" s="211" t="str">
        <f t="shared" ca="1" si="79"/>
        <v/>
      </c>
      <c r="O330" s="187" t="str">
        <f t="shared" ca="1" si="80"/>
        <v/>
      </c>
      <c r="P330" s="187" t="str">
        <f t="shared" si="82"/>
        <v/>
      </c>
      <c r="Q330" s="186"/>
      <c r="R330" s="375"/>
      <c r="S330" s="144"/>
      <c r="T330" s="212"/>
    </row>
    <row r="331" spans="2:20" x14ac:dyDescent="0.25">
      <c r="C331" s="375"/>
      <c r="D331" s="375"/>
      <c r="E331" s="75"/>
      <c r="F331" s="13"/>
      <c r="G331" s="148"/>
      <c r="H331" s="210" t="str">
        <f t="shared" ca="1" si="83"/>
        <v/>
      </c>
      <c r="I331" s="205" t="str">
        <f t="shared" ca="1" si="83"/>
        <v/>
      </c>
      <c r="J331" s="205" t="str">
        <f t="shared" ca="1" si="83"/>
        <v/>
      </c>
      <c r="K331" s="207" t="str">
        <f t="shared" ca="1" si="83"/>
        <v/>
      </c>
      <c r="L331" s="155" t="str">
        <f t="shared" ca="1" si="77"/>
        <v/>
      </c>
      <c r="M331" s="208" t="str">
        <f t="shared" ca="1" si="78"/>
        <v/>
      </c>
      <c r="N331" s="211" t="str">
        <f t="shared" ca="1" si="79"/>
        <v/>
      </c>
      <c r="O331" s="187" t="str">
        <f t="shared" ca="1" si="80"/>
        <v/>
      </c>
      <c r="P331" s="187" t="str">
        <f t="shared" si="82"/>
        <v/>
      </c>
      <c r="Q331" s="186"/>
      <c r="R331" s="375"/>
      <c r="S331" s="144"/>
      <c r="T331" s="212"/>
    </row>
    <row r="332" spans="2:20" s="407" customFormat="1" x14ac:dyDescent="0.25">
      <c r="E332" s="75"/>
      <c r="F332" s="13"/>
      <c r="G332" s="148"/>
      <c r="H332" s="210" t="str">
        <f t="shared" ca="1" si="83"/>
        <v/>
      </c>
      <c r="I332" s="205" t="str">
        <f t="shared" ca="1" si="83"/>
        <v/>
      </c>
      <c r="J332" s="205" t="str">
        <f t="shared" ca="1" si="83"/>
        <v/>
      </c>
      <c r="K332" s="207" t="str">
        <f t="shared" ca="1" si="83"/>
        <v/>
      </c>
      <c r="L332" s="155" t="str">
        <f t="shared" ca="1" si="77"/>
        <v/>
      </c>
      <c r="M332" s="208" t="str">
        <f t="shared" ca="1" si="78"/>
        <v/>
      </c>
      <c r="N332" s="211" t="str">
        <f t="shared" ca="1" si="79"/>
        <v/>
      </c>
      <c r="O332" s="187" t="str">
        <f t="shared" ca="1" si="80"/>
        <v/>
      </c>
      <c r="P332" s="187" t="str">
        <f t="shared" si="82"/>
        <v/>
      </c>
      <c r="Q332" s="186"/>
      <c r="S332" s="406"/>
      <c r="T332" s="212"/>
    </row>
    <row r="333" spans="2:20" x14ac:dyDescent="0.25">
      <c r="C333" s="375"/>
      <c r="D333" s="375"/>
      <c r="E333" s="75"/>
      <c r="F333" s="13"/>
      <c r="G333" s="148"/>
      <c r="H333" s="210" t="str">
        <f t="shared" ca="1" si="83"/>
        <v/>
      </c>
      <c r="I333" s="205" t="str">
        <f t="shared" ca="1" si="83"/>
        <v/>
      </c>
      <c r="J333" s="205" t="str">
        <f t="shared" ca="1" si="83"/>
        <v/>
      </c>
      <c r="K333" s="207" t="str">
        <f t="shared" ca="1" si="83"/>
        <v/>
      </c>
      <c r="L333" s="155" t="str">
        <f t="shared" ca="1" si="77"/>
        <v/>
      </c>
      <c r="M333" s="208" t="str">
        <f t="shared" ca="1" si="78"/>
        <v/>
      </c>
      <c r="N333" s="211" t="str">
        <f t="shared" ca="1" si="79"/>
        <v/>
      </c>
      <c r="O333" s="187" t="str">
        <f t="shared" ca="1" si="80"/>
        <v/>
      </c>
      <c r="P333" s="187" t="str">
        <f t="shared" si="82"/>
        <v/>
      </c>
      <c r="Q333" s="186"/>
      <c r="R333" s="375"/>
      <c r="S333" s="144"/>
      <c r="T333" s="212"/>
    </row>
    <row r="334" spans="2:20" s="407" customFormat="1" x14ac:dyDescent="0.25">
      <c r="E334" s="75"/>
      <c r="F334" s="13"/>
      <c r="G334" s="148"/>
      <c r="H334" s="210" t="str">
        <f t="shared" ca="1" si="83"/>
        <v/>
      </c>
      <c r="I334" s="205" t="str">
        <f t="shared" ca="1" si="83"/>
        <v/>
      </c>
      <c r="J334" s="205" t="str">
        <f t="shared" ca="1" si="83"/>
        <v/>
      </c>
      <c r="K334" s="207" t="str">
        <f t="shared" ca="1" si="83"/>
        <v/>
      </c>
      <c r="L334" s="155" t="str">
        <f t="shared" ca="1" si="77"/>
        <v/>
      </c>
      <c r="M334" s="208" t="str">
        <f t="shared" ca="1" si="78"/>
        <v/>
      </c>
      <c r="N334" s="211" t="str">
        <f t="shared" ca="1" si="79"/>
        <v/>
      </c>
      <c r="O334" s="187" t="str">
        <f t="shared" ca="1" si="80"/>
        <v/>
      </c>
      <c r="P334" s="187" t="str">
        <f t="shared" si="82"/>
        <v/>
      </c>
      <c r="Q334" s="186"/>
      <c r="S334" s="406"/>
      <c r="T334" s="212"/>
    </row>
    <row r="335" spans="2:20" x14ac:dyDescent="0.25">
      <c r="C335" s="375"/>
      <c r="D335" s="375"/>
      <c r="E335" s="75"/>
      <c r="F335" s="13"/>
      <c r="G335" s="148"/>
      <c r="H335" s="210" t="str">
        <f t="shared" ca="1" si="83"/>
        <v/>
      </c>
      <c r="I335" s="205" t="str">
        <f t="shared" ca="1" si="83"/>
        <v/>
      </c>
      <c r="J335" s="205" t="str">
        <f t="shared" ca="1" si="83"/>
        <v/>
      </c>
      <c r="K335" s="207" t="str">
        <f t="shared" ca="1" si="83"/>
        <v/>
      </c>
      <c r="L335" s="155" t="str">
        <f t="shared" ca="1" si="77"/>
        <v/>
      </c>
      <c r="M335" s="208" t="str">
        <f t="shared" ca="1" si="78"/>
        <v/>
      </c>
      <c r="N335" s="211" t="str">
        <f t="shared" ca="1" si="79"/>
        <v/>
      </c>
      <c r="O335" s="187" t="str">
        <f t="shared" ca="1" si="80"/>
        <v/>
      </c>
      <c r="P335" s="187" t="str">
        <f t="shared" si="82"/>
        <v/>
      </c>
      <c r="Q335" s="186"/>
      <c r="R335" s="375"/>
      <c r="S335" s="144"/>
      <c r="T335" s="212"/>
    </row>
    <row r="336" spans="2:20" s="407" customFormat="1" x14ac:dyDescent="0.25">
      <c r="E336" s="75"/>
      <c r="F336" s="13"/>
      <c r="G336" s="148"/>
      <c r="H336" s="210" t="str">
        <f t="shared" ca="1" si="83"/>
        <v/>
      </c>
      <c r="I336" s="205" t="str">
        <f t="shared" ca="1" si="83"/>
        <v/>
      </c>
      <c r="J336" s="205" t="str">
        <f t="shared" ca="1" si="83"/>
        <v/>
      </c>
      <c r="K336" s="207" t="str">
        <f t="shared" ca="1" si="83"/>
        <v/>
      </c>
      <c r="L336" s="155" t="str">
        <f t="shared" ca="1" si="77"/>
        <v/>
      </c>
      <c r="M336" s="208" t="str">
        <f t="shared" ca="1" si="78"/>
        <v/>
      </c>
      <c r="N336" s="211" t="str">
        <f t="shared" ca="1" si="79"/>
        <v/>
      </c>
      <c r="O336" s="187" t="str">
        <f t="shared" ca="1" si="80"/>
        <v/>
      </c>
      <c r="P336" s="187" t="str">
        <f t="shared" si="82"/>
        <v/>
      </c>
      <c r="Q336" s="186"/>
      <c r="S336" s="406"/>
      <c r="T336" s="212"/>
    </row>
    <row r="337" spans="2:20" x14ac:dyDescent="0.25">
      <c r="B337" s="186"/>
      <c r="C337" s="375"/>
      <c r="D337" s="375"/>
      <c r="E337" s="75"/>
      <c r="F337" s="13"/>
      <c r="G337" s="148"/>
      <c r="H337" s="210" t="str">
        <f t="shared" ca="1" si="83"/>
        <v/>
      </c>
      <c r="I337" s="205" t="str">
        <f t="shared" ca="1" si="83"/>
        <v/>
      </c>
      <c r="J337" s="205" t="str">
        <f t="shared" ca="1" si="83"/>
        <v/>
      </c>
      <c r="K337" s="207" t="str">
        <f t="shared" ca="1" si="83"/>
        <v/>
      </c>
      <c r="L337" s="155" t="str">
        <f t="shared" ca="1" si="77"/>
        <v/>
      </c>
      <c r="M337" s="208" t="str">
        <f t="shared" ca="1" si="78"/>
        <v/>
      </c>
      <c r="N337" s="211" t="str">
        <f t="shared" ca="1" si="79"/>
        <v/>
      </c>
      <c r="O337" s="187" t="str">
        <f t="shared" ca="1" si="80"/>
        <v/>
      </c>
      <c r="P337" s="187" t="str">
        <f t="shared" si="82"/>
        <v/>
      </c>
      <c r="Q337" s="186"/>
      <c r="R337" s="375"/>
      <c r="S337" s="144"/>
      <c r="T337" s="212"/>
    </row>
    <row r="338" spans="2:20" s="407" customFormat="1" x14ac:dyDescent="0.25">
      <c r="B338" s="186"/>
      <c r="E338" s="75"/>
      <c r="F338" s="13"/>
      <c r="G338" s="148"/>
      <c r="H338" s="210" t="str">
        <f t="shared" ca="1" si="83"/>
        <v/>
      </c>
      <c r="I338" s="205" t="str">
        <f t="shared" ca="1" si="83"/>
        <v/>
      </c>
      <c r="J338" s="205" t="str">
        <f t="shared" ca="1" si="83"/>
        <v/>
      </c>
      <c r="K338" s="207" t="str">
        <f t="shared" ca="1" si="83"/>
        <v/>
      </c>
      <c r="L338" s="155" t="str">
        <f t="shared" ca="1" si="77"/>
        <v/>
      </c>
      <c r="M338" s="208" t="str">
        <f t="shared" ca="1" si="78"/>
        <v/>
      </c>
      <c r="N338" s="211" t="str">
        <f t="shared" ca="1" si="79"/>
        <v/>
      </c>
      <c r="O338" s="187" t="str">
        <f t="shared" ca="1" si="80"/>
        <v/>
      </c>
      <c r="P338" s="187" t="str">
        <f t="shared" si="82"/>
        <v/>
      </c>
      <c r="Q338" s="186"/>
      <c r="S338" s="406"/>
      <c r="T338" s="212"/>
    </row>
    <row r="339" spans="2:20" s="375" customFormat="1" ht="16.5" customHeight="1" x14ac:dyDescent="0.25">
      <c r="B339" s="186"/>
      <c r="E339" s="75"/>
      <c r="F339" s="13"/>
      <c r="G339" s="148"/>
      <c r="H339" s="210" t="str">
        <f t="shared" ca="1" si="83"/>
        <v/>
      </c>
      <c r="I339" s="205" t="str">
        <f t="shared" ca="1" si="83"/>
        <v/>
      </c>
      <c r="J339" s="205" t="str">
        <f t="shared" ca="1" si="83"/>
        <v/>
      </c>
      <c r="K339" s="207" t="str">
        <f t="shared" ca="1" si="83"/>
        <v/>
      </c>
      <c r="L339" s="155" t="str">
        <f t="shared" ca="1" si="77"/>
        <v/>
      </c>
      <c r="M339" s="208" t="str">
        <f t="shared" ca="1" si="78"/>
        <v/>
      </c>
      <c r="N339" s="211" t="str">
        <f t="shared" ca="1" si="79"/>
        <v/>
      </c>
      <c r="O339" s="187" t="str">
        <f t="shared" ca="1" si="80"/>
        <v/>
      </c>
      <c r="P339" s="187" t="str">
        <f t="shared" si="82"/>
        <v/>
      </c>
      <c r="Q339" s="186"/>
      <c r="S339" s="144"/>
      <c r="T339" s="212"/>
    </row>
    <row r="340" spans="2:20" s="407" customFormat="1" ht="16.5" customHeight="1" x14ac:dyDescent="0.25">
      <c r="B340" s="186"/>
      <c r="E340" s="75"/>
      <c r="F340" s="13"/>
      <c r="G340" s="148"/>
      <c r="H340" s="210" t="str">
        <f t="shared" ca="1" si="83"/>
        <v/>
      </c>
      <c r="I340" s="205" t="str">
        <f t="shared" ca="1" si="83"/>
        <v/>
      </c>
      <c r="J340" s="205" t="str">
        <f t="shared" ca="1" si="83"/>
        <v/>
      </c>
      <c r="K340" s="207" t="str">
        <f t="shared" ca="1" si="83"/>
        <v/>
      </c>
      <c r="L340" s="155" t="str">
        <f t="shared" ca="1" si="77"/>
        <v/>
      </c>
      <c r="M340" s="208" t="str">
        <f t="shared" ca="1" si="78"/>
        <v/>
      </c>
      <c r="N340" s="211" t="str">
        <f t="shared" ca="1" si="79"/>
        <v/>
      </c>
      <c r="O340" s="187" t="str">
        <f t="shared" ca="1" si="80"/>
        <v/>
      </c>
      <c r="P340" s="187" t="str">
        <f t="shared" si="82"/>
        <v/>
      </c>
      <c r="Q340" s="186"/>
      <c r="S340" s="406"/>
      <c r="T340" s="212"/>
    </row>
    <row r="341" spans="2:20" s="400" customFormat="1" x14ac:dyDescent="0.25">
      <c r="B341" s="186"/>
      <c r="E341" s="75"/>
      <c r="F341" s="13"/>
      <c r="G341" s="148"/>
      <c r="H341" s="210" t="str">
        <f t="shared" ca="1" si="83"/>
        <v/>
      </c>
      <c r="I341" s="205" t="str">
        <f t="shared" ca="1" si="83"/>
        <v/>
      </c>
      <c r="J341" s="205" t="str">
        <f t="shared" ca="1" si="83"/>
        <v/>
      </c>
      <c r="K341" s="207" t="str">
        <f t="shared" ca="1" si="83"/>
        <v/>
      </c>
      <c r="L341" s="155" t="str">
        <f t="shared" ca="1" si="77"/>
        <v/>
      </c>
      <c r="M341" s="208" t="str">
        <f t="shared" ca="1" si="78"/>
        <v/>
      </c>
      <c r="N341" s="211" t="str">
        <f t="shared" ca="1" si="79"/>
        <v/>
      </c>
      <c r="O341" s="187" t="str">
        <f t="shared" ca="1" si="80"/>
        <v/>
      </c>
      <c r="P341" s="187" t="str">
        <f t="shared" si="82"/>
        <v/>
      </c>
      <c r="Q341" s="186"/>
      <c r="S341" s="399"/>
      <c r="T341" s="212"/>
    </row>
    <row r="342" spans="2:20" s="400" customFormat="1" x14ac:dyDescent="0.25">
      <c r="B342" s="186"/>
      <c r="E342" s="75"/>
      <c r="F342" s="13"/>
      <c r="G342" s="148"/>
      <c r="H342" s="210" t="str">
        <f t="shared" ca="1" si="83"/>
        <v/>
      </c>
      <c r="I342" s="205" t="str">
        <f t="shared" ca="1" si="83"/>
        <v/>
      </c>
      <c r="J342" s="205" t="str">
        <f t="shared" ca="1" si="83"/>
        <v/>
      </c>
      <c r="K342" s="207" t="str">
        <f t="shared" ca="1" si="83"/>
        <v/>
      </c>
      <c r="L342" s="155" t="str">
        <f t="shared" ca="1" si="77"/>
        <v/>
      </c>
      <c r="M342" s="208" t="str">
        <f t="shared" ca="1" si="78"/>
        <v/>
      </c>
      <c r="N342" s="211" t="str">
        <f t="shared" ca="1" si="79"/>
        <v/>
      </c>
      <c r="O342" s="187" t="str">
        <f t="shared" ca="1" si="80"/>
        <v/>
      </c>
      <c r="P342" s="187" t="str">
        <f t="shared" si="82"/>
        <v/>
      </c>
      <c r="Q342" s="186"/>
      <c r="S342" s="399"/>
      <c r="T342" s="212"/>
    </row>
    <row r="343" spans="2:20" s="400" customFormat="1" x14ac:dyDescent="0.25">
      <c r="B343" s="186"/>
      <c r="E343" s="75"/>
      <c r="F343" s="13"/>
      <c r="G343" s="148"/>
      <c r="H343" s="210" t="str">
        <f t="shared" ca="1" si="83"/>
        <v/>
      </c>
      <c r="I343" s="205" t="str">
        <f t="shared" ca="1" si="83"/>
        <v/>
      </c>
      <c r="J343" s="205" t="str">
        <f t="shared" ca="1" si="83"/>
        <v/>
      </c>
      <c r="K343" s="207" t="str">
        <f t="shared" ca="1" si="83"/>
        <v/>
      </c>
      <c r="L343" s="155" t="str">
        <f t="shared" ca="1" si="77"/>
        <v/>
      </c>
      <c r="M343" s="208" t="str">
        <f t="shared" ca="1" si="78"/>
        <v/>
      </c>
      <c r="N343" s="211" t="str">
        <f t="shared" ca="1" si="79"/>
        <v/>
      </c>
      <c r="O343" s="187" t="str">
        <f t="shared" ca="1" si="80"/>
        <v/>
      </c>
      <c r="P343" s="187" t="str">
        <f t="shared" si="82"/>
        <v/>
      </c>
      <c r="Q343" s="186"/>
      <c r="S343" s="399"/>
      <c r="T343" s="212"/>
    </row>
    <row r="344" spans="2:20" s="400" customFormat="1" x14ac:dyDescent="0.25">
      <c r="B344" s="186"/>
      <c r="E344" s="75"/>
      <c r="F344" s="13"/>
      <c r="G344" s="148"/>
      <c r="H344" s="210" t="str">
        <f t="shared" ca="1" si="83"/>
        <v/>
      </c>
      <c r="I344" s="205" t="str">
        <f t="shared" ca="1" si="83"/>
        <v/>
      </c>
      <c r="J344" s="205" t="str">
        <f t="shared" ca="1" si="83"/>
        <v/>
      </c>
      <c r="K344" s="207" t="str">
        <f t="shared" ca="1" si="83"/>
        <v/>
      </c>
      <c r="L344" s="155" t="str">
        <f t="shared" ca="1" si="77"/>
        <v/>
      </c>
      <c r="M344" s="208" t="str">
        <f t="shared" ca="1" si="78"/>
        <v/>
      </c>
      <c r="N344" s="211" t="str">
        <f t="shared" ca="1" si="79"/>
        <v/>
      </c>
      <c r="O344" s="187" t="str">
        <f t="shared" ca="1" si="80"/>
        <v/>
      </c>
      <c r="P344" s="187" t="str">
        <f t="shared" si="82"/>
        <v/>
      </c>
      <c r="Q344" s="186"/>
      <c r="S344" s="399"/>
      <c r="T344" s="212"/>
    </row>
    <row r="345" spans="2:20" s="400" customFormat="1" x14ac:dyDescent="0.25">
      <c r="B345" s="186"/>
      <c r="E345" s="75"/>
      <c r="F345" s="13"/>
      <c r="G345" s="148"/>
      <c r="H345" s="210" t="str">
        <f t="shared" ca="1" si="83"/>
        <v/>
      </c>
      <c r="I345" s="205" t="str">
        <f t="shared" ca="1" si="83"/>
        <v/>
      </c>
      <c r="J345" s="205" t="str">
        <f t="shared" ca="1" si="83"/>
        <v/>
      </c>
      <c r="K345" s="207" t="str">
        <f t="shared" ca="1" si="83"/>
        <v/>
      </c>
      <c r="L345" s="155" t="str">
        <f t="shared" ca="1" si="77"/>
        <v/>
      </c>
      <c r="M345" s="208" t="str">
        <f t="shared" ca="1" si="78"/>
        <v/>
      </c>
      <c r="N345" s="211" t="str">
        <f t="shared" ca="1" si="79"/>
        <v/>
      </c>
      <c r="O345" s="187" t="str">
        <f t="shared" ca="1" si="80"/>
        <v/>
      </c>
      <c r="P345" s="187" t="str">
        <f t="shared" si="82"/>
        <v/>
      </c>
      <c r="Q345" s="186"/>
      <c r="S345" s="399"/>
      <c r="T345" s="212"/>
    </row>
    <row r="346" spans="2:20" ht="6" customHeight="1" thickBot="1" x14ac:dyDescent="0.3">
      <c r="E346" s="2"/>
      <c r="F346" s="3"/>
    </row>
    <row r="347" spans="2:20" ht="20.25" thickBot="1" x14ac:dyDescent="0.3">
      <c r="B347" s="186"/>
      <c r="C347" s="418" t="s">
        <v>50</v>
      </c>
      <c r="D347" s="419"/>
      <c r="E347" s="419"/>
      <c r="F347" s="419"/>
      <c r="G347" s="419"/>
      <c r="H347" s="419"/>
      <c r="I347" s="419"/>
      <c r="J347" s="419"/>
      <c r="K347" s="419"/>
      <c r="L347" s="419"/>
      <c r="M347" s="419"/>
      <c r="N347" s="419"/>
      <c r="O347" s="419"/>
      <c r="P347" s="419"/>
      <c r="Q347" s="419"/>
      <c r="R347" s="419"/>
      <c r="S347" s="419"/>
      <c r="T347" s="420"/>
    </row>
    <row r="348" spans="2:20" ht="6" customHeight="1" x14ac:dyDescent="0.25">
      <c r="E348" s="2"/>
      <c r="F348" s="3"/>
    </row>
    <row r="349" spans="2:20" ht="17.25" x14ac:dyDescent="0.3">
      <c r="B349" s="186"/>
      <c r="C349" s="87" t="s">
        <v>120</v>
      </c>
      <c r="E349" s="2"/>
      <c r="F349" s="3"/>
    </row>
    <row r="350" spans="2:20" x14ac:dyDescent="0.25">
      <c r="B350" s="186"/>
      <c r="E350" s="2"/>
      <c r="F350" s="3"/>
      <c r="I350" s="119" t="s">
        <v>50</v>
      </c>
      <c r="J350" s="120"/>
      <c r="K350" s="119" t="s">
        <v>121</v>
      </c>
      <c r="L350" s="106"/>
      <c r="M350" s="214"/>
      <c r="N350" s="106"/>
      <c r="O350" s="214"/>
      <c r="P350" s="120"/>
      <c r="R350" s="117"/>
      <c r="S350" s="117"/>
      <c r="T350" s="117"/>
    </row>
    <row r="351" spans="2:20" x14ac:dyDescent="0.25">
      <c r="B351" s="186"/>
      <c r="C351" s="215"/>
      <c r="D351" s="215"/>
      <c r="E351" s="216"/>
      <c r="F351" s="217"/>
      <c r="G351" s="215"/>
      <c r="H351" s="203" t="s">
        <v>122</v>
      </c>
      <c r="I351" s="218" t="s">
        <v>6</v>
      </c>
      <c r="J351" s="219" t="s">
        <v>7</v>
      </c>
      <c r="K351" s="218" t="s">
        <v>33</v>
      </c>
      <c r="L351" s="220" t="s">
        <v>34</v>
      </c>
      <c r="M351" s="220" t="s">
        <v>35</v>
      </c>
      <c r="N351" s="220" t="s">
        <v>36</v>
      </c>
      <c r="O351" s="220" t="s">
        <v>123</v>
      </c>
      <c r="P351" s="221" t="s">
        <v>45</v>
      </c>
      <c r="Q351" s="222"/>
      <c r="R351" s="328" t="s">
        <v>6</v>
      </c>
      <c r="S351" s="328" t="s">
        <v>7</v>
      </c>
      <c r="T351" s="329" t="s">
        <v>122</v>
      </c>
    </row>
    <row r="352" spans="2:20" x14ac:dyDescent="0.25">
      <c r="B352" s="186"/>
      <c r="C352" s="22"/>
      <c r="D352" s="22"/>
      <c r="E352" s="23"/>
      <c r="F352" s="223"/>
      <c r="G352" s="23" t="s">
        <v>77</v>
      </c>
      <c r="H352" s="137">
        <v>1</v>
      </c>
      <c r="I352" s="115">
        <f ca="1">J352*Nav</f>
        <v>15360856.213211371</v>
      </c>
      <c r="J352" s="112">
        <f ca="1">SUM(K352:P352)</f>
        <v>5.3240641420444226E-2</v>
      </c>
      <c r="K352" s="224">
        <f t="shared" ref="K352:P352" ca="1" si="84">SUM(K353:K423)</f>
        <v>1.1962892143595734E-2</v>
      </c>
      <c r="L352" s="136">
        <f t="shared" ca="1" si="84"/>
        <v>1.330017777345489E-2</v>
      </c>
      <c r="M352" s="136">
        <f t="shared" ca="1" si="84"/>
        <v>1.2908225912132065E-2</v>
      </c>
      <c r="N352" s="136">
        <f t="shared" ca="1" si="84"/>
        <v>4.8601236051450315E-4</v>
      </c>
      <c r="O352" s="112">
        <f t="shared" ca="1" si="84"/>
        <v>0</v>
      </c>
      <c r="P352" s="112">
        <f t="shared" ca="1" si="84"/>
        <v>1.4583333230747033E-2</v>
      </c>
      <c r="Q352" s="55" t="s">
        <v>33</v>
      </c>
      <c r="R352" s="332">
        <f t="shared" ref="R352:R357" ca="1" si="85">S352*Nav</f>
        <v>3451503.610949486</v>
      </c>
      <c r="S352" s="209">
        <f ca="1">K352</f>
        <v>1.1962892143595734E-2</v>
      </c>
      <c r="T352" s="293">
        <f t="shared" ref="T352:T357" ca="1" si="86">R352/SUM($R$352:$R$357)</f>
        <v>0.22469474116820132</v>
      </c>
    </row>
    <row r="353" spans="2:25" x14ac:dyDescent="0.25">
      <c r="B353" s="186"/>
      <c r="E353" s="2"/>
      <c r="F353" s="142"/>
      <c r="G353" s="2" t="str">
        <f t="array" aca="1" ref="G353:G423" ca="1">OFFSET(extreme_loss,1,0,1000,1)</f>
        <v>BANKOFCHINA V SOV SPREAD</v>
      </c>
      <c r="H353" s="61">
        <f t="shared" ref="H353:H377" ca="1" si="87">IF(NOT(ISTEXT($G353)),"",I353/$I$352)</f>
        <v>8.5999177794300663E-2</v>
      </c>
      <c r="I353" s="225">
        <f t="shared" ref="I353:I377" ca="1" si="88">IF(NOT(ISTEXT($G353)),"",J353*Nav)</f>
        <v>1321021.0045526526</v>
      </c>
      <c r="J353" s="147">
        <f t="shared" ref="J353:J377" ca="1" si="89">IF(NOT(ISTEXT($G353)),"",SUM(K353:P353))</f>
        <v>4.5786513873993908E-3</v>
      </c>
      <c r="K353" s="36">
        <f t="shared" ref="K353:N372" ca="1" si="90">IF(NOT(ISTEXT($G353)),"",IFERROR(INDEX(extreme_loss,MATCH($G353,OFFSET(extreme_loss,0,0,,1),0),MATCH(K$351,OFFSET(extreme_loss,0,0,1),0)),0)/Nav/SQRT(12))</f>
        <v>0</v>
      </c>
      <c r="L353" s="36">
        <f t="shared" ca="1" si="90"/>
        <v>0</v>
      </c>
      <c r="M353" s="36">
        <f t="shared" ca="1" si="90"/>
        <v>4.5786513873993908E-3</v>
      </c>
      <c r="N353" s="36">
        <f t="shared" ca="1" si="90"/>
        <v>0</v>
      </c>
      <c r="O353" s="147">
        <f t="shared" ref="O353:O416" ca="1" si="91">IF(NOT(ISTEXT($G353)),"",IFERROR(INDEX(extreme_loss,MATCH($G353,OFFSET(extreme_loss,0,0,,1),0),MATCH("COMMODITY",OFFSET(extreme_loss,0,0,1),0)),0)/Nav/SQRT(12))</f>
        <v>0</v>
      </c>
      <c r="P353" s="226">
        <f t="shared" ref="P353:P416" ca="1" si="92">IF(NOT(ISTEXT($G353)),"",IFERROR(INDEX(extreme_loss,MATCH($G353,OFFSET(extreme_loss,0,0,,1),0),MATCH(P$351,OFFSET(extreme_loss,0,0,1),0)),0)/Nav/SQRT(12))</f>
        <v>0</v>
      </c>
      <c r="Q353" s="2" t="s">
        <v>34</v>
      </c>
      <c r="R353" s="156">
        <f t="shared" ca="1" si="85"/>
        <v>3837333.903902574</v>
      </c>
      <c r="S353" s="211">
        <f ca="1">L352</f>
        <v>1.330017777345489E-2</v>
      </c>
      <c r="T353" s="38">
        <f t="shared" ca="1" si="86"/>
        <v>0.249812500725201</v>
      </c>
      <c r="X353" s="346" t="str">
        <f>Data!G384</f>
        <v>BASIS</v>
      </c>
      <c r="Y353" s="346" t="str">
        <f>IF(X353="HURDLE RATE","HURDLE",IF(X353="VOL","VOLATILITY",X353))</f>
        <v>BASIS</v>
      </c>
    </row>
    <row r="354" spans="2:25" x14ac:dyDescent="0.25">
      <c r="B354" s="186"/>
      <c r="E354" s="2"/>
      <c r="F354" s="142"/>
      <c r="G354" s="2" t="str">
        <f ca="1"/>
        <v>DISH CDS FLATTENER</v>
      </c>
      <c r="H354" s="61">
        <f t="shared" ca="1" si="87"/>
        <v>8.9331046217724381E-3</v>
      </c>
      <c r="I354" s="225">
        <f t="shared" ca="1" si="88"/>
        <v>137220.13563262037</v>
      </c>
      <c r="J354" s="147">
        <f t="shared" ca="1" si="89"/>
        <v>4.756042199390994E-4</v>
      </c>
      <c r="K354" s="36">
        <f t="shared" ca="1" si="90"/>
        <v>0</v>
      </c>
      <c r="L354" s="36">
        <f t="shared" ca="1" si="90"/>
        <v>0</v>
      </c>
      <c r="M354" s="36">
        <f t="shared" ca="1" si="90"/>
        <v>4.756042199390994E-4</v>
      </c>
      <c r="N354" s="36">
        <f t="shared" ca="1" si="90"/>
        <v>0</v>
      </c>
      <c r="O354" s="147">
        <f t="shared" ca="1" si="91"/>
        <v>0</v>
      </c>
      <c r="P354" s="227">
        <f t="shared" ca="1" si="92"/>
        <v>0</v>
      </c>
      <c r="Q354" s="2" t="s">
        <v>35</v>
      </c>
      <c r="R354" s="156">
        <f t="shared" ca="1" si="85"/>
        <v>3724248.9367862958</v>
      </c>
      <c r="S354" s="211">
        <f ca="1">M352</f>
        <v>1.2908225912132065E-2</v>
      </c>
      <c r="T354" s="38">
        <f t="shared" ca="1" si="86"/>
        <v>0.24245060855287423</v>
      </c>
      <c r="X354" s="411" t="str">
        <f>Data!G385</f>
        <v>TERM STRUCTURE</v>
      </c>
      <c r="Y354" s="411" t="str">
        <f t="shared" ref="Y354:Y417" si="93">IF(X354="HURDLE RATE","HURDLE",IF(X354="VOL","VOLATILITY",X354))</f>
        <v>TERM STRUCTURE</v>
      </c>
    </row>
    <row r="355" spans="2:25" x14ac:dyDescent="0.25">
      <c r="B355" s="186"/>
      <c r="E355" s="2"/>
      <c r="F355" s="142"/>
      <c r="G355" s="2" t="str">
        <f ca="1"/>
        <v>JPY CDS</v>
      </c>
      <c r="H355" s="61">
        <f t="shared" ca="1" si="87"/>
        <v>3.2476674388742799E-3</v>
      </c>
      <c r="I355" s="225">
        <f t="shared" ca="1" si="88"/>
        <v>49886.95255687624</v>
      </c>
      <c r="J355" s="147">
        <f t="shared" ca="1" si="89"/>
        <v>1.72907897565958E-4</v>
      </c>
      <c r="K355" s="36">
        <f t="shared" ca="1" si="90"/>
        <v>0</v>
      </c>
      <c r="L355" s="36">
        <f t="shared" ca="1" si="90"/>
        <v>0</v>
      </c>
      <c r="M355" s="36">
        <f t="shared" ca="1" si="90"/>
        <v>1.72907897565958E-4</v>
      </c>
      <c r="N355" s="36">
        <f t="shared" ca="1" si="90"/>
        <v>0</v>
      </c>
      <c r="O355" s="147">
        <f t="shared" ca="1" si="91"/>
        <v>0</v>
      </c>
      <c r="P355" s="227">
        <f t="shared" ca="1" si="92"/>
        <v>0</v>
      </c>
      <c r="Q355" s="2" t="s">
        <v>36</v>
      </c>
      <c r="R355" s="156">
        <f t="shared" ca="1" si="85"/>
        <v>140223.06622399139</v>
      </c>
      <c r="S355" s="211">
        <f ca="1">N352</f>
        <v>4.8601236051450315E-4</v>
      </c>
      <c r="T355" s="38">
        <f t="shared" ca="1" si="86"/>
        <v>9.1285970181395303E-3</v>
      </c>
      <c r="X355" s="411" t="str">
        <f>Data!G386</f>
        <v>DIRECTIONAL</v>
      </c>
      <c r="Y355" s="411" t="str">
        <f t="shared" si="93"/>
        <v>DIRECTIONAL</v>
      </c>
    </row>
    <row r="356" spans="2:25" x14ac:dyDescent="0.25">
      <c r="B356" s="186"/>
      <c r="E356" s="2"/>
      <c r="F356" s="142"/>
      <c r="G356" s="2" t="str">
        <f ca="1"/>
        <v>US CREDIT BASKET</v>
      </c>
      <c r="H356" s="61">
        <f t="shared" ca="1" si="87"/>
        <v>1.194637864534816E-3</v>
      </c>
      <c r="I356" s="225">
        <f t="shared" ca="1" si="88"/>
        <v>18350.660463977194</v>
      </c>
      <c r="J356" s="147">
        <f t="shared" ca="1" si="89"/>
        <v>6.3603286172983376E-5</v>
      </c>
      <c r="K356" s="36">
        <f t="shared" ca="1" si="90"/>
        <v>0</v>
      </c>
      <c r="L356" s="36">
        <f t="shared" ca="1" si="90"/>
        <v>0</v>
      </c>
      <c r="M356" s="36">
        <f t="shared" ca="1" si="90"/>
        <v>6.3603286172983376E-5</v>
      </c>
      <c r="N356" s="36">
        <f t="shared" ca="1" si="90"/>
        <v>0</v>
      </c>
      <c r="O356" s="147">
        <f t="shared" ca="1" si="91"/>
        <v>0</v>
      </c>
      <c r="P356" s="227">
        <f t="shared" ca="1" si="92"/>
        <v>0</v>
      </c>
      <c r="Q356" s="2" t="s">
        <v>123</v>
      </c>
      <c r="R356" s="156">
        <f t="shared" ca="1" si="85"/>
        <v>0</v>
      </c>
      <c r="S356" s="211">
        <f ca="1">O352</f>
        <v>0</v>
      </c>
      <c r="T356" s="38">
        <f t="shared" ca="1" si="86"/>
        <v>0</v>
      </c>
      <c r="X356" s="411" t="str">
        <f>Data!G387</f>
        <v>DIRECTIONAL</v>
      </c>
      <c r="Y356" s="411" t="str">
        <f t="shared" si="93"/>
        <v>DIRECTIONAL</v>
      </c>
    </row>
    <row r="357" spans="2:25" x14ac:dyDescent="0.25">
      <c r="B357" s="186"/>
      <c r="E357" s="2"/>
      <c r="F357" s="142"/>
      <c r="G357" s="2" t="str">
        <f ca="1"/>
        <v>US CREDIT DISPERSION</v>
      </c>
      <c r="H357" s="61">
        <f t="shared" ca="1" si="87"/>
        <v>0.14307602083339202</v>
      </c>
      <c r="I357" s="225">
        <f t="shared" ca="1" si="88"/>
        <v>2197770.1835801695</v>
      </c>
      <c r="J357" s="147">
        <f t="shared" ca="1" si="89"/>
        <v>7.6174591210546334E-3</v>
      </c>
      <c r="K357" s="36">
        <f t="shared" ca="1" si="90"/>
        <v>0</v>
      </c>
      <c r="L357" s="36">
        <f t="shared" ca="1" si="90"/>
        <v>0</v>
      </c>
      <c r="M357" s="36">
        <f t="shared" ca="1" si="90"/>
        <v>7.6174591210546334E-3</v>
      </c>
      <c r="N357" s="36">
        <f t="shared" ca="1" si="90"/>
        <v>0</v>
      </c>
      <c r="O357" s="147">
        <f t="shared" ca="1" si="91"/>
        <v>0</v>
      </c>
      <c r="P357" s="227">
        <f t="shared" ca="1" si="92"/>
        <v>0</v>
      </c>
      <c r="Q357" s="2" t="s">
        <v>45</v>
      </c>
      <c r="R357" s="333">
        <f t="shared" ca="1" si="85"/>
        <v>4207546.6953490227</v>
      </c>
      <c r="S357" s="228">
        <f ca="1">P352</f>
        <v>1.4583333230747033E-2</v>
      </c>
      <c r="T357" s="35">
        <f t="shared" ca="1" si="86"/>
        <v>0.27391355253558386</v>
      </c>
      <c r="X357" s="411" t="str">
        <f>Data!G388</f>
        <v>DIRECTIONAL</v>
      </c>
      <c r="Y357" s="411" t="str">
        <f t="shared" si="93"/>
        <v>DIRECTIONAL</v>
      </c>
    </row>
    <row r="358" spans="2:25" x14ac:dyDescent="0.25">
      <c r="B358" s="186"/>
      <c r="E358" s="2"/>
      <c r="F358" s="142"/>
      <c r="G358" s="2" t="str">
        <f ca="1"/>
        <v>GREEK BANKS BASKET</v>
      </c>
      <c r="H358" s="61">
        <f t="shared" ca="1" si="87"/>
        <v>8.0442720524489929E-3</v>
      </c>
      <c r="I358" s="225">
        <f t="shared" ca="1" si="88"/>
        <v>123566.9063376237</v>
      </c>
      <c r="J358" s="147">
        <f t="shared" ca="1" si="89"/>
        <v>4.2828220383293777E-4</v>
      </c>
      <c r="K358" s="36">
        <f t="shared" ca="1" si="90"/>
        <v>0</v>
      </c>
      <c r="L358" s="36">
        <f t="shared" ca="1" si="90"/>
        <v>0</v>
      </c>
      <c r="M358" s="36">
        <f t="shared" ca="1" si="90"/>
        <v>0</v>
      </c>
      <c r="N358" s="36">
        <f t="shared" ca="1" si="90"/>
        <v>4.2828220383293777E-4</v>
      </c>
      <c r="O358" s="147">
        <f t="shared" ca="1" si="91"/>
        <v>0</v>
      </c>
      <c r="P358" s="227">
        <f t="shared" ca="1" si="92"/>
        <v>0</v>
      </c>
      <c r="R358" s="156">
        <f ca="1">SUM(R352:R357)</f>
        <v>15360856.213211371</v>
      </c>
      <c r="S358" s="330">
        <f ca="1">SUM(S352:S357)</f>
        <v>5.3240641420444226E-2</v>
      </c>
      <c r="T358" s="331">
        <v>1</v>
      </c>
      <c r="X358" s="411" t="str">
        <f>Data!G389</f>
        <v>DIRECTIONAL</v>
      </c>
      <c r="Y358" s="411" t="str">
        <f t="shared" si="93"/>
        <v>DIRECTIONAL</v>
      </c>
    </row>
    <row r="359" spans="2:25" x14ac:dyDescent="0.25">
      <c r="B359" s="186"/>
      <c r="E359" s="2"/>
      <c r="F359" s="142"/>
      <c r="G359" s="2" t="str">
        <f ca="1"/>
        <v>LONG DISH CALLS</v>
      </c>
      <c r="H359" s="61">
        <f t="shared" ca="1" si="87"/>
        <v>1.1694660603977108E-3</v>
      </c>
      <c r="I359" s="225">
        <f t="shared" ca="1" si="88"/>
        <v>17964</v>
      </c>
      <c r="J359" s="147">
        <f t="shared" ca="1" si="89"/>
        <v>6.226312317501409E-5</v>
      </c>
      <c r="K359" s="36">
        <f t="shared" ca="1" si="90"/>
        <v>0</v>
      </c>
      <c r="L359" s="36">
        <f t="shared" ca="1" si="90"/>
        <v>0</v>
      </c>
      <c r="M359" s="36">
        <f t="shared" ca="1" si="90"/>
        <v>0</v>
      </c>
      <c r="N359" s="36">
        <f t="shared" ca="1" si="90"/>
        <v>5.7730156681565364E-5</v>
      </c>
      <c r="O359" s="147">
        <f t="shared" ca="1" si="91"/>
        <v>0</v>
      </c>
      <c r="P359" s="227">
        <f t="shared" ca="1" si="92"/>
        <v>4.532966493448725E-6</v>
      </c>
      <c r="X359" s="411" t="str">
        <f>Data!G390</f>
        <v>DIRECTIONAL</v>
      </c>
      <c r="Y359" s="411" t="str">
        <f t="shared" si="93"/>
        <v>DIRECTIONAL</v>
      </c>
    </row>
    <row r="360" spans="2:25" x14ac:dyDescent="0.25">
      <c r="B360" s="186"/>
      <c r="E360" s="2"/>
      <c r="F360" s="142"/>
      <c r="G360" s="2" t="str">
        <f ca="1"/>
        <v>AUDCAD KI CALL SPREAD</v>
      </c>
      <c r="H360" s="61">
        <f t="shared" ca="1" si="87"/>
        <v>-2.094890633971027E-3</v>
      </c>
      <c r="I360" s="225">
        <f t="shared" ca="1" si="88"/>
        <v>-32179.313810832158</v>
      </c>
      <c r="J360" s="147">
        <f t="shared" ca="1" si="89"/>
        <v>-1.1153332105829852E-4</v>
      </c>
      <c r="K360" s="36">
        <f t="shared" ca="1" si="90"/>
        <v>-1.7475052450824252E-4</v>
      </c>
      <c r="L360" s="36">
        <f t="shared" ca="1" si="90"/>
        <v>0</v>
      </c>
      <c r="M360" s="36">
        <f t="shared" ca="1" si="90"/>
        <v>0</v>
      </c>
      <c r="N360" s="36">
        <f t="shared" ca="1" si="90"/>
        <v>0</v>
      </c>
      <c r="O360" s="147">
        <f t="shared" ca="1" si="91"/>
        <v>0</v>
      </c>
      <c r="P360" s="227">
        <f t="shared" ca="1" si="92"/>
        <v>6.3217203449944E-5</v>
      </c>
      <c r="X360" s="411" t="str">
        <f>Data!G391</f>
        <v>DIRECTIONAL</v>
      </c>
      <c r="Y360" s="411" t="str">
        <f t="shared" si="93"/>
        <v>DIRECTIONAL</v>
      </c>
    </row>
    <row r="361" spans="2:25" x14ac:dyDescent="0.25">
      <c r="B361" s="186"/>
      <c r="E361" s="2"/>
      <c r="F361" s="142"/>
      <c r="G361" s="2" t="str">
        <f ca="1"/>
        <v>AUDJPY OT CALENDAR SPREAD</v>
      </c>
      <c r="H361" s="61">
        <f t="shared" ca="1" si="87"/>
        <v>2.9190186613297893E-3</v>
      </c>
      <c r="I361" s="225">
        <f t="shared" ca="1" si="88"/>
        <v>44838.62594036763</v>
      </c>
      <c r="J361" s="147">
        <f t="shared" ca="1" si="89"/>
        <v>1.5541042584744444E-4</v>
      </c>
      <c r="K361" s="36">
        <f t="shared" ca="1" si="90"/>
        <v>2.4109616282603856E-4</v>
      </c>
      <c r="L361" s="36">
        <f t="shared" ca="1" si="90"/>
        <v>0</v>
      </c>
      <c r="M361" s="36">
        <f t="shared" ca="1" si="90"/>
        <v>0</v>
      </c>
      <c r="N361" s="36">
        <f t="shared" ca="1" si="90"/>
        <v>0</v>
      </c>
      <c r="O361" s="147">
        <f t="shared" ca="1" si="91"/>
        <v>0</v>
      </c>
      <c r="P361" s="227">
        <f t="shared" ca="1" si="92"/>
        <v>-8.5685736978594122E-5</v>
      </c>
      <c r="X361" s="411" t="str">
        <f>Data!G392</f>
        <v>CARRY</v>
      </c>
      <c r="Y361" s="411" t="str">
        <f t="shared" si="93"/>
        <v>CARRY</v>
      </c>
    </row>
    <row r="362" spans="2:25" x14ac:dyDescent="0.25">
      <c r="B362" s="186"/>
      <c r="E362" s="2"/>
      <c r="F362" s="142"/>
      <c r="G362" s="2" t="str">
        <f ca="1"/>
        <v>CNHTWD CALL SPREAD</v>
      </c>
      <c r="H362" s="61">
        <f t="shared" ca="1" si="87"/>
        <v>1.0198728340448502E-2</v>
      </c>
      <c r="I362" s="225">
        <f t="shared" ca="1" si="88"/>
        <v>156661.19959523325</v>
      </c>
      <c r="J362" s="147">
        <f t="shared" ca="1" si="89"/>
        <v>5.4298683851834088E-4</v>
      </c>
      <c r="K362" s="36">
        <f t="shared" ca="1" si="90"/>
        <v>5.4298683851834088E-4</v>
      </c>
      <c r="L362" s="36">
        <f t="shared" ca="1" si="90"/>
        <v>0</v>
      </c>
      <c r="M362" s="36">
        <f t="shared" ca="1" si="90"/>
        <v>0</v>
      </c>
      <c r="N362" s="36">
        <f t="shared" ca="1" si="90"/>
        <v>0</v>
      </c>
      <c r="O362" s="147">
        <f t="shared" ca="1" si="91"/>
        <v>0</v>
      </c>
      <c r="P362" s="227">
        <f t="shared" ca="1" si="92"/>
        <v>0</v>
      </c>
      <c r="X362" s="411" t="str">
        <f>Data!G393</f>
        <v>CARRY</v>
      </c>
      <c r="Y362" s="411" t="str">
        <f t="shared" si="93"/>
        <v>CARRY</v>
      </c>
    </row>
    <row r="363" spans="2:25" x14ac:dyDescent="0.25">
      <c r="B363" s="186"/>
      <c r="E363" s="2"/>
      <c r="F363" s="142"/>
      <c r="G363" s="2" t="str">
        <f ca="1"/>
        <v>EURCAD PUT SPREAD</v>
      </c>
      <c r="H363" s="61">
        <f t="shared" ca="1" si="87"/>
        <v>2.4055088359990366E-2</v>
      </c>
      <c r="I363" s="225">
        <f t="shared" ca="1" si="88"/>
        <v>369506.75349390652</v>
      </c>
      <c r="J363" s="147">
        <f t="shared" ca="1" si="89"/>
        <v>1.2807083337113489E-3</v>
      </c>
      <c r="K363" s="36">
        <f t="shared" ca="1" si="90"/>
        <v>1.3597496368012801E-3</v>
      </c>
      <c r="L363" s="36">
        <f t="shared" ca="1" si="90"/>
        <v>0</v>
      </c>
      <c r="M363" s="36">
        <f t="shared" ca="1" si="90"/>
        <v>0</v>
      </c>
      <c r="N363" s="36">
        <f t="shared" ca="1" si="90"/>
        <v>0</v>
      </c>
      <c r="O363" s="147">
        <f t="shared" ca="1" si="91"/>
        <v>0</v>
      </c>
      <c r="P363" s="227">
        <f t="shared" ca="1" si="92"/>
        <v>-7.9041303089931182E-5</v>
      </c>
      <c r="X363" s="411" t="str">
        <f>Data!G394</f>
        <v>CARRY</v>
      </c>
      <c r="Y363" s="411" t="str">
        <f t="shared" si="93"/>
        <v>CARRY</v>
      </c>
    </row>
    <row r="364" spans="2:25" x14ac:dyDescent="0.25">
      <c r="B364" s="186"/>
      <c r="E364" s="2"/>
      <c r="F364" s="142"/>
      <c r="G364" s="2" t="str">
        <f ca="1"/>
        <v>EURHUF OT SPREAD</v>
      </c>
      <c r="H364" s="61">
        <f t="shared" ca="1" si="87"/>
        <v>2.4302065966151896E-2</v>
      </c>
      <c r="I364" s="225">
        <f t="shared" ca="1" si="88"/>
        <v>373300.54099003691</v>
      </c>
      <c r="J364" s="147">
        <f t="shared" ca="1" si="89"/>
        <v>1.2938575798798744E-3</v>
      </c>
      <c r="K364" s="36">
        <f t="shared" ca="1" si="90"/>
        <v>1.1998362831332186E-3</v>
      </c>
      <c r="L364" s="36">
        <f t="shared" ca="1" si="90"/>
        <v>0</v>
      </c>
      <c r="M364" s="36">
        <f t="shared" ca="1" si="90"/>
        <v>0</v>
      </c>
      <c r="N364" s="36">
        <f t="shared" ca="1" si="90"/>
        <v>0</v>
      </c>
      <c r="O364" s="147">
        <f t="shared" ca="1" si="91"/>
        <v>0</v>
      </c>
      <c r="P364" s="227">
        <f t="shared" ca="1" si="92"/>
        <v>9.4021296746655826E-5</v>
      </c>
      <c r="X364" s="411" t="str">
        <f>Data!G395</f>
        <v>CARRY</v>
      </c>
      <c r="Y364" s="411" t="str">
        <f t="shared" si="93"/>
        <v>CARRY</v>
      </c>
    </row>
    <row r="365" spans="2:25" x14ac:dyDescent="0.25">
      <c r="B365" s="186"/>
      <c r="E365" s="2"/>
      <c r="F365" s="142"/>
      <c r="G365" s="2" t="str">
        <f ca="1"/>
        <v>EURNOK 5M KI SPREAD</v>
      </c>
      <c r="H365" s="61">
        <f t="shared" ca="1" si="87"/>
        <v>1.0578545719779701E-2</v>
      </c>
      <c r="I365" s="225">
        <f t="shared" ca="1" si="88"/>
        <v>162495.51974641858</v>
      </c>
      <c r="J365" s="147">
        <f t="shared" ca="1" si="89"/>
        <v>5.6320855941656618E-4</v>
      </c>
      <c r="K365" s="36">
        <f t="shared" ca="1" si="90"/>
        <v>5.8414605631302533E-4</v>
      </c>
      <c r="L365" s="36">
        <f t="shared" ca="1" si="90"/>
        <v>0</v>
      </c>
      <c r="M365" s="36">
        <f t="shared" ca="1" si="90"/>
        <v>0</v>
      </c>
      <c r="N365" s="36">
        <f t="shared" ca="1" si="90"/>
        <v>0</v>
      </c>
      <c r="O365" s="147">
        <f t="shared" ca="1" si="91"/>
        <v>0</v>
      </c>
      <c r="P365" s="227">
        <f t="shared" ca="1" si="92"/>
        <v>-2.0937496896459142E-5</v>
      </c>
      <c r="X365" s="411" t="str">
        <f>Data!G396</f>
        <v>CARRY</v>
      </c>
      <c r="Y365" s="411" t="str">
        <f t="shared" si="93"/>
        <v>CARRY</v>
      </c>
    </row>
    <row r="366" spans="2:25" x14ac:dyDescent="0.25">
      <c r="B366" s="186"/>
      <c r="E366" s="2"/>
      <c r="F366" s="142"/>
      <c r="G366" s="2" t="str">
        <f ca="1"/>
        <v>EURTRY 5.061/4.44 NOV18 PS</v>
      </c>
      <c r="H366" s="61">
        <f t="shared" ca="1" si="87"/>
        <v>1.8485247111905415E-18</v>
      </c>
      <c r="I366" s="225">
        <f t="shared" ca="1" si="88"/>
        <v>2.8394922295165985E-11</v>
      </c>
      <c r="J366" s="147">
        <f t="shared" ca="1" si="89"/>
        <v>9.8416641305325851E-20</v>
      </c>
      <c r="K366" s="36">
        <f t="shared" ca="1" si="90"/>
        <v>9.8416641305325851E-20</v>
      </c>
      <c r="L366" s="36">
        <f t="shared" ca="1" si="90"/>
        <v>0</v>
      </c>
      <c r="M366" s="36">
        <f t="shared" ca="1" si="90"/>
        <v>0</v>
      </c>
      <c r="N366" s="36">
        <f t="shared" ca="1" si="90"/>
        <v>0</v>
      </c>
      <c r="O366" s="147">
        <f t="shared" ca="1" si="91"/>
        <v>0</v>
      </c>
      <c r="P366" s="227">
        <f t="shared" ca="1" si="92"/>
        <v>0</v>
      </c>
      <c r="X366" s="411" t="str">
        <f>Data!G397</f>
        <v>CARRY</v>
      </c>
      <c r="Y366" s="411" t="str">
        <f t="shared" si="93"/>
        <v>CARRY</v>
      </c>
    </row>
    <row r="367" spans="2:25" x14ac:dyDescent="0.25">
      <c r="B367" s="186"/>
      <c r="E367" s="2"/>
      <c r="F367" s="142"/>
      <c r="G367" s="2" t="str">
        <f ca="1"/>
        <v>EURUSD/EURBRL DUAL BINARY</v>
      </c>
      <c r="H367" s="61">
        <f t="shared" ca="1" si="87"/>
        <v>9.9242140403220016E-3</v>
      </c>
      <c r="I367" s="225">
        <f t="shared" ca="1" si="88"/>
        <v>152444.42490251974</v>
      </c>
      <c r="J367" s="147">
        <f t="shared" ca="1" si="89"/>
        <v>5.283715211005217E-4</v>
      </c>
      <c r="K367" s="36">
        <f t="shared" ca="1" si="90"/>
        <v>5.7891535863191111E-4</v>
      </c>
      <c r="L367" s="36">
        <f t="shared" ca="1" si="90"/>
        <v>0</v>
      </c>
      <c r="M367" s="36">
        <f t="shared" ca="1" si="90"/>
        <v>0</v>
      </c>
      <c r="N367" s="36">
        <f t="shared" ca="1" si="90"/>
        <v>0</v>
      </c>
      <c r="O367" s="147">
        <f t="shared" ca="1" si="91"/>
        <v>0</v>
      </c>
      <c r="P367" s="227">
        <f t="shared" ca="1" si="92"/>
        <v>-5.054383753138943E-5</v>
      </c>
      <c r="X367" s="411" t="str">
        <f>Data!G398</f>
        <v>DIRECTIONAL</v>
      </c>
      <c r="Y367" s="411" t="str">
        <f t="shared" si="93"/>
        <v>DIRECTIONAL</v>
      </c>
    </row>
    <row r="368" spans="2:25" x14ac:dyDescent="0.25">
      <c r="B368" s="186"/>
      <c r="E368" s="2"/>
      <c r="F368" s="142"/>
      <c r="G368" s="2" t="str">
        <f ca="1"/>
        <v>GBPINR KI SPREAD</v>
      </c>
      <c r="H368" s="61">
        <f t="shared" ca="1" si="87"/>
        <v>1.1212886531812543E-4</v>
      </c>
      <c r="I368" s="225">
        <f t="shared" ca="1" si="88"/>
        <v>1722.395377502268</v>
      </c>
      <c r="J368" s="147">
        <f t="shared" ca="1" si="89"/>
        <v>5.9698127112836011E-6</v>
      </c>
      <c r="K368" s="36">
        <f t="shared" ca="1" si="90"/>
        <v>1.6544999885328834E-5</v>
      </c>
      <c r="L368" s="36">
        <f t="shared" ca="1" si="90"/>
        <v>0</v>
      </c>
      <c r="M368" s="36">
        <f t="shared" ca="1" si="90"/>
        <v>0</v>
      </c>
      <c r="N368" s="36">
        <f t="shared" ca="1" si="90"/>
        <v>0</v>
      </c>
      <c r="O368" s="147">
        <f t="shared" ca="1" si="91"/>
        <v>0</v>
      </c>
      <c r="P368" s="227">
        <f t="shared" ca="1" si="92"/>
        <v>-1.0575187174045233E-5</v>
      </c>
      <c r="X368" s="411" t="str">
        <f>Data!G399</f>
        <v>CARRY</v>
      </c>
      <c r="Y368" s="411" t="str">
        <f t="shared" si="93"/>
        <v>CARRY</v>
      </c>
    </row>
    <row r="369" spans="2:25" x14ac:dyDescent="0.25">
      <c r="B369" s="186"/>
      <c r="E369" s="2"/>
      <c r="F369" s="142"/>
      <c r="G369" s="2" t="str">
        <f ca="1"/>
        <v>NOKSEK OT CALENDAR SPREAD</v>
      </c>
      <c r="H369" s="61">
        <f t="shared" ca="1" si="87"/>
        <v>4.9846518880576453E-3</v>
      </c>
      <c r="I369" s="225">
        <f t="shared" ca="1" si="88"/>
        <v>76568.520925366072</v>
      </c>
      <c r="J369" s="147">
        <f t="shared" ca="1" si="89"/>
        <v>2.6538606377781739E-4</v>
      </c>
      <c r="K369" s="36">
        <f t="shared" ca="1" si="90"/>
        <v>2.5567911070719008E-4</v>
      </c>
      <c r="L369" s="36">
        <f t="shared" ca="1" si="90"/>
        <v>0</v>
      </c>
      <c r="M369" s="36">
        <f t="shared" ca="1" si="90"/>
        <v>0</v>
      </c>
      <c r="N369" s="36">
        <f t="shared" ca="1" si="90"/>
        <v>0</v>
      </c>
      <c r="O369" s="147">
        <f t="shared" ca="1" si="91"/>
        <v>0</v>
      </c>
      <c r="P369" s="227">
        <f t="shared" ca="1" si="92"/>
        <v>9.7069530706272895E-6</v>
      </c>
      <c r="X369" s="411" t="str">
        <f>Data!G400</f>
        <v>CARRY</v>
      </c>
      <c r="Y369" s="411" t="str">
        <f t="shared" si="93"/>
        <v>CARRY</v>
      </c>
    </row>
    <row r="370" spans="2:25" x14ac:dyDescent="0.25">
      <c r="B370" s="186"/>
      <c r="E370" s="2"/>
      <c r="F370" s="142"/>
      <c r="G370" s="2" t="str">
        <f ca="1"/>
        <v>USDIDR PUT SPREAD</v>
      </c>
      <c r="H370" s="61">
        <f t="shared" ca="1" si="87"/>
        <v>-5.3956934428006321E-6</v>
      </c>
      <c r="I370" s="225">
        <f t="shared" ca="1" si="88"/>
        <v>-82.882471145427942</v>
      </c>
      <c r="J370" s="147">
        <f t="shared" ca="1" si="89"/>
        <v>-2.8727017980279063E-7</v>
      </c>
      <c r="K370" s="36">
        <f t="shared" ca="1" si="90"/>
        <v>-1.5135956153420278E-6</v>
      </c>
      <c r="L370" s="36">
        <f t="shared" ca="1" si="90"/>
        <v>0</v>
      </c>
      <c r="M370" s="36">
        <f t="shared" ca="1" si="90"/>
        <v>0</v>
      </c>
      <c r="N370" s="36">
        <f t="shared" ca="1" si="90"/>
        <v>0</v>
      </c>
      <c r="O370" s="147">
        <f t="shared" ca="1" si="91"/>
        <v>0</v>
      </c>
      <c r="P370" s="227">
        <f t="shared" ca="1" si="92"/>
        <v>1.2263254355392371E-6</v>
      </c>
      <c r="X370" s="411" t="str">
        <f>Data!G401</f>
        <v>CARRY</v>
      </c>
      <c r="Y370" s="411" t="str">
        <f t="shared" si="93"/>
        <v>CARRY</v>
      </c>
    </row>
    <row r="371" spans="2:25" x14ac:dyDescent="0.25">
      <c r="B371" s="186"/>
      <c r="E371" s="2"/>
      <c r="F371" s="142"/>
      <c r="G371" s="2" t="str">
        <f ca="1"/>
        <v>USDJPY 5Y ATMS CALL</v>
      </c>
      <c r="H371" s="61">
        <f t="shared" ca="1" si="87"/>
        <v>0.14666619014968038</v>
      </c>
      <c r="I371" s="225">
        <f t="shared" ca="1" si="88"/>
        <v>2252918.2582287584</v>
      </c>
      <c r="J371" s="147">
        <f t="shared" ca="1" si="89"/>
        <v>7.808602038261823E-3</v>
      </c>
      <c r="K371" s="36">
        <f t="shared" ca="1" si="90"/>
        <v>3.0339708077299103E-3</v>
      </c>
      <c r="L371" s="36">
        <f t="shared" ca="1" si="90"/>
        <v>0</v>
      </c>
      <c r="M371" s="36">
        <f t="shared" ca="1" si="90"/>
        <v>0</v>
      </c>
      <c r="N371" s="36">
        <f t="shared" ca="1" si="90"/>
        <v>0</v>
      </c>
      <c r="O371" s="147">
        <f t="shared" ca="1" si="91"/>
        <v>0</v>
      </c>
      <c r="P371" s="227">
        <f t="shared" ca="1" si="92"/>
        <v>4.7746312305319127E-3</v>
      </c>
      <c r="X371" s="411" t="str">
        <f>Data!G402</f>
        <v>VOL</v>
      </c>
      <c r="Y371" s="411" t="str">
        <f t="shared" si="93"/>
        <v>VOLATILITY</v>
      </c>
    </row>
    <row r="372" spans="2:25" x14ac:dyDescent="0.25">
      <c r="B372" s="186"/>
      <c r="E372" s="2"/>
      <c r="F372" s="142"/>
      <c r="G372" s="2" t="str">
        <f ca="1"/>
        <v>USDKRW OT VS DIGI</v>
      </c>
      <c r="H372" s="61">
        <f t="shared" ca="1" si="87"/>
        <v>1.8742875642268817E-3</v>
      </c>
      <c r="I372" s="225">
        <f t="shared" ca="1" si="88"/>
        <v>28790.661776299301</v>
      </c>
      <c r="J372" s="147">
        <f t="shared" ca="1" si="89"/>
        <v>9.9788272125801237E-5</v>
      </c>
      <c r="K372" s="36">
        <f t="shared" ca="1" si="90"/>
        <v>6.4271701132081763E-5</v>
      </c>
      <c r="L372" s="36">
        <f t="shared" ca="1" si="90"/>
        <v>0</v>
      </c>
      <c r="M372" s="36">
        <f t="shared" ca="1" si="90"/>
        <v>0</v>
      </c>
      <c r="N372" s="36">
        <f t="shared" ca="1" si="90"/>
        <v>0</v>
      </c>
      <c r="O372" s="147">
        <f t="shared" ca="1" si="91"/>
        <v>0</v>
      </c>
      <c r="P372" s="227">
        <f t="shared" ca="1" si="92"/>
        <v>3.5516570993719473E-5</v>
      </c>
      <c r="X372" s="411" t="str">
        <f>Data!G403</f>
        <v>DIRECTIONAL</v>
      </c>
      <c r="Y372" s="411" t="str">
        <f t="shared" si="93"/>
        <v>DIRECTIONAL</v>
      </c>
    </row>
    <row r="373" spans="2:25" x14ac:dyDescent="0.25">
      <c r="B373" s="186"/>
      <c r="E373" s="2"/>
      <c r="F373" s="142"/>
      <c r="G373" s="2" t="str">
        <f ca="1"/>
        <v>USDMXN KI PUT SPREAD</v>
      </c>
      <c r="H373" s="61">
        <f t="shared" ca="1" si="87"/>
        <v>-5.4198548420294427E-4</v>
      </c>
      <c r="I373" s="225">
        <f t="shared" ca="1" si="88"/>
        <v>-8325.3610924891691</v>
      </c>
      <c r="J373" s="147">
        <f t="shared" ca="1" si="89"/>
        <v>-2.8855654819534791E-5</v>
      </c>
      <c r="K373" s="36">
        <f t="shared" ref="K373:N388" ca="1" si="94">IF(NOT(ISTEXT($G373)),"",IFERROR(INDEX(extreme_loss,MATCH($G373,OFFSET(extreme_loss,0,0,,1),0),MATCH(K$351,OFFSET(extreme_loss,0,0,1),0)),0)/Nav/SQRT(12))</f>
        <v>-8.3898636087798172E-5</v>
      </c>
      <c r="L373" s="36">
        <f t="shared" ca="1" si="94"/>
        <v>0</v>
      </c>
      <c r="M373" s="36">
        <f t="shared" ca="1" si="94"/>
        <v>0</v>
      </c>
      <c r="N373" s="36">
        <f t="shared" ca="1" si="94"/>
        <v>0</v>
      </c>
      <c r="O373" s="147">
        <f t="shared" ca="1" si="91"/>
        <v>0</v>
      </c>
      <c r="P373" s="227">
        <f t="shared" ca="1" si="92"/>
        <v>5.5042981268263381E-5</v>
      </c>
      <c r="X373" s="411" t="str">
        <f>Data!G404</f>
        <v>DIRECTIONAL</v>
      </c>
      <c r="Y373" s="411" t="str">
        <f t="shared" si="93"/>
        <v>DIRECTIONAL</v>
      </c>
    </row>
    <row r="374" spans="2:25" x14ac:dyDescent="0.25">
      <c r="B374" s="186"/>
      <c r="E374" s="2"/>
      <c r="F374" s="142"/>
      <c r="G374" s="2" t="str">
        <f ca="1"/>
        <v>USDRUB OCT18 ONE TOUCH</v>
      </c>
      <c r="H374" s="61">
        <f t="shared" ca="1" si="87"/>
        <v>6.989762993080626E-5</v>
      </c>
      <c r="I374" s="225">
        <f t="shared" ca="1" si="88"/>
        <v>1073.6874430113744</v>
      </c>
      <c r="J374" s="147">
        <f t="shared" ca="1" si="89"/>
        <v>3.7213946512849658E-6</v>
      </c>
      <c r="K374" s="36">
        <f t="shared" ca="1" si="94"/>
        <v>-2.5374684452928388E-6</v>
      </c>
      <c r="L374" s="36">
        <f t="shared" ca="1" si="94"/>
        <v>0</v>
      </c>
      <c r="M374" s="36">
        <f t="shared" ca="1" si="94"/>
        <v>0</v>
      </c>
      <c r="N374" s="36">
        <f t="shared" ca="1" si="94"/>
        <v>0</v>
      </c>
      <c r="O374" s="147">
        <f t="shared" ca="1" si="91"/>
        <v>0</v>
      </c>
      <c r="P374" s="227">
        <f t="shared" ca="1" si="92"/>
        <v>6.2588630965778047E-6</v>
      </c>
      <c r="X374" s="411" t="str">
        <f>Data!G405</f>
        <v>DIRECTIONAL</v>
      </c>
      <c r="Y374" s="411" t="str">
        <f t="shared" si="93"/>
        <v>DIRECTIONAL</v>
      </c>
    </row>
    <row r="375" spans="2:25" x14ac:dyDescent="0.25">
      <c r="B375" s="186"/>
      <c r="E375" s="2"/>
      <c r="F375" s="142"/>
      <c r="G375" s="2" t="str">
        <f ca="1"/>
        <v>USDSEK CALENDAR SPREAD</v>
      </c>
      <c r="H375" s="61">
        <f t="shared" ca="1" si="87"/>
        <v>-3.3071760421315229E-3</v>
      </c>
      <c r="I375" s="225">
        <f t="shared" ca="1" si="88"/>
        <v>-50801.05565495979</v>
      </c>
      <c r="J375" s="147">
        <f t="shared" ca="1" si="89"/>
        <v>-1.7607617377340834E-4</v>
      </c>
      <c r="K375" s="36">
        <f t="shared" ca="1" si="94"/>
        <v>-3.0734255426776298E-4</v>
      </c>
      <c r="L375" s="36">
        <f t="shared" ca="1" si="94"/>
        <v>0</v>
      </c>
      <c r="M375" s="36">
        <f t="shared" ca="1" si="94"/>
        <v>0</v>
      </c>
      <c r="N375" s="36">
        <f t="shared" ca="1" si="94"/>
        <v>0</v>
      </c>
      <c r="O375" s="147">
        <f t="shared" ca="1" si="91"/>
        <v>0</v>
      </c>
      <c r="P375" s="227">
        <f t="shared" ca="1" si="92"/>
        <v>1.3126638049435464E-4</v>
      </c>
      <c r="X375" s="411" t="str">
        <f>Data!G406</f>
        <v>DIRECTIONAL</v>
      </c>
      <c r="Y375" s="411" t="str">
        <f t="shared" si="93"/>
        <v>DIRECTIONAL</v>
      </c>
    </row>
    <row r="376" spans="2:25" x14ac:dyDescent="0.25">
      <c r="B376" s="186"/>
      <c r="E376" s="2"/>
      <c r="F376" s="142"/>
      <c r="G376" s="2" t="str">
        <f ca="1"/>
        <v>USDTRY CALENDAR SPREAD</v>
      </c>
      <c r="H376" s="61">
        <f t="shared" ca="1" si="87"/>
        <v>-4.4778381135188992E-5</v>
      </c>
      <c r="I376" s="225">
        <f t="shared" ca="1" si="88"/>
        <v>-687.83427407801469</v>
      </c>
      <c r="J376" s="147">
        <f t="shared" ca="1" si="89"/>
        <v>-2.3840297334065815E-6</v>
      </c>
      <c r="K376" s="36">
        <f t="shared" ca="1" si="94"/>
        <v>-4.028387225883125E-6</v>
      </c>
      <c r="L376" s="36">
        <f t="shared" ca="1" si="94"/>
        <v>0</v>
      </c>
      <c r="M376" s="36">
        <f t="shared" ca="1" si="94"/>
        <v>0</v>
      </c>
      <c r="N376" s="36">
        <f t="shared" ca="1" si="94"/>
        <v>0</v>
      </c>
      <c r="O376" s="147">
        <f t="shared" ca="1" si="91"/>
        <v>0</v>
      </c>
      <c r="P376" s="227">
        <f t="shared" ca="1" si="92"/>
        <v>1.6443574924765433E-6</v>
      </c>
      <c r="X376" s="411" t="str">
        <f>Data!G407</f>
        <v>CARRY</v>
      </c>
      <c r="Y376" s="411" t="str">
        <f t="shared" si="93"/>
        <v>CARRY</v>
      </c>
    </row>
    <row r="377" spans="2:25" x14ac:dyDescent="0.25">
      <c r="B377" s="186"/>
      <c r="E377" s="2"/>
      <c r="F377" s="142"/>
      <c r="G377" s="2" t="str">
        <f ca="1"/>
        <v>USDTWD DIGITAL</v>
      </c>
      <c r="H377" s="61">
        <f t="shared" ca="1" si="87"/>
        <v>5.4351580300709364E-2</v>
      </c>
      <c r="I377" s="225">
        <f t="shared" ca="1" si="88"/>
        <v>834886.80996000813</v>
      </c>
      <c r="J377" s="147">
        <f t="shared" ca="1" si="89"/>
        <v>2.8937129974245471E-3</v>
      </c>
      <c r="K377" s="36">
        <f t="shared" ca="1" si="94"/>
        <v>2.6809847740738046E-3</v>
      </c>
      <c r="L377" s="36">
        <f t="shared" ca="1" si="94"/>
        <v>0</v>
      </c>
      <c r="M377" s="36">
        <f t="shared" ca="1" si="94"/>
        <v>0</v>
      </c>
      <c r="N377" s="36">
        <f t="shared" ca="1" si="94"/>
        <v>0</v>
      </c>
      <c r="O377" s="147">
        <f t="shared" ca="1" si="91"/>
        <v>0</v>
      </c>
      <c r="P377" s="227">
        <f t="shared" ca="1" si="92"/>
        <v>2.1272822335074239E-4</v>
      </c>
      <c r="X377" s="411" t="str">
        <f>Data!G408</f>
        <v>DIRECTIONAL</v>
      </c>
      <c r="Y377" s="411" t="str">
        <f t="shared" si="93"/>
        <v>DIRECTIONAL</v>
      </c>
    </row>
    <row r="378" spans="2:25" x14ac:dyDescent="0.25">
      <c r="B378" s="186"/>
      <c r="E378" s="2"/>
      <c r="F378" s="142"/>
      <c r="G378" s="2" t="str">
        <f ca="1"/>
        <v>USDTWD RKI CALL SPREAD</v>
      </c>
      <c r="H378" s="61">
        <f t="shared" ref="H378" ca="1" si="95">IF(NOT(ISTEXT($G378)),"",I378/$I$352)</f>
        <v>3.817869158469691E-2</v>
      </c>
      <c r="I378" s="225">
        <f t="shared" ref="I378" ca="1" si="96">IF(NOT(ISTEXT($G378)),"",J378*Nav)</f>
        <v>586457.39184107224</v>
      </c>
      <c r="J378" s="147">
        <f t="shared" ref="J378" ca="1" si="97">IF(NOT(ISTEXT($G378)),"",SUM(K378:P378))</f>
        <v>2.0326580285625799E-3</v>
      </c>
      <c r="K378" s="36">
        <f t="shared" ca="1" si="94"/>
        <v>1.9787815799939272E-3</v>
      </c>
      <c r="L378" s="36">
        <f t="shared" ca="1" si="94"/>
        <v>0</v>
      </c>
      <c r="M378" s="36">
        <f t="shared" ca="1" si="94"/>
        <v>0</v>
      </c>
      <c r="N378" s="36">
        <f t="shared" ca="1" si="94"/>
        <v>0</v>
      </c>
      <c r="O378" s="147">
        <f t="shared" ca="1" si="91"/>
        <v>0</v>
      </c>
      <c r="P378" s="227">
        <f t="shared" ca="1" si="92"/>
        <v>5.3876448568652577E-5</v>
      </c>
      <c r="X378" s="411" t="str">
        <f>Data!G409</f>
        <v>DIRECTIONAL</v>
      </c>
      <c r="Y378" s="411" t="str">
        <f t="shared" si="93"/>
        <v>DIRECTIONAL</v>
      </c>
    </row>
    <row r="379" spans="2:25" s="411" customFormat="1" x14ac:dyDescent="0.25">
      <c r="B379" s="186"/>
      <c r="E379" s="2"/>
      <c r="F379" s="142"/>
      <c r="G379" s="2" t="str">
        <f ca="1"/>
        <v xml:space="preserve"> EDZ8 PUT CONDOR</v>
      </c>
      <c r="H379" s="61">
        <f t="shared" ref="H379:H423" ca="1" si="98">IF(NOT(ISTEXT($G379)),"",I379/$I$352)</f>
        <v>-5.370028028351699E-8</v>
      </c>
      <c r="I379" s="225">
        <f t="shared" ref="I379:I423" ca="1" si="99">IF(NOT(ISTEXT($G379)),"",J379*Nav)</f>
        <v>-0.82488228404425401</v>
      </c>
      <c r="J379" s="147">
        <f t="shared" ref="J379:J423" ca="1" si="100">IF(NOT(ISTEXT($G379)),"",SUM(K379:P379))</f>
        <v>-2.8590373667520792E-9</v>
      </c>
      <c r="K379" s="36">
        <f t="shared" ca="1" si="94"/>
        <v>0</v>
      </c>
      <c r="L379" s="36">
        <f t="shared" ca="1" si="94"/>
        <v>-3.098133349882862E-10</v>
      </c>
      <c r="M379" s="36">
        <f t="shared" ca="1" si="94"/>
        <v>0</v>
      </c>
      <c r="N379" s="36">
        <f t="shared" ca="1" si="94"/>
        <v>0</v>
      </c>
      <c r="O379" s="147">
        <f t="shared" ca="1" si="91"/>
        <v>0</v>
      </c>
      <c r="P379" s="227">
        <f t="shared" ca="1" si="92"/>
        <v>-2.5492240317637931E-9</v>
      </c>
      <c r="X379" s="411" t="str">
        <f>Data!G410</f>
        <v>DIRECTIONAL</v>
      </c>
      <c r="Y379" s="411" t="str">
        <f t="shared" si="93"/>
        <v>DIRECTIONAL</v>
      </c>
    </row>
    <row r="380" spans="2:25" s="411" customFormat="1" x14ac:dyDescent="0.25">
      <c r="B380" s="186"/>
      <c r="E380" s="2"/>
      <c r="F380" s="142"/>
      <c r="G380" s="2" t="str">
        <f ca="1"/>
        <v>10Y-2Y CMS CURVE CAP</v>
      </c>
      <c r="H380" s="61">
        <f t="shared" ca="1" si="98"/>
        <v>0.23454299604686826</v>
      </c>
      <c r="I380" s="225">
        <f t="shared" ca="1" si="99"/>
        <v>3602781.2380917463</v>
      </c>
      <c r="J380" s="147">
        <f t="shared" ca="1" si="100"/>
        <v>1.2487219550207981E-2</v>
      </c>
      <c r="K380" s="36">
        <f t="shared" ca="1" si="94"/>
        <v>0</v>
      </c>
      <c r="L380" s="36">
        <f t="shared" ca="1" si="94"/>
        <v>1.0769253460425905E-2</v>
      </c>
      <c r="M380" s="36">
        <f t="shared" ca="1" si="94"/>
        <v>0</v>
      </c>
      <c r="N380" s="36">
        <f t="shared" ca="1" si="94"/>
        <v>0</v>
      </c>
      <c r="O380" s="147">
        <f t="shared" ca="1" si="91"/>
        <v>0</v>
      </c>
      <c r="P380" s="227">
        <f t="shared" ca="1" si="92"/>
        <v>1.7179660897820752E-3</v>
      </c>
      <c r="X380" s="411" t="str">
        <f>Data!G411</f>
        <v>TERM STRUCTURE</v>
      </c>
      <c r="Y380" s="411" t="str">
        <f t="shared" si="93"/>
        <v>TERM STRUCTURE</v>
      </c>
    </row>
    <row r="381" spans="2:25" s="411" customFormat="1" x14ac:dyDescent="0.25">
      <c r="B381" s="186"/>
      <c r="E381" s="2"/>
      <c r="F381" s="142"/>
      <c r="G381" s="2" t="str">
        <f ca="1"/>
        <v>1Y1Y VS 2Y1Y PAYER SWITCH</v>
      </c>
      <c r="H381" s="61">
        <f t="shared" ca="1" si="98"/>
        <v>5.3464519719488681E-3</v>
      </c>
      <c r="I381" s="225">
        <f t="shared" ca="1" si="99"/>
        <v>82126.079991946957</v>
      </c>
      <c r="J381" s="147">
        <f t="shared" ca="1" si="100"/>
        <v>2.8464853231015665E-4</v>
      </c>
      <c r="K381" s="36">
        <f t="shared" ca="1" si="94"/>
        <v>0</v>
      </c>
      <c r="L381" s="36">
        <f t="shared" ca="1" si="94"/>
        <v>2.6136884419337655E-4</v>
      </c>
      <c r="M381" s="36">
        <f t="shared" ca="1" si="94"/>
        <v>0</v>
      </c>
      <c r="N381" s="36">
        <f t="shared" ca="1" si="94"/>
        <v>0</v>
      </c>
      <c r="O381" s="147">
        <f t="shared" ca="1" si="91"/>
        <v>0</v>
      </c>
      <c r="P381" s="227">
        <f t="shared" ca="1" si="92"/>
        <v>2.3279688116780091E-5</v>
      </c>
      <c r="X381" s="411" t="str">
        <f>Data!G412</f>
        <v>TERM STRUCTURE</v>
      </c>
      <c r="Y381" s="411" t="str">
        <f t="shared" si="93"/>
        <v>TERM STRUCTURE</v>
      </c>
    </row>
    <row r="382" spans="2:25" s="411" customFormat="1" x14ac:dyDescent="0.25">
      <c r="B382" s="186"/>
      <c r="E382" s="2"/>
      <c r="F382" s="142"/>
      <c r="G382" s="2" t="str">
        <f ca="1"/>
        <v>CONTINGENT 10Y-2Y CMS CURVE CAP</v>
      </c>
      <c r="H382" s="61">
        <f t="shared" ca="1" si="98"/>
        <v>1.1139797574689395E-2</v>
      </c>
      <c r="I382" s="225">
        <f t="shared" ca="1" si="99"/>
        <v>171116.82878908454</v>
      </c>
      <c r="J382" s="147">
        <f t="shared" ca="1" si="100"/>
        <v>5.9308996817037231E-4</v>
      </c>
      <c r="K382" s="36">
        <f t="shared" ca="1" si="94"/>
        <v>0</v>
      </c>
      <c r="L382" s="36">
        <f t="shared" ca="1" si="94"/>
        <v>5.9308996817037231E-4</v>
      </c>
      <c r="M382" s="36">
        <f t="shared" ca="1" si="94"/>
        <v>0</v>
      </c>
      <c r="N382" s="36">
        <f t="shared" ca="1" si="94"/>
        <v>0</v>
      </c>
      <c r="O382" s="147">
        <f t="shared" ca="1" si="91"/>
        <v>0</v>
      </c>
      <c r="P382" s="227">
        <f t="shared" ca="1" si="92"/>
        <v>0</v>
      </c>
      <c r="X382" s="411" t="str">
        <f>Data!G413</f>
        <v>TERM STRUCTURE</v>
      </c>
      <c r="Y382" s="411" t="str">
        <f t="shared" si="93"/>
        <v>TERM STRUCTURE</v>
      </c>
    </row>
    <row r="383" spans="2:25" s="411" customFormat="1" x14ac:dyDescent="0.25">
      <c r="B383" s="186"/>
      <c r="E383" s="2"/>
      <c r="F383" s="142"/>
      <c r="G383" s="2" t="str">
        <f ca="1"/>
        <v>EDZ8 PUT FLY</v>
      </c>
      <c r="H383" s="61">
        <f t="shared" ca="1" si="98"/>
        <v>-7.4675440349553123E-4</v>
      </c>
      <c r="I383" s="225">
        <f t="shared" ca="1" si="99"/>
        <v>-11470.787018677282</v>
      </c>
      <c r="J383" s="147">
        <f t="shared" ca="1" si="100"/>
        <v>-3.97576834256433E-5</v>
      </c>
      <c r="K383" s="36">
        <f t="shared" ca="1" si="94"/>
        <v>0</v>
      </c>
      <c r="L383" s="36">
        <f t="shared" ca="1" si="94"/>
        <v>-4.2226328561740652E-5</v>
      </c>
      <c r="M383" s="36">
        <f t="shared" ca="1" si="94"/>
        <v>0</v>
      </c>
      <c r="N383" s="36">
        <f t="shared" ca="1" si="94"/>
        <v>0</v>
      </c>
      <c r="O383" s="147">
        <f t="shared" ca="1" si="91"/>
        <v>0</v>
      </c>
      <c r="P383" s="227">
        <f t="shared" ca="1" si="92"/>
        <v>2.4686451360973497E-6</v>
      </c>
      <c r="X383" s="411" t="str">
        <f>Data!G414</f>
        <v>DIRECTIONAL</v>
      </c>
      <c r="Y383" s="411" t="str">
        <f t="shared" si="93"/>
        <v>DIRECTIONAL</v>
      </c>
    </row>
    <row r="384" spans="2:25" s="411" customFormat="1" x14ac:dyDescent="0.25">
      <c r="B384" s="186"/>
      <c r="E384" s="2"/>
      <c r="F384" s="142"/>
      <c r="G384" s="2" t="str">
        <f ca="1"/>
        <v>L Z8 91/92/93 CALL FLY</v>
      </c>
      <c r="H384" s="61">
        <f t="shared" ca="1" si="98"/>
        <v>2.6909490340033411E-10</v>
      </c>
      <c r="I384" s="225">
        <f t="shared" ca="1" si="99"/>
        <v>4.1335281188405355E-3</v>
      </c>
      <c r="J384" s="147">
        <f t="shared" ca="1" si="100"/>
        <v>1.4326785260006264E-11</v>
      </c>
      <c r="K384" s="36">
        <f t="shared" ca="1" si="94"/>
        <v>0</v>
      </c>
      <c r="L384" s="36">
        <f t="shared" ca="1" si="94"/>
        <v>2.1241165741858218E-11</v>
      </c>
      <c r="M384" s="36">
        <f t="shared" ca="1" si="94"/>
        <v>0</v>
      </c>
      <c r="N384" s="36">
        <f t="shared" ca="1" si="94"/>
        <v>0</v>
      </c>
      <c r="O384" s="147">
        <f t="shared" ca="1" si="91"/>
        <v>0</v>
      </c>
      <c r="P384" s="227">
        <f t="shared" ca="1" si="92"/>
        <v>-6.9143804818519536E-12</v>
      </c>
      <c r="X384" s="411" t="str">
        <f>Data!G415</f>
        <v>CARRY</v>
      </c>
      <c r="Y384" s="411" t="str">
        <f t="shared" si="93"/>
        <v>CARRY</v>
      </c>
    </row>
    <row r="385" spans="2:25" s="411" customFormat="1" x14ac:dyDescent="0.25">
      <c r="B385" s="186"/>
      <c r="E385" s="2"/>
      <c r="F385" s="142"/>
      <c r="G385" s="2" t="str">
        <f ca="1"/>
        <v>LONG USD 10Y10Y VEGA</v>
      </c>
      <c r="H385" s="61">
        <f t="shared" ca="1" si="98"/>
        <v>1.3169866390678599E-2</v>
      </c>
      <c r="I385" s="225">
        <f t="shared" ca="1" si="99"/>
        <v>202300.42397441898</v>
      </c>
      <c r="J385" s="147">
        <f t="shared" ca="1" si="100"/>
        <v>7.0117213406127935E-4</v>
      </c>
      <c r="K385" s="36">
        <f t="shared" ca="1" si="94"/>
        <v>0</v>
      </c>
      <c r="L385" s="36">
        <f t="shared" ca="1" si="94"/>
        <v>2.2175205706203064E-4</v>
      </c>
      <c r="M385" s="36">
        <f t="shared" ca="1" si="94"/>
        <v>0</v>
      </c>
      <c r="N385" s="36">
        <f t="shared" ca="1" si="94"/>
        <v>0</v>
      </c>
      <c r="O385" s="147">
        <f t="shared" ca="1" si="91"/>
        <v>0</v>
      </c>
      <c r="P385" s="227">
        <f t="shared" ca="1" si="92"/>
        <v>4.7942007699924876E-4</v>
      </c>
      <c r="X385" s="411" t="str">
        <f>Data!G416</f>
        <v>VOL</v>
      </c>
      <c r="Y385" s="411" t="str">
        <f t="shared" si="93"/>
        <v>VOLATILITY</v>
      </c>
    </row>
    <row r="386" spans="2:25" s="411" customFormat="1" x14ac:dyDescent="0.25">
      <c r="B386" s="186"/>
      <c r="E386" s="2"/>
      <c r="F386" s="142"/>
      <c r="G386" s="2" t="str">
        <f ca="1"/>
        <v>LONG USD 3Y30Y VEGA</v>
      </c>
      <c r="H386" s="61">
        <f t="shared" ca="1" si="98"/>
        <v>2.9006489616569518E-2</v>
      </c>
      <c r="I386" s="225">
        <f t="shared" ca="1" si="99"/>
        <v>445564.51625013299</v>
      </c>
      <c r="J386" s="147">
        <f t="shared" ca="1" si="100"/>
        <v>1.5443241125416163E-3</v>
      </c>
      <c r="K386" s="36">
        <f t="shared" ca="1" si="94"/>
        <v>0</v>
      </c>
      <c r="L386" s="36">
        <f t="shared" ca="1" si="94"/>
        <v>-4.7267581867069502E-4</v>
      </c>
      <c r="M386" s="36">
        <f t="shared" ca="1" si="94"/>
        <v>0</v>
      </c>
      <c r="N386" s="36">
        <f t="shared" ca="1" si="94"/>
        <v>0</v>
      </c>
      <c r="O386" s="147">
        <f t="shared" ca="1" si="91"/>
        <v>0</v>
      </c>
      <c r="P386" s="227">
        <f t="shared" ca="1" si="92"/>
        <v>2.0169999312123115E-3</v>
      </c>
      <c r="X386" s="411" t="str">
        <f>Data!G417</f>
        <v>VOL</v>
      </c>
      <c r="Y386" s="411" t="str">
        <f t="shared" si="93"/>
        <v>VOLATILITY</v>
      </c>
    </row>
    <row r="387" spans="2:25" s="411" customFormat="1" x14ac:dyDescent="0.25">
      <c r="B387" s="186"/>
      <c r="E387" s="2"/>
      <c r="F387" s="142"/>
      <c r="G387" s="2" t="str">
        <f ca="1"/>
        <v>LONG USD 5Y30Y VEGA</v>
      </c>
      <c r="H387" s="61">
        <f t="shared" ca="1" si="98"/>
        <v>4.6837538654513448E-2</v>
      </c>
      <c r="I387" s="225">
        <f t="shared" ca="1" si="99"/>
        <v>719464.69665271067</v>
      </c>
      <c r="J387" s="147">
        <f t="shared" ca="1" si="100"/>
        <v>2.4936606005211462E-3</v>
      </c>
      <c r="K387" s="36">
        <f t="shared" ca="1" si="94"/>
        <v>0</v>
      </c>
      <c r="L387" s="36">
        <f t="shared" ca="1" si="94"/>
        <v>1.0716744925894231E-3</v>
      </c>
      <c r="M387" s="36">
        <f t="shared" ca="1" si="94"/>
        <v>0</v>
      </c>
      <c r="N387" s="36">
        <f t="shared" ca="1" si="94"/>
        <v>0</v>
      </c>
      <c r="O387" s="147">
        <f t="shared" ca="1" si="91"/>
        <v>0</v>
      </c>
      <c r="P387" s="227">
        <f t="shared" ca="1" si="92"/>
        <v>1.4219861079317231E-3</v>
      </c>
      <c r="X387" s="411" t="str">
        <f>Data!G418</f>
        <v>VOL</v>
      </c>
      <c r="Y387" s="411" t="str">
        <f t="shared" si="93"/>
        <v>VOLATILITY</v>
      </c>
    </row>
    <row r="388" spans="2:25" s="411" customFormat="1" x14ac:dyDescent="0.25">
      <c r="B388" s="186"/>
      <c r="E388" s="2"/>
      <c r="F388" s="142"/>
      <c r="G388" s="2" t="str">
        <f ca="1"/>
        <v>USD 2M 10-2 CURVE FLR FLY</v>
      </c>
      <c r="H388" s="61">
        <f t="shared" ca="1" si="98"/>
        <v>-4.1359351824054504E-3</v>
      </c>
      <c r="I388" s="225">
        <f t="shared" ca="1" si="99"/>
        <v>-63531.505644092264</v>
      </c>
      <c r="J388" s="147">
        <f t="shared" ca="1" si="100"/>
        <v>-2.2019984198464815E-4</v>
      </c>
      <c r="K388" s="36">
        <f t="shared" ca="1" si="94"/>
        <v>0</v>
      </c>
      <c r="L388" s="36">
        <f t="shared" ca="1" si="94"/>
        <v>-7.3154011267027551E-5</v>
      </c>
      <c r="M388" s="36">
        <f t="shared" ca="1" si="94"/>
        <v>0</v>
      </c>
      <c r="N388" s="36">
        <f t="shared" ca="1" si="94"/>
        <v>0</v>
      </c>
      <c r="O388" s="147">
        <f t="shared" ca="1" si="91"/>
        <v>0</v>
      </c>
      <c r="P388" s="227">
        <f t="shared" ca="1" si="92"/>
        <v>-1.4704583071762059E-4</v>
      </c>
      <c r="X388" s="411" t="str">
        <f>Data!G419</f>
        <v>TERM STRUCTURE</v>
      </c>
      <c r="Y388" s="411" t="str">
        <f t="shared" si="93"/>
        <v>TERM STRUCTURE</v>
      </c>
    </row>
    <row r="389" spans="2:25" s="411" customFormat="1" x14ac:dyDescent="0.25">
      <c r="B389" s="186"/>
      <c r="E389" s="2"/>
      <c r="F389" s="142"/>
      <c r="G389" s="2" t="str">
        <f ca="1"/>
        <v>USD 3M 10-2 CURVE FLR FLY</v>
      </c>
      <c r="H389" s="61">
        <f t="shared" ca="1" si="98"/>
        <v>-6.1086730992296091E-3</v>
      </c>
      <c r="I389" s="225">
        <f t="shared" ca="1" si="99"/>
        <v>-93834.449130778303</v>
      </c>
      <c r="J389" s="147">
        <f t="shared" ca="1" si="100"/>
        <v>-3.2522967403079734E-4</v>
      </c>
      <c r="K389" s="36">
        <f t="shared" ref="K389:N423" ca="1" si="101">IF(NOT(ISTEXT($G389)),"",IFERROR(INDEX(extreme_loss,MATCH($G389,OFFSET(extreme_loss,0,0,,1),0),MATCH(K$351,OFFSET(extreme_loss,0,0,1),0)),0)/Nav/SQRT(12))</f>
        <v>0</v>
      </c>
      <c r="L389" s="36">
        <f t="shared" ca="1" si="101"/>
        <v>-7.9749262829072727E-5</v>
      </c>
      <c r="M389" s="36">
        <f t="shared" ca="1" si="101"/>
        <v>0</v>
      </c>
      <c r="N389" s="36">
        <f t="shared" ca="1" si="101"/>
        <v>0</v>
      </c>
      <c r="O389" s="147">
        <f t="shared" ca="1" si="91"/>
        <v>0</v>
      </c>
      <c r="P389" s="227">
        <f t="shared" ca="1" si="92"/>
        <v>-2.4548041120172459E-4</v>
      </c>
      <c r="X389" s="411" t="str">
        <f>Data!G420</f>
        <v>TERM STRUCTURE</v>
      </c>
      <c r="Y389" s="411" t="str">
        <f t="shared" si="93"/>
        <v>TERM STRUCTURE</v>
      </c>
    </row>
    <row r="390" spans="2:25" s="411" customFormat="1" x14ac:dyDescent="0.25">
      <c r="B390" s="186"/>
      <c r="E390" s="2"/>
      <c r="F390" s="142"/>
      <c r="G390" s="2" t="str">
        <f ca="1"/>
        <v>USD 3M1Y1Y MISWEIGHTED FLY</v>
      </c>
      <c r="H390" s="61">
        <f t="shared" ca="1" si="98"/>
        <v>-2.6729123679470475E-5</v>
      </c>
      <c r="I390" s="225">
        <f t="shared" ca="1" si="99"/>
        <v>-410.58222554548922</v>
      </c>
      <c r="J390" s="147">
        <f t="shared" ca="1" si="100"/>
        <v>-1.4230756893013923E-6</v>
      </c>
      <c r="K390" s="36">
        <f t="shared" ca="1" si="101"/>
        <v>0</v>
      </c>
      <c r="L390" s="36">
        <f t="shared" ca="1" si="101"/>
        <v>-1.4230756893013923E-6</v>
      </c>
      <c r="M390" s="36">
        <f t="shared" ca="1" si="101"/>
        <v>0</v>
      </c>
      <c r="N390" s="36">
        <f t="shared" ca="1" si="101"/>
        <v>0</v>
      </c>
      <c r="O390" s="147">
        <f t="shared" ca="1" si="91"/>
        <v>0</v>
      </c>
      <c r="P390" s="227">
        <f t="shared" ca="1" si="92"/>
        <v>0</v>
      </c>
      <c r="X390" s="411" t="str">
        <f>Data!G421</f>
        <v>DIRECTIONAL</v>
      </c>
      <c r="Y390" s="411" t="str">
        <f t="shared" si="93"/>
        <v>DIRECTIONAL</v>
      </c>
    </row>
    <row r="391" spans="2:25" s="411" customFormat="1" x14ac:dyDescent="0.25">
      <c r="B391" s="186"/>
      <c r="E391" s="2"/>
      <c r="F391" s="142"/>
      <c r="G391" s="2" t="str">
        <f ca="1"/>
        <v>USD 6M 10-2 CURVE FLR FLY</v>
      </c>
      <c r="H391" s="61">
        <f t="shared" ca="1" si="98"/>
        <v>-7.6859931875500982E-3</v>
      </c>
      <c r="I391" s="225">
        <f t="shared" ca="1" si="99"/>
        <v>-118063.43620967919</v>
      </c>
      <c r="J391" s="147">
        <f t="shared" ca="1" si="100"/>
        <v>-4.0920720725833189E-4</v>
      </c>
      <c r="K391" s="36">
        <f t="shared" ca="1" si="101"/>
        <v>0</v>
      </c>
      <c r="L391" s="36">
        <f t="shared" ca="1" si="101"/>
        <v>-1.2365665644830799E-4</v>
      </c>
      <c r="M391" s="36">
        <f t="shared" ca="1" si="101"/>
        <v>0</v>
      </c>
      <c r="N391" s="36">
        <f t="shared" ca="1" si="101"/>
        <v>0</v>
      </c>
      <c r="O391" s="147">
        <f t="shared" ca="1" si="91"/>
        <v>0</v>
      </c>
      <c r="P391" s="227">
        <f t="shared" ca="1" si="92"/>
        <v>-2.8555055081002387E-4</v>
      </c>
      <c r="X391" s="411" t="str">
        <f>Data!G422</f>
        <v>TERM STRUCTURE</v>
      </c>
      <c r="Y391" s="411" t="str">
        <f t="shared" si="93"/>
        <v>TERM STRUCTURE</v>
      </c>
    </row>
    <row r="392" spans="2:25" s="411" customFormat="1" x14ac:dyDescent="0.25">
      <c r="B392" s="186"/>
      <c r="E392" s="2"/>
      <c r="F392" s="142"/>
      <c r="G392" s="2" t="str">
        <f ca="1"/>
        <v>USD 6M1Y1Y PAYER FLY</v>
      </c>
      <c r="H392" s="61">
        <f t="shared" ca="1" si="98"/>
        <v>-5.7952566906638546E-3</v>
      </c>
      <c r="I392" s="225">
        <f t="shared" ca="1" si="99"/>
        <v>-89020.104743938631</v>
      </c>
      <c r="J392" s="147">
        <f t="shared" ca="1" si="100"/>
        <v>-3.0854318340706454E-4</v>
      </c>
      <c r="K392" s="36">
        <f t="shared" ca="1" si="101"/>
        <v>0</v>
      </c>
      <c r="L392" s="36">
        <f t="shared" ca="1" si="101"/>
        <v>1.9090962415693058E-4</v>
      </c>
      <c r="M392" s="36">
        <f t="shared" ca="1" si="101"/>
        <v>0</v>
      </c>
      <c r="N392" s="36">
        <f t="shared" ca="1" si="101"/>
        <v>0</v>
      </c>
      <c r="O392" s="147">
        <f t="shared" ca="1" si="91"/>
        <v>0</v>
      </c>
      <c r="P392" s="227">
        <f t="shared" ca="1" si="92"/>
        <v>-4.9945280756399511E-4</v>
      </c>
      <c r="X392" s="411" t="str">
        <f>Data!G423</f>
        <v>DIRECTIONAL</v>
      </c>
      <c r="Y392" s="411" t="str">
        <f t="shared" si="93"/>
        <v>DIRECTIONAL</v>
      </c>
    </row>
    <row r="393" spans="2:25" s="411" customFormat="1" x14ac:dyDescent="0.25">
      <c r="B393" s="186"/>
      <c r="E393" s="2"/>
      <c r="F393" s="142"/>
      <c r="G393" s="2" t="str">
        <f ca="1"/>
        <v>USD MIDCURVE WEDGE 18M3Y VS 18M1Y/18M1Y1Y/18M2Y1Y</v>
      </c>
      <c r="H393" s="61">
        <f t="shared" ca="1" si="98"/>
        <v>0.10915822462670093</v>
      </c>
      <c r="I393" s="225">
        <f t="shared" ca="1" si="99"/>
        <v>1676763.7929801813</v>
      </c>
      <c r="J393" s="147">
        <f t="shared" ca="1" si="100"/>
        <v>5.8116538954424883E-3</v>
      </c>
      <c r="K393" s="36">
        <f t="shared" ca="1" si="101"/>
        <v>0</v>
      </c>
      <c r="L393" s="36">
        <f t="shared" ca="1" si="101"/>
        <v>9.0979528676440858E-4</v>
      </c>
      <c r="M393" s="36">
        <f t="shared" ca="1" si="101"/>
        <v>0</v>
      </c>
      <c r="N393" s="36">
        <f t="shared" ca="1" si="101"/>
        <v>0</v>
      </c>
      <c r="O393" s="147">
        <f t="shared" ca="1" si="91"/>
        <v>0</v>
      </c>
      <c r="P393" s="227">
        <f t="shared" ca="1" si="92"/>
        <v>4.9018586086780795E-3</v>
      </c>
      <c r="X393" s="411" t="str">
        <f>Data!G424</f>
        <v>TERM STRUCTURE</v>
      </c>
      <c r="Y393" s="411" t="str">
        <f t="shared" si="93"/>
        <v>TERM STRUCTURE</v>
      </c>
    </row>
    <row r="394" spans="2:25" s="411" customFormat="1" x14ac:dyDescent="0.25">
      <c r="B394" s="186"/>
      <c r="E394" s="2"/>
      <c r="F394" s="142"/>
      <c r="G394" s="2" t="str">
        <f ca="1"/>
        <v>TBILL</v>
      </c>
      <c r="H394" s="61">
        <f t="shared" ca="1" si="98"/>
        <v>1.4128207347606616E-3</v>
      </c>
      <c r="I394" s="225">
        <f t="shared" ca="1" si="99"/>
        <v>21702.136161702161</v>
      </c>
      <c r="J394" s="147">
        <f t="shared" ca="1" si="100"/>
        <v>7.5219482130760919E-5</v>
      </c>
      <c r="K394" s="36">
        <f t="shared" ca="1" si="101"/>
        <v>0</v>
      </c>
      <c r="L394" s="36">
        <f t="shared" ca="1" si="101"/>
        <v>7.5219482130760919E-5</v>
      </c>
      <c r="M394" s="36">
        <f t="shared" ca="1" si="101"/>
        <v>0</v>
      </c>
      <c r="N394" s="36">
        <f t="shared" ca="1" si="101"/>
        <v>0</v>
      </c>
      <c r="O394" s="147">
        <f t="shared" ca="1" si="91"/>
        <v>0</v>
      </c>
      <c r="P394" s="227">
        <f t="shared" ca="1" si="92"/>
        <v>0</v>
      </c>
      <c r="X394" s="411" t="str">
        <f>Data!G425</f>
        <v>HURDLE RATE</v>
      </c>
      <c r="Y394" s="411" t="str">
        <f t="shared" si="93"/>
        <v>HURDLE</v>
      </c>
    </row>
    <row r="395" spans="2:25" s="411" customFormat="1" x14ac:dyDescent="0.25">
      <c r="B395" s="186"/>
      <c r="E395" s="2"/>
      <c r="F395" s="142"/>
      <c r="G395" s="2">
        <f ca="1"/>
        <v>0</v>
      </c>
      <c r="H395" s="61" t="str">
        <f t="shared" ca="1" si="98"/>
        <v/>
      </c>
      <c r="I395" s="225" t="str">
        <f t="shared" ca="1" si="99"/>
        <v/>
      </c>
      <c r="J395" s="147" t="str">
        <f t="shared" ca="1" si="100"/>
        <v/>
      </c>
      <c r="K395" s="36" t="str">
        <f t="shared" ca="1" si="101"/>
        <v/>
      </c>
      <c r="L395" s="36" t="str">
        <f t="shared" ca="1" si="101"/>
        <v/>
      </c>
      <c r="M395" s="36" t="str">
        <f t="shared" ca="1" si="101"/>
        <v/>
      </c>
      <c r="N395" s="36" t="str">
        <f t="shared" ca="1" si="101"/>
        <v/>
      </c>
      <c r="O395" s="147" t="str">
        <f t="shared" ca="1" si="91"/>
        <v/>
      </c>
      <c r="P395" s="227" t="str">
        <f t="shared" ca="1" si="92"/>
        <v/>
      </c>
      <c r="X395" s="411">
        <f>Data!G426</f>
        <v>0</v>
      </c>
      <c r="Y395" s="411">
        <f t="shared" si="93"/>
        <v>0</v>
      </c>
    </row>
    <row r="396" spans="2:25" s="411" customFormat="1" x14ac:dyDescent="0.25">
      <c r="B396" s="186"/>
      <c r="E396" s="2"/>
      <c r="F396" s="142"/>
      <c r="G396" s="2">
        <f ca="1"/>
        <v>0</v>
      </c>
      <c r="H396" s="61" t="str">
        <f t="shared" ca="1" si="98"/>
        <v/>
      </c>
      <c r="I396" s="225" t="str">
        <f t="shared" ca="1" si="99"/>
        <v/>
      </c>
      <c r="J396" s="147" t="str">
        <f t="shared" ca="1" si="100"/>
        <v/>
      </c>
      <c r="K396" s="36" t="str">
        <f t="shared" ca="1" si="101"/>
        <v/>
      </c>
      <c r="L396" s="36" t="str">
        <f t="shared" ca="1" si="101"/>
        <v/>
      </c>
      <c r="M396" s="36" t="str">
        <f t="shared" ca="1" si="101"/>
        <v/>
      </c>
      <c r="N396" s="36" t="str">
        <f t="shared" ca="1" si="101"/>
        <v/>
      </c>
      <c r="O396" s="147" t="str">
        <f t="shared" ca="1" si="91"/>
        <v/>
      </c>
      <c r="P396" s="227" t="str">
        <f t="shared" ca="1" si="92"/>
        <v/>
      </c>
      <c r="X396" s="411">
        <f>Data!G427</f>
        <v>0</v>
      </c>
      <c r="Y396" s="411">
        <f t="shared" si="93"/>
        <v>0</v>
      </c>
    </row>
    <row r="397" spans="2:25" s="411" customFormat="1" x14ac:dyDescent="0.25">
      <c r="B397" s="186"/>
      <c r="E397" s="2"/>
      <c r="F397" s="142"/>
      <c r="G397" s="2">
        <f ca="1"/>
        <v>0</v>
      </c>
      <c r="H397" s="61" t="str">
        <f t="shared" ca="1" si="98"/>
        <v/>
      </c>
      <c r="I397" s="225" t="str">
        <f t="shared" ca="1" si="99"/>
        <v/>
      </c>
      <c r="J397" s="147" t="str">
        <f t="shared" ca="1" si="100"/>
        <v/>
      </c>
      <c r="K397" s="36" t="str">
        <f t="shared" ca="1" si="101"/>
        <v/>
      </c>
      <c r="L397" s="36" t="str">
        <f t="shared" ca="1" si="101"/>
        <v/>
      </c>
      <c r="M397" s="36" t="str">
        <f t="shared" ca="1" si="101"/>
        <v/>
      </c>
      <c r="N397" s="36" t="str">
        <f t="shared" ca="1" si="101"/>
        <v/>
      </c>
      <c r="O397" s="147" t="str">
        <f t="shared" ca="1" si="91"/>
        <v/>
      </c>
      <c r="P397" s="227" t="str">
        <f t="shared" ca="1" si="92"/>
        <v/>
      </c>
      <c r="X397" s="411">
        <f>Data!G428</f>
        <v>0</v>
      </c>
      <c r="Y397" s="411">
        <f t="shared" si="93"/>
        <v>0</v>
      </c>
    </row>
    <row r="398" spans="2:25" s="411" customFormat="1" x14ac:dyDescent="0.25">
      <c r="B398" s="186"/>
      <c r="E398" s="2"/>
      <c r="F398" s="142"/>
      <c r="G398" s="2">
        <f ca="1"/>
        <v>0</v>
      </c>
      <c r="H398" s="61" t="str">
        <f t="shared" ca="1" si="98"/>
        <v/>
      </c>
      <c r="I398" s="225" t="str">
        <f t="shared" ca="1" si="99"/>
        <v/>
      </c>
      <c r="J398" s="147" t="str">
        <f t="shared" ca="1" si="100"/>
        <v/>
      </c>
      <c r="K398" s="36" t="str">
        <f t="shared" ca="1" si="101"/>
        <v/>
      </c>
      <c r="L398" s="36" t="str">
        <f t="shared" ca="1" si="101"/>
        <v/>
      </c>
      <c r="M398" s="36" t="str">
        <f t="shared" ca="1" si="101"/>
        <v/>
      </c>
      <c r="N398" s="36" t="str">
        <f t="shared" ca="1" si="101"/>
        <v/>
      </c>
      <c r="O398" s="147" t="str">
        <f t="shared" ca="1" si="91"/>
        <v/>
      </c>
      <c r="P398" s="227" t="str">
        <f t="shared" ca="1" si="92"/>
        <v/>
      </c>
      <c r="X398" s="411">
        <f>Data!G429</f>
        <v>0</v>
      </c>
      <c r="Y398" s="411">
        <f t="shared" si="93"/>
        <v>0</v>
      </c>
    </row>
    <row r="399" spans="2:25" s="411" customFormat="1" x14ac:dyDescent="0.25">
      <c r="B399" s="186"/>
      <c r="E399" s="2"/>
      <c r="F399" s="142"/>
      <c r="G399" s="2">
        <f ca="1"/>
        <v>0</v>
      </c>
      <c r="H399" s="61" t="str">
        <f t="shared" ca="1" si="98"/>
        <v/>
      </c>
      <c r="I399" s="225" t="str">
        <f t="shared" ca="1" si="99"/>
        <v/>
      </c>
      <c r="J399" s="147" t="str">
        <f t="shared" ca="1" si="100"/>
        <v/>
      </c>
      <c r="K399" s="36" t="str">
        <f t="shared" ca="1" si="101"/>
        <v/>
      </c>
      <c r="L399" s="36" t="str">
        <f t="shared" ca="1" si="101"/>
        <v/>
      </c>
      <c r="M399" s="36" t="str">
        <f t="shared" ca="1" si="101"/>
        <v/>
      </c>
      <c r="N399" s="36" t="str">
        <f t="shared" ca="1" si="101"/>
        <v/>
      </c>
      <c r="O399" s="147" t="str">
        <f t="shared" ca="1" si="91"/>
        <v/>
      </c>
      <c r="P399" s="227" t="str">
        <f t="shared" ca="1" si="92"/>
        <v/>
      </c>
      <c r="X399" s="411">
        <f>Data!G430</f>
        <v>0</v>
      </c>
      <c r="Y399" s="411">
        <f t="shared" si="93"/>
        <v>0</v>
      </c>
    </row>
    <row r="400" spans="2:25" s="411" customFormat="1" x14ac:dyDescent="0.25">
      <c r="B400" s="186"/>
      <c r="E400" s="2"/>
      <c r="F400" s="142"/>
      <c r="G400" s="2">
        <f ca="1"/>
        <v>0</v>
      </c>
      <c r="H400" s="61" t="str">
        <f t="shared" ca="1" si="98"/>
        <v/>
      </c>
      <c r="I400" s="225" t="str">
        <f t="shared" ca="1" si="99"/>
        <v/>
      </c>
      <c r="J400" s="147" t="str">
        <f t="shared" ca="1" si="100"/>
        <v/>
      </c>
      <c r="K400" s="36" t="str">
        <f t="shared" ca="1" si="101"/>
        <v/>
      </c>
      <c r="L400" s="36" t="str">
        <f t="shared" ca="1" si="101"/>
        <v/>
      </c>
      <c r="M400" s="36" t="str">
        <f t="shared" ca="1" si="101"/>
        <v/>
      </c>
      <c r="N400" s="36" t="str">
        <f t="shared" ca="1" si="101"/>
        <v/>
      </c>
      <c r="O400" s="147" t="str">
        <f t="shared" ca="1" si="91"/>
        <v/>
      </c>
      <c r="P400" s="227" t="str">
        <f t="shared" ca="1" si="92"/>
        <v/>
      </c>
      <c r="X400" s="411">
        <f>Data!G431</f>
        <v>0</v>
      </c>
      <c r="Y400" s="411">
        <f t="shared" si="93"/>
        <v>0</v>
      </c>
    </row>
    <row r="401" spans="5:25" x14ac:dyDescent="0.25">
      <c r="E401" s="2"/>
      <c r="F401" s="149"/>
      <c r="G401" s="2">
        <f ca="1"/>
        <v>0</v>
      </c>
      <c r="H401" s="61" t="str">
        <f t="shared" ca="1" si="98"/>
        <v/>
      </c>
      <c r="I401" s="225" t="str">
        <f t="shared" ca="1" si="99"/>
        <v/>
      </c>
      <c r="J401" s="147" t="str">
        <f t="shared" ca="1" si="100"/>
        <v/>
      </c>
      <c r="K401" s="36" t="str">
        <f t="shared" ca="1" si="101"/>
        <v/>
      </c>
      <c r="L401" s="36" t="str">
        <f t="shared" ca="1" si="101"/>
        <v/>
      </c>
      <c r="M401" s="36" t="str">
        <f t="shared" ca="1" si="101"/>
        <v/>
      </c>
      <c r="N401" s="36" t="str">
        <f t="shared" ca="1" si="101"/>
        <v/>
      </c>
      <c r="O401" s="147" t="str">
        <f t="shared" ca="1" si="91"/>
        <v/>
      </c>
      <c r="P401" s="227" t="str">
        <f t="shared" ca="1" si="92"/>
        <v/>
      </c>
      <c r="Q401" s="13"/>
      <c r="X401" s="411">
        <f>Data!G432</f>
        <v>0</v>
      </c>
      <c r="Y401" s="411">
        <f t="shared" si="93"/>
        <v>0</v>
      </c>
    </row>
    <row r="402" spans="5:25" s="405" customFormat="1" x14ac:dyDescent="0.25">
      <c r="E402" s="2"/>
      <c r="F402" s="149"/>
      <c r="G402" s="2">
        <f ca="1"/>
        <v>0</v>
      </c>
      <c r="H402" s="61" t="str">
        <f t="shared" ca="1" si="98"/>
        <v/>
      </c>
      <c r="I402" s="225" t="str">
        <f t="shared" ca="1" si="99"/>
        <v/>
      </c>
      <c r="J402" s="147" t="str">
        <f t="shared" ca="1" si="100"/>
        <v/>
      </c>
      <c r="K402" s="36" t="str">
        <f t="shared" ca="1" si="101"/>
        <v/>
      </c>
      <c r="L402" s="36" t="str">
        <f t="shared" ca="1" si="101"/>
        <v/>
      </c>
      <c r="M402" s="36" t="str">
        <f t="shared" ca="1" si="101"/>
        <v/>
      </c>
      <c r="N402" s="36" t="str">
        <f t="shared" ca="1" si="101"/>
        <v/>
      </c>
      <c r="O402" s="147" t="str">
        <f t="shared" ca="1" si="91"/>
        <v/>
      </c>
      <c r="P402" s="227" t="str">
        <f t="shared" ca="1" si="92"/>
        <v/>
      </c>
      <c r="Q402" s="13"/>
      <c r="X402" s="411">
        <f>Data!G433</f>
        <v>0</v>
      </c>
      <c r="Y402" s="411">
        <f t="shared" si="93"/>
        <v>0</v>
      </c>
    </row>
    <row r="403" spans="5:25" x14ac:dyDescent="0.25">
      <c r="E403" s="2"/>
      <c r="F403" s="149"/>
      <c r="G403" s="2">
        <f ca="1"/>
        <v>0</v>
      </c>
      <c r="H403" s="61" t="str">
        <f t="shared" ca="1" si="98"/>
        <v/>
      </c>
      <c r="I403" s="225" t="str">
        <f t="shared" ca="1" si="99"/>
        <v/>
      </c>
      <c r="J403" s="147" t="str">
        <f t="shared" ca="1" si="100"/>
        <v/>
      </c>
      <c r="K403" s="36" t="str">
        <f t="shared" ca="1" si="101"/>
        <v/>
      </c>
      <c r="L403" s="36" t="str">
        <f t="shared" ca="1" si="101"/>
        <v/>
      </c>
      <c r="M403" s="36" t="str">
        <f t="shared" ca="1" si="101"/>
        <v/>
      </c>
      <c r="N403" s="36" t="str">
        <f t="shared" ca="1" si="101"/>
        <v/>
      </c>
      <c r="O403" s="147" t="str">
        <f t="shared" ca="1" si="91"/>
        <v/>
      </c>
      <c r="P403" s="227" t="str">
        <f t="shared" ca="1" si="92"/>
        <v/>
      </c>
      <c r="Q403" s="13"/>
      <c r="X403" s="411">
        <f>Data!G434</f>
        <v>0</v>
      </c>
      <c r="Y403" s="411">
        <f t="shared" si="93"/>
        <v>0</v>
      </c>
    </row>
    <row r="404" spans="5:25" s="405" customFormat="1" x14ac:dyDescent="0.25">
      <c r="E404" s="2"/>
      <c r="F404" s="149"/>
      <c r="G404" s="2">
        <f ca="1"/>
        <v>0</v>
      </c>
      <c r="H404" s="61" t="str">
        <f t="shared" ca="1" si="98"/>
        <v/>
      </c>
      <c r="I404" s="225" t="str">
        <f t="shared" ca="1" si="99"/>
        <v/>
      </c>
      <c r="J404" s="147" t="str">
        <f t="shared" ca="1" si="100"/>
        <v/>
      </c>
      <c r="K404" s="36" t="str">
        <f t="shared" ca="1" si="101"/>
        <v/>
      </c>
      <c r="L404" s="36" t="str">
        <f t="shared" ca="1" si="101"/>
        <v/>
      </c>
      <c r="M404" s="36" t="str">
        <f t="shared" ca="1" si="101"/>
        <v/>
      </c>
      <c r="N404" s="36" t="str">
        <f t="shared" ca="1" si="101"/>
        <v/>
      </c>
      <c r="O404" s="147" t="str">
        <f t="shared" ca="1" si="91"/>
        <v/>
      </c>
      <c r="P404" s="227" t="str">
        <f t="shared" ca="1" si="92"/>
        <v/>
      </c>
      <c r="Q404" s="13"/>
      <c r="X404" s="411">
        <f>Data!G435</f>
        <v>0</v>
      </c>
      <c r="Y404" s="411">
        <f t="shared" si="93"/>
        <v>0</v>
      </c>
    </row>
    <row r="405" spans="5:25" x14ac:dyDescent="0.25">
      <c r="E405" s="2"/>
      <c r="F405" s="149"/>
      <c r="G405" s="2">
        <f ca="1"/>
        <v>0</v>
      </c>
      <c r="H405" s="61" t="str">
        <f t="shared" ca="1" si="98"/>
        <v/>
      </c>
      <c r="I405" s="225" t="str">
        <f t="shared" ca="1" si="99"/>
        <v/>
      </c>
      <c r="J405" s="147" t="str">
        <f t="shared" ca="1" si="100"/>
        <v/>
      </c>
      <c r="K405" s="36" t="str">
        <f t="shared" ca="1" si="101"/>
        <v/>
      </c>
      <c r="L405" s="36" t="str">
        <f t="shared" ca="1" si="101"/>
        <v/>
      </c>
      <c r="M405" s="36" t="str">
        <f t="shared" ca="1" si="101"/>
        <v/>
      </c>
      <c r="N405" s="36" t="str">
        <f t="shared" ca="1" si="101"/>
        <v/>
      </c>
      <c r="O405" s="147" t="str">
        <f t="shared" ca="1" si="91"/>
        <v/>
      </c>
      <c r="P405" s="227" t="str">
        <f t="shared" ca="1" si="92"/>
        <v/>
      </c>
      <c r="Q405" s="13"/>
      <c r="X405" s="411">
        <f>Data!G436</f>
        <v>0</v>
      </c>
      <c r="Y405" s="411">
        <f t="shared" si="93"/>
        <v>0</v>
      </c>
    </row>
    <row r="406" spans="5:25" s="405" customFormat="1" x14ac:dyDescent="0.25">
      <c r="E406" s="2"/>
      <c r="F406" s="149"/>
      <c r="G406" s="2">
        <f ca="1"/>
        <v>0</v>
      </c>
      <c r="H406" s="61" t="str">
        <f t="shared" ca="1" si="98"/>
        <v/>
      </c>
      <c r="I406" s="225" t="str">
        <f t="shared" ca="1" si="99"/>
        <v/>
      </c>
      <c r="J406" s="147" t="str">
        <f t="shared" ca="1" si="100"/>
        <v/>
      </c>
      <c r="K406" s="36" t="str">
        <f t="shared" ca="1" si="101"/>
        <v/>
      </c>
      <c r="L406" s="36" t="str">
        <f t="shared" ca="1" si="101"/>
        <v/>
      </c>
      <c r="M406" s="36" t="str">
        <f t="shared" ca="1" si="101"/>
        <v/>
      </c>
      <c r="N406" s="36" t="str">
        <f t="shared" ca="1" si="101"/>
        <v/>
      </c>
      <c r="O406" s="147" t="str">
        <f t="shared" ca="1" si="91"/>
        <v/>
      </c>
      <c r="P406" s="227" t="str">
        <f t="shared" ca="1" si="92"/>
        <v/>
      </c>
      <c r="Q406" s="13"/>
      <c r="X406" s="411">
        <f>Data!G437</f>
        <v>0</v>
      </c>
      <c r="Y406" s="411">
        <f t="shared" si="93"/>
        <v>0</v>
      </c>
    </row>
    <row r="407" spans="5:25" x14ac:dyDescent="0.25">
      <c r="E407" s="2"/>
      <c r="F407" s="149"/>
      <c r="G407" s="2">
        <f ca="1"/>
        <v>0</v>
      </c>
      <c r="H407" s="61" t="str">
        <f t="shared" ca="1" si="98"/>
        <v/>
      </c>
      <c r="I407" s="225" t="str">
        <f t="shared" ca="1" si="99"/>
        <v/>
      </c>
      <c r="J407" s="147" t="str">
        <f t="shared" ca="1" si="100"/>
        <v/>
      </c>
      <c r="K407" s="36" t="str">
        <f t="shared" ca="1" si="101"/>
        <v/>
      </c>
      <c r="L407" s="36" t="str">
        <f t="shared" ca="1" si="101"/>
        <v/>
      </c>
      <c r="M407" s="36" t="str">
        <f t="shared" ca="1" si="101"/>
        <v/>
      </c>
      <c r="N407" s="36" t="str">
        <f t="shared" ca="1" si="101"/>
        <v/>
      </c>
      <c r="O407" s="147" t="str">
        <f t="shared" ca="1" si="91"/>
        <v/>
      </c>
      <c r="P407" s="227" t="str">
        <f t="shared" ca="1" si="92"/>
        <v/>
      </c>
      <c r="Q407" s="13"/>
      <c r="X407" s="411">
        <f>Data!G438</f>
        <v>0</v>
      </c>
      <c r="Y407" s="411">
        <f t="shared" si="93"/>
        <v>0</v>
      </c>
    </row>
    <row r="408" spans="5:25" s="405" customFormat="1" x14ac:dyDescent="0.25">
      <c r="E408" s="2"/>
      <c r="F408" s="149"/>
      <c r="G408" s="2">
        <f ca="1"/>
        <v>0</v>
      </c>
      <c r="H408" s="61" t="str">
        <f t="shared" ca="1" si="98"/>
        <v/>
      </c>
      <c r="I408" s="225" t="str">
        <f t="shared" ca="1" si="99"/>
        <v/>
      </c>
      <c r="J408" s="147" t="str">
        <f t="shared" ca="1" si="100"/>
        <v/>
      </c>
      <c r="K408" s="36" t="str">
        <f t="shared" ca="1" si="101"/>
        <v/>
      </c>
      <c r="L408" s="36" t="str">
        <f t="shared" ca="1" si="101"/>
        <v/>
      </c>
      <c r="M408" s="36" t="str">
        <f t="shared" ca="1" si="101"/>
        <v/>
      </c>
      <c r="N408" s="36" t="str">
        <f t="shared" ca="1" si="101"/>
        <v/>
      </c>
      <c r="O408" s="147" t="str">
        <f t="shared" ca="1" si="91"/>
        <v/>
      </c>
      <c r="P408" s="227" t="str">
        <f t="shared" ca="1" si="92"/>
        <v/>
      </c>
      <c r="Q408" s="13"/>
      <c r="X408" s="411">
        <f>Data!G439</f>
        <v>0</v>
      </c>
      <c r="Y408" s="411">
        <f t="shared" si="93"/>
        <v>0</v>
      </c>
    </row>
    <row r="409" spans="5:25" x14ac:dyDescent="0.25">
      <c r="E409" s="2"/>
      <c r="F409" s="149"/>
      <c r="G409" s="2">
        <f ca="1"/>
        <v>0</v>
      </c>
      <c r="H409" s="61" t="str">
        <f t="shared" ca="1" si="98"/>
        <v/>
      </c>
      <c r="I409" s="225" t="str">
        <f t="shared" ca="1" si="99"/>
        <v/>
      </c>
      <c r="J409" s="147" t="str">
        <f t="shared" ca="1" si="100"/>
        <v/>
      </c>
      <c r="K409" s="36" t="str">
        <f t="shared" ca="1" si="101"/>
        <v/>
      </c>
      <c r="L409" s="36" t="str">
        <f t="shared" ca="1" si="101"/>
        <v/>
      </c>
      <c r="M409" s="36" t="str">
        <f t="shared" ca="1" si="101"/>
        <v/>
      </c>
      <c r="N409" s="36" t="str">
        <f t="shared" ca="1" si="101"/>
        <v/>
      </c>
      <c r="O409" s="147" t="str">
        <f t="shared" ca="1" si="91"/>
        <v/>
      </c>
      <c r="P409" s="227" t="str">
        <f t="shared" ca="1" si="92"/>
        <v/>
      </c>
      <c r="Q409" s="13"/>
      <c r="X409" s="411">
        <f>Data!G440</f>
        <v>0</v>
      </c>
      <c r="Y409" s="411">
        <f t="shared" si="93"/>
        <v>0</v>
      </c>
    </row>
    <row r="410" spans="5:25" x14ac:dyDescent="0.25">
      <c r="E410" s="2"/>
      <c r="F410" s="149"/>
      <c r="G410" s="2">
        <f ca="1"/>
        <v>0</v>
      </c>
      <c r="H410" s="61" t="str">
        <f t="shared" ca="1" si="98"/>
        <v/>
      </c>
      <c r="I410" s="225" t="str">
        <f t="shared" ca="1" si="99"/>
        <v/>
      </c>
      <c r="J410" s="147" t="str">
        <f t="shared" ca="1" si="100"/>
        <v/>
      </c>
      <c r="K410" s="36" t="str">
        <f t="shared" ca="1" si="101"/>
        <v/>
      </c>
      <c r="L410" s="36" t="str">
        <f t="shared" ca="1" si="101"/>
        <v/>
      </c>
      <c r="M410" s="36" t="str">
        <f t="shared" ca="1" si="101"/>
        <v/>
      </c>
      <c r="N410" s="36" t="str">
        <f t="shared" ca="1" si="101"/>
        <v/>
      </c>
      <c r="O410" s="147" t="str">
        <f t="shared" ca="1" si="91"/>
        <v/>
      </c>
      <c r="P410" s="227" t="str">
        <f t="shared" ca="1" si="92"/>
        <v/>
      </c>
      <c r="Q410" s="13"/>
      <c r="X410" s="411">
        <f>Data!G441</f>
        <v>0</v>
      </c>
      <c r="Y410" s="411">
        <f t="shared" si="93"/>
        <v>0</v>
      </c>
    </row>
    <row r="411" spans="5:25" x14ac:dyDescent="0.25">
      <c r="E411" s="2"/>
      <c r="F411" s="149"/>
      <c r="G411" s="2">
        <f ca="1"/>
        <v>0</v>
      </c>
      <c r="H411" s="61" t="str">
        <f t="shared" ca="1" si="98"/>
        <v/>
      </c>
      <c r="I411" s="225" t="str">
        <f t="shared" ca="1" si="99"/>
        <v/>
      </c>
      <c r="J411" s="147" t="str">
        <f t="shared" ca="1" si="100"/>
        <v/>
      </c>
      <c r="K411" s="36" t="str">
        <f t="shared" ca="1" si="101"/>
        <v/>
      </c>
      <c r="L411" s="36" t="str">
        <f t="shared" ca="1" si="101"/>
        <v/>
      </c>
      <c r="M411" s="36" t="str">
        <f t="shared" ca="1" si="101"/>
        <v/>
      </c>
      <c r="N411" s="36" t="str">
        <f t="shared" ca="1" si="101"/>
        <v/>
      </c>
      <c r="O411" s="147" t="str">
        <f t="shared" ca="1" si="91"/>
        <v/>
      </c>
      <c r="P411" s="227" t="str">
        <f t="shared" ca="1" si="92"/>
        <v/>
      </c>
      <c r="Q411" s="13"/>
      <c r="X411" s="411">
        <f>Data!G442</f>
        <v>0</v>
      </c>
      <c r="Y411" s="411">
        <f t="shared" si="93"/>
        <v>0</v>
      </c>
    </row>
    <row r="412" spans="5:25" x14ac:dyDescent="0.25">
      <c r="E412" s="2"/>
      <c r="F412" s="149"/>
      <c r="G412" s="2">
        <f ca="1"/>
        <v>0</v>
      </c>
      <c r="H412" s="61" t="str">
        <f t="shared" ca="1" si="98"/>
        <v/>
      </c>
      <c r="I412" s="225" t="str">
        <f t="shared" ca="1" si="99"/>
        <v/>
      </c>
      <c r="J412" s="147" t="str">
        <f t="shared" ca="1" si="100"/>
        <v/>
      </c>
      <c r="K412" s="36" t="str">
        <f t="shared" ca="1" si="101"/>
        <v/>
      </c>
      <c r="L412" s="36" t="str">
        <f t="shared" ca="1" si="101"/>
        <v/>
      </c>
      <c r="M412" s="36" t="str">
        <f t="shared" ca="1" si="101"/>
        <v/>
      </c>
      <c r="N412" s="36" t="str">
        <f t="shared" ca="1" si="101"/>
        <v/>
      </c>
      <c r="O412" s="147" t="str">
        <f t="shared" ca="1" si="91"/>
        <v/>
      </c>
      <c r="P412" s="227" t="str">
        <f t="shared" ca="1" si="92"/>
        <v/>
      </c>
      <c r="Q412" s="13"/>
      <c r="X412" s="411">
        <f>Data!G443</f>
        <v>0</v>
      </c>
      <c r="Y412" s="411">
        <f t="shared" si="93"/>
        <v>0</v>
      </c>
    </row>
    <row r="413" spans="5:25" s="402" customFormat="1" x14ac:dyDescent="0.25">
      <c r="E413" s="2"/>
      <c r="F413" s="149"/>
      <c r="G413" s="2">
        <f ca="1"/>
        <v>0</v>
      </c>
      <c r="H413" s="61" t="str">
        <f t="shared" ca="1" si="98"/>
        <v/>
      </c>
      <c r="I413" s="225" t="str">
        <f t="shared" ca="1" si="99"/>
        <v/>
      </c>
      <c r="J413" s="147" t="str">
        <f t="shared" ca="1" si="100"/>
        <v/>
      </c>
      <c r="K413" s="36" t="str">
        <f t="shared" ca="1" si="101"/>
        <v/>
      </c>
      <c r="L413" s="36" t="str">
        <f t="shared" ca="1" si="101"/>
        <v/>
      </c>
      <c r="M413" s="36" t="str">
        <f t="shared" ca="1" si="101"/>
        <v/>
      </c>
      <c r="N413" s="36" t="str">
        <f t="shared" ca="1" si="101"/>
        <v/>
      </c>
      <c r="O413" s="147" t="str">
        <f t="shared" ca="1" si="91"/>
        <v/>
      </c>
      <c r="P413" s="227" t="str">
        <f t="shared" ca="1" si="92"/>
        <v/>
      </c>
      <c r="Q413" s="13"/>
      <c r="X413" s="411">
        <f>Data!G444</f>
        <v>0</v>
      </c>
      <c r="Y413" s="411">
        <f t="shared" si="93"/>
        <v>0</v>
      </c>
    </row>
    <row r="414" spans="5:25" s="402" customFormat="1" x14ac:dyDescent="0.25">
      <c r="E414" s="2"/>
      <c r="F414" s="149"/>
      <c r="G414" s="2">
        <f ca="1"/>
        <v>0</v>
      </c>
      <c r="H414" s="61" t="str">
        <f t="shared" ca="1" si="98"/>
        <v/>
      </c>
      <c r="I414" s="225" t="str">
        <f t="shared" ca="1" si="99"/>
        <v/>
      </c>
      <c r="J414" s="147" t="str">
        <f t="shared" ca="1" si="100"/>
        <v/>
      </c>
      <c r="K414" s="36" t="str">
        <f t="shared" ca="1" si="101"/>
        <v/>
      </c>
      <c r="L414" s="36" t="str">
        <f t="shared" ca="1" si="101"/>
        <v/>
      </c>
      <c r="M414" s="36" t="str">
        <f t="shared" ca="1" si="101"/>
        <v/>
      </c>
      <c r="N414" s="36" t="str">
        <f t="shared" ca="1" si="101"/>
        <v/>
      </c>
      <c r="O414" s="147" t="str">
        <f t="shared" ca="1" si="91"/>
        <v/>
      </c>
      <c r="P414" s="227" t="str">
        <f t="shared" ca="1" si="92"/>
        <v/>
      </c>
      <c r="Q414" s="13"/>
      <c r="X414" s="411">
        <f>Data!G445</f>
        <v>0</v>
      </c>
      <c r="Y414" s="411">
        <f t="shared" si="93"/>
        <v>0</v>
      </c>
    </row>
    <row r="415" spans="5:25" s="402" customFormat="1" x14ac:dyDescent="0.25">
      <c r="E415" s="2"/>
      <c r="F415" s="149"/>
      <c r="G415" s="2">
        <f ca="1"/>
        <v>0</v>
      </c>
      <c r="H415" s="61" t="str">
        <f t="shared" ca="1" si="98"/>
        <v/>
      </c>
      <c r="I415" s="225" t="str">
        <f t="shared" ca="1" si="99"/>
        <v/>
      </c>
      <c r="J415" s="147" t="str">
        <f t="shared" ca="1" si="100"/>
        <v/>
      </c>
      <c r="K415" s="36" t="str">
        <f t="shared" ca="1" si="101"/>
        <v/>
      </c>
      <c r="L415" s="36" t="str">
        <f t="shared" ca="1" si="101"/>
        <v/>
      </c>
      <c r="M415" s="36" t="str">
        <f t="shared" ca="1" si="101"/>
        <v/>
      </c>
      <c r="N415" s="36" t="str">
        <f t="shared" ca="1" si="101"/>
        <v/>
      </c>
      <c r="O415" s="147" t="str">
        <f t="shared" ca="1" si="91"/>
        <v/>
      </c>
      <c r="P415" s="227" t="str">
        <f t="shared" ca="1" si="92"/>
        <v/>
      </c>
      <c r="Q415" s="13"/>
      <c r="X415" s="411">
        <f>Data!G446</f>
        <v>0</v>
      </c>
      <c r="Y415" s="411">
        <f t="shared" si="93"/>
        <v>0</v>
      </c>
    </row>
    <row r="416" spans="5:25" s="402" customFormat="1" x14ac:dyDescent="0.25">
      <c r="E416" s="2"/>
      <c r="F416" s="149"/>
      <c r="G416" s="2">
        <f ca="1"/>
        <v>0</v>
      </c>
      <c r="H416" s="61" t="str">
        <f t="shared" ca="1" si="98"/>
        <v/>
      </c>
      <c r="I416" s="225" t="str">
        <f t="shared" ca="1" si="99"/>
        <v/>
      </c>
      <c r="J416" s="147" t="str">
        <f t="shared" ca="1" si="100"/>
        <v/>
      </c>
      <c r="K416" s="36" t="str">
        <f t="shared" ca="1" si="101"/>
        <v/>
      </c>
      <c r="L416" s="36" t="str">
        <f t="shared" ca="1" si="101"/>
        <v/>
      </c>
      <c r="M416" s="36" t="str">
        <f t="shared" ca="1" si="101"/>
        <v/>
      </c>
      <c r="N416" s="36" t="str">
        <f t="shared" ca="1" si="101"/>
        <v/>
      </c>
      <c r="O416" s="147" t="str">
        <f t="shared" ca="1" si="91"/>
        <v/>
      </c>
      <c r="P416" s="227" t="str">
        <f t="shared" ca="1" si="92"/>
        <v/>
      </c>
      <c r="Q416" s="13"/>
      <c r="X416" s="411">
        <f>Data!G447</f>
        <v>0</v>
      </c>
      <c r="Y416" s="411">
        <f t="shared" si="93"/>
        <v>0</v>
      </c>
    </row>
    <row r="417" spans="3:25" s="402" customFormat="1" x14ac:dyDescent="0.25">
      <c r="E417" s="2"/>
      <c r="F417" s="149"/>
      <c r="G417" s="2">
        <f ca="1"/>
        <v>0</v>
      </c>
      <c r="H417" s="61" t="str">
        <f t="shared" ca="1" si="98"/>
        <v/>
      </c>
      <c r="I417" s="225" t="str">
        <f t="shared" ca="1" si="99"/>
        <v/>
      </c>
      <c r="J417" s="147" t="str">
        <f t="shared" ca="1" si="100"/>
        <v/>
      </c>
      <c r="K417" s="36" t="str">
        <f t="shared" ca="1" si="101"/>
        <v/>
      </c>
      <c r="L417" s="36" t="str">
        <f t="shared" ca="1" si="101"/>
        <v/>
      </c>
      <c r="M417" s="36" t="str">
        <f t="shared" ca="1" si="101"/>
        <v/>
      </c>
      <c r="N417" s="36" t="str">
        <f t="shared" ca="1" si="101"/>
        <v/>
      </c>
      <c r="O417" s="147" t="str">
        <f t="shared" ref="O417:O423" ca="1" si="102">IF(NOT(ISTEXT($G417)),"",IFERROR(INDEX(extreme_loss,MATCH($G417,OFFSET(extreme_loss,0,0,,1),0),MATCH("COMMODITY",OFFSET(extreme_loss,0,0,1),0)),0)/Nav/SQRT(12))</f>
        <v/>
      </c>
      <c r="P417" s="227" t="str">
        <f t="shared" ref="P417:P423" ca="1" si="103">IF(NOT(ISTEXT($G417)),"",IFERROR(INDEX(extreme_loss,MATCH($G417,OFFSET(extreme_loss,0,0,,1),0),MATCH(P$351,OFFSET(extreme_loss,0,0,1),0)),0)/Nav/SQRT(12))</f>
        <v/>
      </c>
      <c r="Q417" s="13"/>
      <c r="X417" s="411">
        <f>Data!G448</f>
        <v>0</v>
      </c>
      <c r="Y417" s="411">
        <f t="shared" si="93"/>
        <v>0</v>
      </c>
    </row>
    <row r="418" spans="3:25" s="402" customFormat="1" x14ac:dyDescent="0.25">
      <c r="E418" s="2"/>
      <c r="F418" s="149"/>
      <c r="G418" s="2">
        <f ca="1"/>
        <v>0</v>
      </c>
      <c r="H418" s="61" t="str">
        <f t="shared" ca="1" si="98"/>
        <v/>
      </c>
      <c r="I418" s="225" t="str">
        <f t="shared" ca="1" si="99"/>
        <v/>
      </c>
      <c r="J418" s="147" t="str">
        <f t="shared" ca="1" si="100"/>
        <v/>
      </c>
      <c r="K418" s="36" t="str">
        <f t="shared" ca="1" si="101"/>
        <v/>
      </c>
      <c r="L418" s="36" t="str">
        <f t="shared" ca="1" si="101"/>
        <v/>
      </c>
      <c r="M418" s="36" t="str">
        <f t="shared" ca="1" si="101"/>
        <v/>
      </c>
      <c r="N418" s="36" t="str">
        <f t="shared" ca="1" si="101"/>
        <v/>
      </c>
      <c r="O418" s="147" t="str">
        <f t="shared" ca="1" si="102"/>
        <v/>
      </c>
      <c r="P418" s="227" t="str">
        <f t="shared" ca="1" si="103"/>
        <v/>
      </c>
      <c r="Q418" s="13"/>
      <c r="X418" s="411">
        <f>Data!G449</f>
        <v>0</v>
      </c>
      <c r="Y418" s="411">
        <f t="shared" ref="Y418:Y423" si="104">IF(X418="HURDLE RATE","HURDLE",IF(X418="VOL","VOLATILITY",X418))</f>
        <v>0</v>
      </c>
    </row>
    <row r="419" spans="3:25" x14ac:dyDescent="0.25">
      <c r="E419" s="2"/>
      <c r="F419" s="149"/>
      <c r="G419" s="2">
        <f ca="1"/>
        <v>0</v>
      </c>
      <c r="H419" s="61" t="str">
        <f t="shared" ca="1" si="98"/>
        <v/>
      </c>
      <c r="I419" s="225" t="str">
        <f t="shared" ca="1" si="99"/>
        <v/>
      </c>
      <c r="J419" s="147" t="str">
        <f t="shared" ca="1" si="100"/>
        <v/>
      </c>
      <c r="K419" s="36" t="str">
        <f t="shared" ca="1" si="101"/>
        <v/>
      </c>
      <c r="L419" s="36" t="str">
        <f t="shared" ca="1" si="101"/>
        <v/>
      </c>
      <c r="M419" s="36" t="str">
        <f t="shared" ca="1" si="101"/>
        <v/>
      </c>
      <c r="N419" s="36" t="str">
        <f t="shared" ca="1" si="101"/>
        <v/>
      </c>
      <c r="O419" s="147" t="str">
        <f t="shared" ca="1" si="102"/>
        <v/>
      </c>
      <c r="P419" s="227" t="str">
        <f t="shared" ca="1" si="103"/>
        <v/>
      </c>
      <c r="Q419" s="13"/>
      <c r="X419" s="411">
        <f>Data!G450</f>
        <v>0</v>
      </c>
      <c r="Y419" s="411">
        <f t="shared" si="104"/>
        <v>0</v>
      </c>
    </row>
    <row r="420" spans="3:25" s="408" customFormat="1" x14ac:dyDescent="0.25">
      <c r="E420" s="2"/>
      <c r="F420" s="149"/>
      <c r="G420" s="2">
        <f ca="1"/>
        <v>0</v>
      </c>
      <c r="H420" s="61" t="str">
        <f t="shared" ca="1" si="98"/>
        <v/>
      </c>
      <c r="I420" s="225" t="str">
        <f t="shared" ca="1" si="99"/>
        <v/>
      </c>
      <c r="J420" s="147" t="str">
        <f t="shared" ca="1" si="100"/>
        <v/>
      </c>
      <c r="K420" s="36" t="str">
        <f t="shared" ca="1" si="101"/>
        <v/>
      </c>
      <c r="L420" s="36" t="str">
        <f t="shared" ca="1" si="101"/>
        <v/>
      </c>
      <c r="M420" s="36" t="str">
        <f t="shared" ca="1" si="101"/>
        <v/>
      </c>
      <c r="N420" s="36" t="str">
        <f t="shared" ca="1" si="101"/>
        <v/>
      </c>
      <c r="O420" s="147" t="str">
        <f t="shared" ca="1" si="102"/>
        <v/>
      </c>
      <c r="P420" s="227" t="str">
        <f t="shared" ca="1" si="103"/>
        <v/>
      </c>
      <c r="Q420" s="13"/>
      <c r="X420" s="411">
        <f>Data!G451</f>
        <v>0</v>
      </c>
      <c r="Y420" s="411">
        <f t="shared" si="104"/>
        <v>0</v>
      </c>
    </row>
    <row r="421" spans="3:25" s="408" customFormat="1" x14ac:dyDescent="0.25">
      <c r="E421" s="2"/>
      <c r="F421" s="149"/>
      <c r="G421" s="2">
        <f ca="1"/>
        <v>0</v>
      </c>
      <c r="H421" s="61" t="str">
        <f t="shared" ca="1" si="98"/>
        <v/>
      </c>
      <c r="I421" s="225" t="str">
        <f t="shared" ca="1" si="99"/>
        <v/>
      </c>
      <c r="J421" s="147" t="str">
        <f t="shared" ca="1" si="100"/>
        <v/>
      </c>
      <c r="K421" s="36" t="str">
        <f t="shared" ca="1" si="101"/>
        <v/>
      </c>
      <c r="L421" s="36" t="str">
        <f t="shared" ca="1" si="101"/>
        <v/>
      </c>
      <c r="M421" s="36" t="str">
        <f t="shared" ca="1" si="101"/>
        <v/>
      </c>
      <c r="N421" s="36" t="str">
        <f t="shared" ca="1" si="101"/>
        <v/>
      </c>
      <c r="O421" s="147" t="str">
        <f t="shared" ca="1" si="102"/>
        <v/>
      </c>
      <c r="P421" s="227" t="str">
        <f t="shared" ca="1" si="103"/>
        <v/>
      </c>
      <c r="Q421" s="13"/>
      <c r="X421" s="411">
        <f>Data!G452</f>
        <v>0</v>
      </c>
      <c r="Y421" s="411">
        <f t="shared" si="104"/>
        <v>0</v>
      </c>
    </row>
    <row r="422" spans="3:25" s="408" customFormat="1" x14ac:dyDescent="0.25">
      <c r="E422" s="2"/>
      <c r="F422" s="149"/>
      <c r="G422" s="2">
        <f ca="1"/>
        <v>0</v>
      </c>
      <c r="H422" s="61" t="str">
        <f t="shared" ca="1" si="98"/>
        <v/>
      </c>
      <c r="I422" s="225" t="str">
        <f t="shared" ca="1" si="99"/>
        <v/>
      </c>
      <c r="J422" s="147" t="str">
        <f t="shared" ca="1" si="100"/>
        <v/>
      </c>
      <c r="K422" s="36" t="str">
        <f t="shared" ca="1" si="101"/>
        <v/>
      </c>
      <c r="L422" s="36" t="str">
        <f t="shared" ca="1" si="101"/>
        <v/>
      </c>
      <c r="M422" s="36" t="str">
        <f t="shared" ca="1" si="101"/>
        <v/>
      </c>
      <c r="N422" s="36" t="str">
        <f t="shared" ca="1" si="101"/>
        <v/>
      </c>
      <c r="O422" s="147" t="str">
        <f t="shared" ca="1" si="102"/>
        <v/>
      </c>
      <c r="P422" s="227" t="str">
        <f t="shared" ca="1" si="103"/>
        <v/>
      </c>
      <c r="Q422" s="13"/>
      <c r="X422" s="411">
        <f>Data!G453</f>
        <v>0</v>
      </c>
      <c r="Y422" s="411">
        <f t="shared" si="104"/>
        <v>0</v>
      </c>
    </row>
    <row r="423" spans="3:25" s="408" customFormat="1" x14ac:dyDescent="0.25">
      <c r="E423" s="2"/>
      <c r="F423" s="149"/>
      <c r="G423" s="2">
        <f ca="1"/>
        <v>0</v>
      </c>
      <c r="H423" s="61" t="str">
        <f t="shared" ca="1" si="98"/>
        <v/>
      </c>
      <c r="I423" s="225" t="str">
        <f t="shared" ca="1" si="99"/>
        <v/>
      </c>
      <c r="J423" s="147" t="str">
        <f t="shared" ca="1" si="100"/>
        <v/>
      </c>
      <c r="K423" s="36" t="str">
        <f t="shared" ca="1" si="101"/>
        <v/>
      </c>
      <c r="L423" s="36" t="str">
        <f t="shared" ca="1" si="101"/>
        <v/>
      </c>
      <c r="M423" s="36" t="str">
        <f t="shared" ca="1" si="101"/>
        <v/>
      </c>
      <c r="N423" s="36" t="str">
        <f t="shared" ca="1" si="101"/>
        <v/>
      </c>
      <c r="O423" s="147" t="str">
        <f t="shared" ca="1" si="102"/>
        <v/>
      </c>
      <c r="P423" s="227" t="str">
        <f t="shared" ca="1" si="103"/>
        <v/>
      </c>
      <c r="Q423" s="13"/>
      <c r="X423" s="411">
        <f>Data!G454</f>
        <v>0</v>
      </c>
      <c r="Y423" s="411">
        <f t="shared" si="104"/>
        <v>0</v>
      </c>
    </row>
    <row r="424" spans="3:25" s="408" customFormat="1" x14ac:dyDescent="0.25">
      <c r="E424" s="2"/>
      <c r="F424" s="149"/>
      <c r="G424" s="2"/>
      <c r="H424" s="70"/>
      <c r="I424" s="225"/>
      <c r="J424" s="36"/>
      <c r="K424" s="36"/>
      <c r="L424" s="36"/>
      <c r="M424" s="36"/>
      <c r="N424" s="36"/>
      <c r="O424" s="36"/>
      <c r="P424" s="36"/>
      <c r="Q424" s="13"/>
    </row>
    <row r="425" spans="3:25" x14ac:dyDescent="0.25">
      <c r="E425" s="2"/>
      <c r="F425" s="149"/>
      <c r="G425" s="55"/>
      <c r="H425" s="70"/>
      <c r="I425" s="225"/>
      <c r="J425" s="36"/>
      <c r="K425" s="36"/>
      <c r="L425" s="36"/>
      <c r="M425" s="36"/>
      <c r="N425" s="36"/>
      <c r="O425" s="36"/>
      <c r="P425" s="36"/>
      <c r="Q425" s="13"/>
    </row>
    <row r="426" spans="3:25" ht="6" customHeight="1" thickBot="1" x14ac:dyDescent="0.3">
      <c r="E426" s="2"/>
      <c r="F426" s="230"/>
      <c r="G426" s="55" t="s">
        <v>11</v>
      </c>
      <c r="H426" s="70" t="s">
        <v>11</v>
      </c>
      <c r="I426" s="225" t="s">
        <v>11</v>
      </c>
      <c r="J426" s="70" t="s">
        <v>11</v>
      </c>
      <c r="K426" s="36" t="s">
        <v>11</v>
      </c>
      <c r="L426" s="36" t="s">
        <v>11</v>
      </c>
      <c r="M426" s="36" t="s">
        <v>11</v>
      </c>
      <c r="N426" s="36" t="s">
        <v>11</v>
      </c>
      <c r="O426" s="36" t="s">
        <v>11</v>
      </c>
      <c r="P426" s="36" t="s">
        <v>11</v>
      </c>
      <c r="Q426" s="13"/>
    </row>
    <row r="427" spans="3:25" ht="20.25" thickBot="1" x14ac:dyDescent="0.3">
      <c r="C427" s="418" t="s">
        <v>124</v>
      </c>
      <c r="D427" s="419"/>
      <c r="E427" s="419"/>
      <c r="F427" s="419"/>
      <c r="G427" s="419"/>
      <c r="H427" s="419"/>
      <c r="I427" s="419"/>
      <c r="J427" s="419"/>
      <c r="K427" s="419"/>
      <c r="L427" s="419"/>
      <c r="M427" s="419"/>
      <c r="N427" s="419"/>
      <c r="O427" s="419"/>
      <c r="P427" s="419"/>
      <c r="Q427" s="419"/>
      <c r="R427" s="419"/>
      <c r="S427" s="419"/>
      <c r="T427" s="420"/>
    </row>
    <row r="428" spans="3:25" ht="6" customHeight="1" x14ac:dyDescent="0.25">
      <c r="E428" s="2"/>
      <c r="F428" s="3"/>
    </row>
    <row r="429" spans="3:25" ht="17.25" x14ac:dyDescent="0.3">
      <c r="C429" s="21" t="s">
        <v>125</v>
      </c>
      <c r="D429" s="231"/>
      <c r="E429" s="231"/>
      <c r="F429" s="22"/>
      <c r="G429" s="232"/>
      <c r="H429" s="232"/>
      <c r="I429" s="232"/>
      <c r="J429" s="231"/>
      <c r="K429" s="231"/>
      <c r="L429" s="231"/>
      <c r="M429" s="231"/>
      <c r="N429" s="231"/>
      <c r="O429" s="231"/>
      <c r="P429" s="231"/>
      <c r="Q429" s="231"/>
      <c r="R429" s="22"/>
      <c r="S429" s="22"/>
      <c r="T429" s="22"/>
    </row>
    <row r="430" spans="3:25" ht="17.25" x14ac:dyDescent="0.3">
      <c r="C430" s="233"/>
      <c r="D430" s="138"/>
      <c r="F430" s="234" t="s">
        <v>126</v>
      </c>
      <c r="G430" s="205"/>
      <c r="H430" s="205"/>
      <c r="I430" s="205"/>
      <c r="J430" s="138"/>
      <c r="K430" s="138"/>
      <c r="O430" s="234" t="s">
        <v>126</v>
      </c>
      <c r="S430" s="13"/>
      <c r="T430" s="13"/>
    </row>
    <row r="431" spans="3:25" ht="17.25" x14ac:dyDescent="0.3">
      <c r="C431" s="233"/>
      <c r="D431" s="138"/>
      <c r="E431" s="48" t="s">
        <v>127</v>
      </c>
      <c r="F431" s="235" t="s">
        <v>38</v>
      </c>
      <c r="G431" s="236" t="s">
        <v>250</v>
      </c>
      <c r="H431" s="1" t="s">
        <v>251</v>
      </c>
      <c r="I431" s="236" t="s">
        <v>34</v>
      </c>
      <c r="J431" s="108" t="s">
        <v>35</v>
      </c>
      <c r="K431" s="108" t="s">
        <v>36</v>
      </c>
      <c r="L431" s="236" t="s">
        <v>9</v>
      </c>
      <c r="N431" s="48" t="s">
        <v>128</v>
      </c>
      <c r="O431" s="235" t="s">
        <v>38</v>
      </c>
      <c r="P431" s="236" t="s">
        <v>33</v>
      </c>
      <c r="Q431" s="236" t="s">
        <v>34</v>
      </c>
      <c r="R431" s="108" t="s">
        <v>35</v>
      </c>
      <c r="S431" s="108" t="s">
        <v>36</v>
      </c>
      <c r="T431" s="236" t="s">
        <v>9</v>
      </c>
    </row>
    <row r="432" spans="3:25" ht="17.25" x14ac:dyDescent="0.3">
      <c r="C432" s="233"/>
      <c r="D432" s="138"/>
      <c r="E432" s="237" t="str">
        <f t="array" aca="1" ref="E432:E444" ca="1">OFFSET(fx_delta_ccy,1,0,100,1)</f>
        <v>AUD</v>
      </c>
      <c r="F432" s="238">
        <f t="shared" ref="F432:F444" ca="1" si="105">SUM(G432:L432)</f>
        <v>1098861</v>
      </c>
      <c r="G432" s="239">
        <f ca="1">IFERROR(INDEX(fx_delta_ccy,MATCH($E432,Data!$A$40:$A$66,0),MATCH(G$431,Data!$A$40:$H$40,0)),0)</f>
        <v>1098844</v>
      </c>
      <c r="H432" s="240">
        <f ca="1">IFERROR(INDEX(fx_delta_ccy,MATCH($E432,Data!$A$40:$A$66,0),MATCH(H$431,Data!$A$40:$H$40,0)),0)</f>
        <v>-275496</v>
      </c>
      <c r="I432" s="240">
        <f ca="1">IFERROR(INDEX(fx_delta_ccy,MATCH($E432,Data!$A$40:$A$66,0),MATCH(I$431,Data!$A$40:$H$40,0)),0)</f>
        <v>0</v>
      </c>
      <c r="J432" s="240">
        <f ca="1">IFERROR(INDEX(fx_delta_ccy,MATCH($E432,Data!$A$40:$A$66,0),MATCH(J$431,Data!$A$40:$H$40,0)),0)</f>
        <v>0</v>
      </c>
      <c r="K432" s="240">
        <f ca="1">IFERROR(INDEX(fx_delta_ccy,MATCH($E432,Data!$A$40:$A$66,0),MATCH(K$431,Data!$A$40:$H$40,0)),0)</f>
        <v>0</v>
      </c>
      <c r="L432" s="241">
        <f ca="1">IFERROR(INDEX(fx_delta_ccy,MATCH($E432,Data!$A$40:$A$66,0),MATCH(L$431,Data!$A$40:$H$40,0)),0)</f>
        <v>275513</v>
      </c>
      <c r="N432" s="237" t="s">
        <v>129</v>
      </c>
      <c r="O432" s="238">
        <f>SUM(P432:T432)</f>
        <v>-20820380</v>
      </c>
      <c r="P432" s="240">
        <f>IFERROR(INDEX(fx_delta_region,MATCH(Report!$N432,Data!$A$71:$A$74,0),MATCH(Report!P$431,Data!$A$71:$H$71,0)),0)</f>
        <v>-23488466</v>
      </c>
      <c r="Q432" s="240">
        <f>IFERROR(INDEX(fx_delta_region,MATCH(Report!$N432,Data!$A$71:$A$74,0),MATCH(Report!Q$431,Data!$A$71:$H$71,0)),0)</f>
        <v>136979</v>
      </c>
      <c r="R432" s="240">
        <f>IFERROR(INDEX(fx_delta_region,MATCH(Report!$N432,Data!$A$71:$A$74,0),MATCH(Report!R$431,Data!$A$71:$H$71,0)),0)</f>
        <v>-4133878</v>
      </c>
      <c r="S432" s="240">
        <f>IFERROR(INDEX(fx_delta_region,MATCH(Report!$N432,Data!$A$71:$A$74,0),MATCH(Report!S$431,Data!$A$71:$H$71,0)),0)</f>
        <v>971441</v>
      </c>
      <c r="T432" s="241">
        <f>IFERROR(INDEX(fx_delta_region,MATCH(Report!$N432,Data!$A$71:$A$74,0),MATCH(Report!T$431,Data!$A$71:$H$71,0)),0)</f>
        <v>5693544</v>
      </c>
    </row>
    <row r="433" spans="2:20" ht="17.25" x14ac:dyDescent="0.3">
      <c r="C433" s="233"/>
      <c r="D433" s="138"/>
      <c r="E433" s="237" t="str">
        <f ca="1"/>
        <v>BRL</v>
      </c>
      <c r="F433" s="242">
        <f t="shared" ca="1" si="105"/>
        <v>-639756</v>
      </c>
      <c r="G433" s="243">
        <f ca="1">IFERROR(INDEX(fx_delta_ccy,MATCH($E433,Data!$A$40:$A$66,0),MATCH(G$431,Data!$A$40:$H$40,0)),0)</f>
        <v>-639756</v>
      </c>
      <c r="H433" s="17">
        <f ca="1">IFERROR(INDEX(fx_delta_ccy,MATCH($E433,Data!$A$40:$A$66,0),MATCH(H$431,Data!$A$40:$H$40,0)),0)</f>
        <v>0</v>
      </c>
      <c r="I433" s="17">
        <f ca="1">IFERROR(INDEX(fx_delta_ccy,MATCH($E433,Data!$A$40:$A$66,0),MATCH(I$431,Data!$A$40:$H$40,0)),0)</f>
        <v>0</v>
      </c>
      <c r="J433" s="17">
        <f ca="1">IFERROR(INDEX(fx_delta_ccy,MATCH($E433,Data!$A$40:$A$66,0),MATCH(J$431,Data!$A$40:$H$40,0)),0)</f>
        <v>0</v>
      </c>
      <c r="K433" s="17">
        <f ca="1">IFERROR(INDEX(fx_delta_ccy,MATCH($E433,Data!$A$40:$A$66,0),MATCH(K$431,Data!$A$40:$H$40,0)),0)</f>
        <v>0</v>
      </c>
      <c r="L433" s="244">
        <f ca="1">IFERROR(INDEX(fx_delta_ccy,MATCH($E433,Data!$A$40:$A$66,0),MATCH(L$431,Data!$A$40:$H$40,0)),0)</f>
        <v>0</v>
      </c>
      <c r="N433" s="237" t="s">
        <v>130</v>
      </c>
      <c r="O433" s="242">
        <f t="shared" ref="O433:O435" si="106">SUM(P433:T433)</f>
        <v>0</v>
      </c>
      <c r="P433" s="17">
        <f>IFERROR(INDEX(fx_delta_region,MATCH(Report!$N433,Data!$A$71:$A$74,0),MATCH(Report!P$431,Data!$A$71:$H$71,0)),0)</f>
        <v>0</v>
      </c>
      <c r="Q433" s="17">
        <f>IFERROR(INDEX(fx_delta_region,MATCH(Report!$N433,Data!$A$71:$A$74,0),MATCH(Report!Q$431,Data!$A$71:$H$71,0)),0)</f>
        <v>0</v>
      </c>
      <c r="R433" s="17">
        <f>IFERROR(INDEX(fx_delta_region,MATCH(Report!$N433,Data!$A$71:$A$74,0),MATCH(Report!R$431,Data!$A$71:$H$71,0)),0)</f>
        <v>0</v>
      </c>
      <c r="S433" s="17">
        <f>IFERROR(INDEX(fx_delta_region,MATCH(Report!$N433,Data!$A$71:$A$74,0),MATCH(Report!S$431,Data!$A$71:$H$71,0)),0)</f>
        <v>0</v>
      </c>
      <c r="T433" s="244">
        <f>IFERROR(INDEX(fx_delta_region,MATCH(Report!$N433,Data!$A$71:$A$74,0),MATCH(Report!T$431,Data!$A$71:$H$71,0)),0)</f>
        <v>0</v>
      </c>
    </row>
    <row r="434" spans="2:20" ht="17.25" x14ac:dyDescent="0.3">
      <c r="B434" s="245"/>
      <c r="C434" s="233"/>
      <c r="D434" s="138"/>
      <c r="E434" s="237" t="str">
        <f ca="1"/>
        <v>CAD</v>
      </c>
      <c r="F434" s="242">
        <f t="shared" ca="1" si="105"/>
        <v>7162999</v>
      </c>
      <c r="G434" s="243">
        <f ca="1">IFERROR(INDEX(fx_delta_ccy,MATCH($E434,Data!$A$40:$A$66,0),MATCH(G$431,Data!$A$40:$H$40,0)),0)</f>
        <v>7162999</v>
      </c>
      <c r="H434" s="17">
        <f ca="1">IFERROR(INDEX(fx_delta_ccy,MATCH($E434,Data!$A$40:$A$66,0),MATCH(H$431,Data!$A$40:$H$40,0)),0)</f>
        <v>0</v>
      </c>
      <c r="I434" s="17">
        <f ca="1">IFERROR(INDEX(fx_delta_ccy,MATCH($E434,Data!$A$40:$A$66,0),MATCH(I$431,Data!$A$40:$H$40,0)),0)</f>
        <v>0</v>
      </c>
      <c r="J434" s="17">
        <f ca="1">IFERROR(INDEX(fx_delta_ccy,MATCH($E434,Data!$A$40:$A$66,0),MATCH(J$431,Data!$A$40:$H$40,0)),0)</f>
        <v>0</v>
      </c>
      <c r="K434" s="17">
        <f ca="1">IFERROR(INDEX(fx_delta_ccy,MATCH($E434,Data!$A$40:$A$66,0),MATCH(K$431,Data!$A$40:$H$40,0)),0)</f>
        <v>0</v>
      </c>
      <c r="L434" s="244">
        <f ca="1">IFERROR(INDEX(fx_delta_ccy,MATCH($E434,Data!$A$40:$A$66,0),MATCH(L$431,Data!$A$40:$H$40,0)),0)</f>
        <v>0</v>
      </c>
      <c r="N434" s="237" t="s">
        <v>131</v>
      </c>
      <c r="O434" s="242">
        <f t="shared" si="106"/>
        <v>-10777332</v>
      </c>
      <c r="P434" s="17">
        <f>IFERROR(INDEX(fx_delta_region,MATCH(Report!$N434,Data!$A$71:$A$74,0),MATCH(Report!P$431,Data!$A$71:$H$71,0)),0)</f>
        <v>-10777332</v>
      </c>
      <c r="Q434" s="17">
        <f>IFERROR(INDEX(fx_delta_region,MATCH(Report!$N434,Data!$A$71:$A$74,0),MATCH(Report!Q$431,Data!$A$71:$H$71,0)),0)</f>
        <v>0</v>
      </c>
      <c r="R434" s="17">
        <f>IFERROR(INDEX(fx_delta_region,MATCH(Report!$N434,Data!$A$71:$A$74,0),MATCH(Report!R$431,Data!$A$71:$H$71,0)),0)</f>
        <v>0</v>
      </c>
      <c r="S434" s="17">
        <f>IFERROR(INDEX(fx_delta_region,MATCH(Report!$N434,Data!$A$71:$A$74,0),MATCH(Report!S$431,Data!$A$71:$H$71,0)),0)</f>
        <v>0</v>
      </c>
      <c r="T434" s="244">
        <f>IFERROR(INDEX(fx_delta_region,MATCH(Report!$N434,Data!$A$71:$A$74,0),MATCH(Report!T$431,Data!$A$71:$H$71,0)),0)</f>
        <v>0</v>
      </c>
    </row>
    <row r="435" spans="2:20" ht="17.25" x14ac:dyDescent="0.3">
      <c r="C435" s="233"/>
      <c r="D435" s="138"/>
      <c r="E435" s="237" t="str">
        <f ca="1"/>
        <v>CNH</v>
      </c>
      <c r="F435" s="242">
        <f t="shared" ca="1" si="105"/>
        <v>6857418</v>
      </c>
      <c r="G435" s="243">
        <f ca="1">IFERROR(INDEX(fx_delta_ccy,MATCH($E435,Data!$A$40:$A$66,0),MATCH(G$431,Data!$A$40:$H$40,0)),0)</f>
        <v>6857418</v>
      </c>
      <c r="H435" s="17">
        <f ca="1">IFERROR(INDEX(fx_delta_ccy,MATCH($E435,Data!$A$40:$A$66,0),MATCH(H$431,Data!$A$40:$H$40,0)),0)</f>
        <v>0</v>
      </c>
      <c r="I435" s="17">
        <f ca="1">IFERROR(INDEX(fx_delta_ccy,MATCH($E435,Data!$A$40:$A$66,0),MATCH(I$431,Data!$A$40:$H$40,0)),0)</f>
        <v>0</v>
      </c>
      <c r="J435" s="17">
        <f ca="1">IFERROR(INDEX(fx_delta_ccy,MATCH($E435,Data!$A$40:$A$66,0),MATCH(J$431,Data!$A$40:$H$40,0)),0)</f>
        <v>0</v>
      </c>
      <c r="K435" s="17">
        <f ca="1">IFERROR(INDEX(fx_delta_ccy,MATCH($E435,Data!$A$40:$A$66,0),MATCH(K$431,Data!$A$40:$H$40,0)),0)</f>
        <v>0</v>
      </c>
      <c r="L435" s="244">
        <f ca="1">IFERROR(INDEX(fx_delta_ccy,MATCH($E435,Data!$A$40:$A$66,0),MATCH(L$431,Data!$A$40:$H$40,0)),0)</f>
        <v>0</v>
      </c>
      <c r="N435" s="237" t="s">
        <v>309</v>
      </c>
      <c r="O435" s="247">
        <f t="shared" si="106"/>
        <v>-27651104</v>
      </c>
      <c r="P435" s="34">
        <f>IFERROR(INDEX(fx_delta_region,MATCH(Report!$N435,Data!$A$71:$A$74,0),MATCH(Report!P$431,Data!$A$71:$H$71,0)),0)</f>
        <v>-27651104</v>
      </c>
      <c r="Q435" s="34">
        <f>IFERROR(INDEX(fx_delta_region,MATCH(Report!$N435,Data!$A$71:$A$74,0),MATCH(Report!Q$431,Data!$A$71:$H$71,0)),0)</f>
        <v>0</v>
      </c>
      <c r="R435" s="34">
        <f>IFERROR(INDEX(fx_delta_region,MATCH(Report!$N435,Data!$A$71:$A$74,0),MATCH(Report!R$431,Data!$A$71:$H$71,0)),0)</f>
        <v>0</v>
      </c>
      <c r="S435" s="34">
        <f>IFERROR(INDEX(fx_delta_region,MATCH(Report!$N435,Data!$A$71:$A$74,0),MATCH(Report!S$431,Data!$A$71:$H$71,0)),0)</f>
        <v>0</v>
      </c>
      <c r="T435" s="248">
        <f>IFERROR(INDEX(fx_delta_region,MATCH(Report!$N435,Data!$A$71:$A$74,0),MATCH(Report!T$431,Data!$A$71:$H$71,0)),0)</f>
        <v>0</v>
      </c>
    </row>
    <row r="436" spans="2:20" ht="17.25" x14ac:dyDescent="0.3">
      <c r="C436" s="233"/>
      <c r="D436" s="138"/>
      <c r="E436" s="237" t="str">
        <f ca="1"/>
        <v>EUR</v>
      </c>
      <c r="F436" s="242">
        <f t="shared" ca="1" si="105"/>
        <v>-18218052</v>
      </c>
      <c r="G436" s="243">
        <f ca="1">IFERROR(INDEX(fx_delta_ccy,MATCH($E436,Data!$A$40:$A$66,0),MATCH(G$431,Data!$A$40:$H$40,0)),0)</f>
        <v>-21624493</v>
      </c>
      <c r="H436" s="17">
        <f ca="1">IFERROR(INDEX(fx_delta_ccy,MATCH($E436,Data!$A$40:$A$66,0),MATCH(H$431,Data!$A$40:$H$40,0)),0)</f>
        <v>-1547851</v>
      </c>
      <c r="I436" s="17">
        <f ca="1">IFERROR(INDEX(fx_delta_ccy,MATCH($E436,Data!$A$40:$A$66,0),MATCH(I$431,Data!$A$40:$H$40,0)),0)</f>
        <v>0</v>
      </c>
      <c r="J436" s="17">
        <f ca="1">IFERROR(INDEX(fx_delta_ccy,MATCH($E436,Data!$A$40:$A$66,0),MATCH(J$431,Data!$A$40:$H$40,0)),0)</f>
        <v>0</v>
      </c>
      <c r="K436" s="17">
        <f ca="1">IFERROR(INDEX(fx_delta_ccy,MATCH($E436,Data!$A$40:$A$66,0),MATCH(K$431,Data!$A$40:$H$40,0)),0)</f>
        <v>971441</v>
      </c>
      <c r="L436" s="244">
        <f ca="1">IFERROR(INDEX(fx_delta_ccy,MATCH($E436,Data!$A$40:$A$66,0),MATCH(L$431,Data!$A$40:$H$40,0)),0)</f>
        <v>3982851</v>
      </c>
      <c r="N436" s="75" t="s">
        <v>38</v>
      </c>
      <c r="O436" s="249">
        <f>SUM(O432:O435)</f>
        <v>-59248816</v>
      </c>
      <c r="P436" s="249">
        <f t="shared" ref="P436:T436" si="107">SUM(P432:P435)</f>
        <v>-61916902</v>
      </c>
      <c r="Q436" s="249">
        <f t="shared" si="107"/>
        <v>136979</v>
      </c>
      <c r="R436" s="249">
        <f t="shared" si="107"/>
        <v>-4133878</v>
      </c>
      <c r="S436" s="249">
        <f t="shared" si="107"/>
        <v>971441</v>
      </c>
      <c r="T436" s="249">
        <f t="shared" si="107"/>
        <v>5693544</v>
      </c>
    </row>
    <row r="437" spans="2:20" ht="17.25" x14ac:dyDescent="0.3">
      <c r="C437" s="233"/>
      <c r="D437" s="138"/>
      <c r="E437" s="237" t="str">
        <f ca="1"/>
        <v>GBP</v>
      </c>
      <c r="F437" s="242">
        <f t="shared" ca="1" si="105"/>
        <v>-3676563</v>
      </c>
      <c r="G437" s="243">
        <f ca="1">IFERROR(INDEX(fx_delta_ccy,MATCH($E437,Data!$A$40:$A$66,0),MATCH(G$431,Data!$A$40:$H$40,0)),0)</f>
        <v>-3733042</v>
      </c>
      <c r="H437" s="17">
        <f ca="1">IFERROR(INDEX(fx_delta_ccy,MATCH($E437,Data!$A$40:$A$66,0),MATCH(H$431,Data!$A$40:$H$40,0)),0)</f>
        <v>0</v>
      </c>
      <c r="I437" s="17">
        <f ca="1">IFERROR(INDEX(fx_delta_ccy,MATCH($E437,Data!$A$40:$A$66,0),MATCH(I$431,Data!$A$40:$H$40,0)),0)</f>
        <v>136979</v>
      </c>
      <c r="J437" s="17">
        <f ca="1">IFERROR(INDEX(fx_delta_ccy,MATCH($E437,Data!$A$40:$A$66,0),MATCH(J$431,Data!$A$40:$H$40,0)),0)</f>
        <v>0</v>
      </c>
      <c r="K437" s="17">
        <f ca="1">IFERROR(INDEX(fx_delta_ccy,MATCH($E437,Data!$A$40:$A$66,0),MATCH(K$431,Data!$A$40:$H$40,0)),0)</f>
        <v>0</v>
      </c>
      <c r="L437" s="244">
        <f ca="1">IFERROR(INDEX(fx_delta_ccy,MATCH($E437,Data!$A$40:$A$66,0),MATCH(L$431,Data!$A$40:$H$40,0)),0)</f>
        <v>-80500</v>
      </c>
      <c r="T437" s="13"/>
    </row>
    <row r="438" spans="2:20" ht="17.25" x14ac:dyDescent="0.3">
      <c r="C438" s="233"/>
      <c r="D438" s="138"/>
      <c r="E438" s="237" t="str">
        <f ca="1"/>
        <v>HUF</v>
      </c>
      <c r="F438" s="242">
        <f t="shared" ca="1" si="105"/>
        <v>-10924314</v>
      </c>
      <c r="G438" s="243">
        <f ca="1">IFERROR(INDEX(fx_delta_ccy,MATCH($E438,Data!$A$40:$A$66,0),MATCH(G$431,Data!$A$40:$H$40,0)),0)</f>
        <v>-10924314</v>
      </c>
      <c r="H438" s="17">
        <f ca="1">IFERROR(INDEX(fx_delta_ccy,MATCH($E438,Data!$A$40:$A$66,0),MATCH(H$431,Data!$A$40:$H$40,0)),0)</f>
        <v>0</v>
      </c>
      <c r="I438" s="17">
        <f ca="1">IFERROR(INDEX(fx_delta_ccy,MATCH($E438,Data!$A$40:$A$66,0),MATCH(I$431,Data!$A$40:$H$40,0)),0)</f>
        <v>0</v>
      </c>
      <c r="J438" s="17">
        <f ca="1">IFERROR(INDEX(fx_delta_ccy,MATCH($E438,Data!$A$40:$A$66,0),MATCH(J$431,Data!$A$40:$H$40,0)),0)</f>
        <v>0</v>
      </c>
      <c r="K438" s="17">
        <f ca="1">IFERROR(INDEX(fx_delta_ccy,MATCH($E438,Data!$A$40:$A$66,0),MATCH(K$431,Data!$A$40:$H$40,0)),0)</f>
        <v>0</v>
      </c>
      <c r="L438" s="244">
        <f ca="1">IFERROR(INDEX(fx_delta_ccy,MATCH($E438,Data!$A$40:$A$66,0),MATCH(L$431,Data!$A$40:$H$40,0)),0)</f>
        <v>0</v>
      </c>
      <c r="N438" s="48" t="s">
        <v>132</v>
      </c>
      <c r="O438" s="235" t="s">
        <v>38</v>
      </c>
      <c r="P438" s="236" t="s">
        <v>33</v>
      </c>
      <c r="Q438" s="236" t="s">
        <v>34</v>
      </c>
      <c r="R438" s="108" t="s">
        <v>35</v>
      </c>
      <c r="S438" s="108" t="s">
        <v>36</v>
      </c>
      <c r="T438" s="236" t="s">
        <v>9</v>
      </c>
    </row>
    <row r="439" spans="2:20" ht="17.25" x14ac:dyDescent="0.3">
      <c r="C439" s="233"/>
      <c r="D439" s="138"/>
      <c r="E439" s="237" t="str">
        <f ca="1"/>
        <v>IDR</v>
      </c>
      <c r="F439" s="242">
        <f t="shared" ca="1" si="105"/>
        <v>19251</v>
      </c>
      <c r="G439" s="243">
        <f ca="1">IFERROR(INDEX(fx_delta_ccy,MATCH($E439,Data!$A$40:$A$66,0),MATCH(G$431,Data!$A$40:$H$40,0)),0)</f>
        <v>19251</v>
      </c>
      <c r="H439" s="17">
        <f ca="1">IFERROR(INDEX(fx_delta_ccy,MATCH($E439,Data!$A$40:$A$66,0),MATCH(H$431,Data!$A$40:$H$40,0)),0)</f>
        <v>0</v>
      </c>
      <c r="I439" s="17">
        <f ca="1">IFERROR(INDEX(fx_delta_ccy,MATCH($E439,Data!$A$40:$A$66,0),MATCH(I$431,Data!$A$40:$H$40,0)),0)</f>
        <v>0</v>
      </c>
      <c r="J439" s="17">
        <f ca="1">IFERROR(INDEX(fx_delta_ccy,MATCH($E439,Data!$A$40:$A$66,0),MATCH(J$431,Data!$A$40:$H$40,0)),0)</f>
        <v>0</v>
      </c>
      <c r="K439" s="17">
        <f ca="1">IFERROR(INDEX(fx_delta_ccy,MATCH($E439,Data!$A$40:$A$66,0),MATCH(K$431,Data!$A$40:$H$40,0)),0)</f>
        <v>0</v>
      </c>
      <c r="L439" s="244">
        <f ca="1">IFERROR(INDEX(fx_delta_ccy,MATCH($E439,Data!$A$40:$A$66,0),MATCH(L$431,Data!$A$40:$H$40,0)),0)</f>
        <v>0</v>
      </c>
      <c r="N439" s="237" t="s">
        <v>133</v>
      </c>
      <c r="O439" s="238">
        <f>SUM(P439:T439)</f>
        <v>-20820380</v>
      </c>
      <c r="P439" s="240">
        <f>IFERROR(INDEX(fx_delta_market,MATCH(Report!$N439,Data!$A$79:$A$81,0),MATCH(Report!P$438,Data!$A$79:$H$79,0)),0)</f>
        <v>-23488466</v>
      </c>
      <c r="Q439" s="240">
        <f>IFERROR(INDEX(fx_delta_market,MATCH(Report!$N439,Data!$A$79:$A$81,0),MATCH(Report!Q$438,Data!$A$79:$H$79,0)),0)</f>
        <v>136979</v>
      </c>
      <c r="R439" s="240">
        <f>IFERROR(INDEX(fx_delta_market,MATCH(Report!$N439,Data!$A$79:$A$81,0),MATCH(Report!R$438,Data!$A$79:$H$79,0)),0)</f>
        <v>-4133878</v>
      </c>
      <c r="S439" s="240">
        <f>IFERROR(INDEX(fx_delta_market,MATCH(Report!$N439,Data!$A$79:$A$81,0),MATCH(Report!S$438,Data!$A$79:$H$79,0)),0)</f>
        <v>971441</v>
      </c>
      <c r="T439" s="241">
        <f>IFERROR(INDEX(fx_delta_market,MATCH(Report!$N439,Data!$A$79:$A$81,0),MATCH(Report!T$438,Data!$A$79:$H$79,0)),0)</f>
        <v>5693544</v>
      </c>
    </row>
    <row r="440" spans="2:20" ht="17.25" x14ac:dyDescent="0.3">
      <c r="C440" s="233"/>
      <c r="D440" s="138"/>
      <c r="E440" s="237" t="str">
        <f ca="1"/>
        <v>INR</v>
      </c>
      <c r="F440" s="242">
        <f t="shared" ca="1" si="105"/>
        <v>3858494</v>
      </c>
      <c r="G440" s="243">
        <f ca="1">IFERROR(INDEX(fx_delta_ccy,MATCH($E440,Data!$A$40:$A$66,0),MATCH(G$431,Data!$A$40:$H$40,0)),0)</f>
        <v>3858494</v>
      </c>
      <c r="H440" s="17">
        <f ca="1">IFERROR(INDEX(fx_delta_ccy,MATCH($E440,Data!$A$40:$A$66,0),MATCH(H$431,Data!$A$40:$H$40,0)),0)</f>
        <v>0</v>
      </c>
      <c r="I440" s="17">
        <f ca="1">IFERROR(INDEX(fx_delta_ccy,MATCH($E440,Data!$A$40:$A$66,0),MATCH(I$431,Data!$A$40:$H$40,0)),0)</f>
        <v>0</v>
      </c>
      <c r="J440" s="17">
        <f ca="1">IFERROR(INDEX(fx_delta_ccy,MATCH($E440,Data!$A$40:$A$66,0),MATCH(J$431,Data!$A$40:$H$40,0)),0)</f>
        <v>0</v>
      </c>
      <c r="K440" s="17">
        <f ca="1">IFERROR(INDEX(fx_delta_ccy,MATCH($E440,Data!$A$40:$A$66,0),MATCH(K$431,Data!$A$40:$H$40,0)),0)</f>
        <v>0</v>
      </c>
      <c r="L440" s="244">
        <f ca="1">IFERROR(INDEX(fx_delta_ccy,MATCH($E440,Data!$A$40:$A$66,0),MATCH(L$431,Data!$A$40:$H$40,0)),0)</f>
        <v>0</v>
      </c>
      <c r="N440" s="237" t="s">
        <v>134</v>
      </c>
      <c r="O440" s="247">
        <f>SUM(P440:T440)</f>
        <v>-36862582</v>
      </c>
      <c r="P440" s="34">
        <f>IFERROR(INDEX(fx_delta_market,MATCH(Report!$N440,Data!$A$79:$A$81,0),MATCH(Report!P$438,Data!$A$79:$H$79,0)),0)</f>
        <v>-36862582</v>
      </c>
      <c r="Q440" s="34">
        <f>IFERROR(INDEX(fx_delta_market,MATCH(Report!$N440,Data!$A$79:$A$81,0),MATCH(Report!Q$438,Data!$A$79:$H$79,0)),0)</f>
        <v>0</v>
      </c>
      <c r="R440" s="34">
        <f>IFERROR(INDEX(fx_delta_market,MATCH(Report!$N440,Data!$A$79:$A$81,0),MATCH(Report!R$438,Data!$A$79:$H$79,0)),0)</f>
        <v>0</v>
      </c>
      <c r="S440" s="34">
        <f>IFERROR(INDEX(fx_delta_market,MATCH(Report!$N440,Data!$A$79:$A$81,0),MATCH(Report!S$438,Data!$A$79:$H$79,0)),0)</f>
        <v>0</v>
      </c>
      <c r="T440" s="248">
        <f>IFERROR(INDEX(fx_delta_market,MATCH(Report!$N440,Data!$A$79:$A$81,0),MATCH(Report!T$438,Data!$A$79:$H$79,0)),0)</f>
        <v>0</v>
      </c>
    </row>
    <row r="441" spans="2:20" ht="17.25" x14ac:dyDescent="0.3">
      <c r="C441" s="233"/>
      <c r="D441" s="138"/>
      <c r="E441" s="237" t="str">
        <f ca="1"/>
        <v>JPY</v>
      </c>
      <c r="F441" s="242">
        <f t="shared" ca="1" si="105"/>
        <v>-27465774</v>
      </c>
      <c r="G441" s="243">
        <f ca="1">IFERROR(INDEX(fx_delta_ccy,MATCH($E441,Data!$A$40:$A$66,0),MATCH(G$431,Data!$A$40:$H$40,0)),0)</f>
        <v>-30801505</v>
      </c>
      <c r="H441" s="17">
        <f ca="1">IFERROR(INDEX(fx_delta_ccy,MATCH($E441,Data!$A$40:$A$66,0),MATCH(H$431,Data!$A$40:$H$40,0)),0)</f>
        <v>5953929</v>
      </c>
      <c r="I441" s="17">
        <f ca="1">IFERROR(INDEX(fx_delta_ccy,MATCH($E441,Data!$A$40:$A$66,0),MATCH(I$431,Data!$A$40:$H$40,0)),0)</f>
        <v>0</v>
      </c>
      <c r="J441" s="17">
        <f ca="1">IFERROR(INDEX(fx_delta_ccy,MATCH($E441,Data!$A$40:$A$66,0),MATCH(J$431,Data!$A$40:$H$40,0)),0)</f>
        <v>-4133878</v>
      </c>
      <c r="K441" s="17">
        <f ca="1">IFERROR(INDEX(fx_delta_ccy,MATCH($E441,Data!$A$40:$A$66,0),MATCH(K$431,Data!$A$40:$H$40,0)),0)</f>
        <v>0</v>
      </c>
      <c r="L441" s="244">
        <f ca="1">IFERROR(INDEX(fx_delta_ccy,MATCH($E441,Data!$A$40:$A$66,0),MATCH(L$431,Data!$A$40:$H$40,0)),0)</f>
        <v>1515680</v>
      </c>
      <c r="N441" s="75" t="s">
        <v>38</v>
      </c>
      <c r="O441" s="17">
        <f>SUM(O439:O440)</f>
        <v>-57682962</v>
      </c>
      <c r="P441" s="17">
        <f t="shared" ref="P441:T441" si="108">SUM(P439:P440)</f>
        <v>-60351048</v>
      </c>
      <c r="Q441" s="17">
        <f t="shared" si="108"/>
        <v>136979</v>
      </c>
      <c r="R441" s="17">
        <f t="shared" si="108"/>
        <v>-4133878</v>
      </c>
      <c r="S441" s="17">
        <f t="shared" si="108"/>
        <v>971441</v>
      </c>
      <c r="T441" s="17">
        <f t="shared" si="108"/>
        <v>5693544</v>
      </c>
    </row>
    <row r="442" spans="2:20" ht="17.25" x14ac:dyDescent="0.3">
      <c r="C442" s="233"/>
      <c r="D442" s="138"/>
      <c r="E442" s="237" t="str">
        <f ca="1"/>
        <v>KRW</v>
      </c>
      <c r="F442" s="242">
        <f t="shared" ca="1" si="105"/>
        <v>-8525081</v>
      </c>
      <c r="G442" s="243">
        <f ca="1">IFERROR(INDEX(fx_delta_ccy,MATCH($E442,Data!$A$40:$A$66,0),MATCH(G$431,Data!$A$40:$H$40,0)),0)</f>
        <v>-8525081</v>
      </c>
      <c r="H442" s="17">
        <f ca="1">IFERROR(INDEX(fx_delta_ccy,MATCH($E442,Data!$A$40:$A$66,0),MATCH(H$431,Data!$A$40:$H$40,0)),0)</f>
        <v>0</v>
      </c>
      <c r="I442" s="17">
        <f ca="1">IFERROR(INDEX(fx_delta_ccy,MATCH($E442,Data!$A$40:$A$66,0),MATCH(I$431,Data!$A$40:$H$40,0)),0)</f>
        <v>0</v>
      </c>
      <c r="J442" s="17">
        <f ca="1">IFERROR(INDEX(fx_delta_ccy,MATCH($E442,Data!$A$40:$A$66,0),MATCH(J$431,Data!$A$40:$H$40,0)),0)</f>
        <v>0</v>
      </c>
      <c r="K442" s="17">
        <f ca="1">IFERROR(INDEX(fx_delta_ccy,MATCH($E442,Data!$A$40:$A$66,0),MATCH(K$431,Data!$A$40:$H$40,0)),0)</f>
        <v>0</v>
      </c>
      <c r="L442" s="244">
        <f ca="1">IFERROR(INDEX(fx_delta_ccy,MATCH($E442,Data!$A$40:$A$66,0),MATCH(L$431,Data!$A$40:$H$40,0)),0)</f>
        <v>0</v>
      </c>
    </row>
    <row r="443" spans="2:20" ht="17.25" x14ac:dyDescent="0.3">
      <c r="C443" s="233"/>
      <c r="D443" s="138"/>
      <c r="E443" s="237" t="str">
        <f ca="1"/>
        <v>MXN</v>
      </c>
      <c r="F443" s="242">
        <f t="shared" ca="1" si="105"/>
        <v>1565854</v>
      </c>
      <c r="G443" s="243">
        <f ca="1">IFERROR(INDEX(fx_delta_ccy,MATCH($E443,Data!$A$40:$A$66,0),MATCH(G$431,Data!$A$40:$H$40,0)),0)</f>
        <v>1565854</v>
      </c>
      <c r="H443" s="17">
        <f ca="1">IFERROR(INDEX(fx_delta_ccy,MATCH($E443,Data!$A$40:$A$66,0),MATCH(H$431,Data!$A$40:$H$40,0)),0)</f>
        <v>0</v>
      </c>
      <c r="I443" s="17">
        <f ca="1">IFERROR(INDEX(fx_delta_ccy,MATCH($E443,Data!$A$40:$A$66,0),MATCH(I$431,Data!$A$40:$H$40,0)),0)</f>
        <v>0</v>
      </c>
      <c r="J443" s="17">
        <f ca="1">IFERROR(INDEX(fx_delta_ccy,MATCH($E443,Data!$A$40:$A$66,0),MATCH(J$431,Data!$A$40:$H$40,0)),0)</f>
        <v>0</v>
      </c>
      <c r="K443" s="17">
        <f ca="1">IFERROR(INDEX(fx_delta_ccy,MATCH($E443,Data!$A$40:$A$66,0),MATCH(K$431,Data!$A$40:$H$40,0)),0)</f>
        <v>0</v>
      </c>
      <c r="L443" s="244">
        <f ca="1">IFERROR(INDEX(fx_delta_ccy,MATCH($E443,Data!$A$40:$A$66,0),MATCH(L$431,Data!$A$40:$H$40,0)),0)</f>
        <v>0</v>
      </c>
      <c r="O443" s="71" t="s">
        <v>135</v>
      </c>
    </row>
    <row r="444" spans="2:20" ht="17.25" x14ac:dyDescent="0.3">
      <c r="C444" s="233"/>
      <c r="D444" s="138"/>
      <c r="E444" s="237" t="str">
        <f ca="1"/>
        <v>NOK</v>
      </c>
      <c r="F444" s="247">
        <f t="shared" ca="1" si="105"/>
        <v>19730473</v>
      </c>
      <c r="G444" s="250">
        <f ca="1">IFERROR(INDEX(fx_delta_ccy,MATCH($E444,Data!$A$40:$A$66,0),MATCH(G$431,Data!$A$40:$H$40,0)),0)</f>
        <v>19730473</v>
      </c>
      <c r="H444" s="34">
        <f ca="1">IFERROR(INDEX(fx_delta_ccy,MATCH($E444,Data!$A$40:$A$66,0),MATCH(H$431,Data!$A$40:$H$40,0)),0)</f>
        <v>0</v>
      </c>
      <c r="I444" s="34">
        <f ca="1">IFERROR(INDEX(fx_delta_ccy,MATCH($E444,Data!$A$40:$A$66,0),MATCH(I$431,Data!$A$40:$H$40,0)),0)</f>
        <v>0</v>
      </c>
      <c r="J444" s="34">
        <f ca="1">IFERROR(INDEX(fx_delta_ccy,MATCH($E444,Data!$A$40:$A$66,0),MATCH(J$431,Data!$A$40:$H$40,0)),0)</f>
        <v>0</v>
      </c>
      <c r="K444" s="34">
        <f ca="1">IFERROR(INDEX(fx_delta_ccy,MATCH($E444,Data!$A$40:$A$66,0),MATCH(K$431,Data!$A$40:$H$40,0)),0)</f>
        <v>0</v>
      </c>
      <c r="L444" s="248">
        <f ca="1">IFERROR(INDEX(fx_delta_ccy,MATCH($E444,Data!$A$40:$A$66,0),MATCH(L$431,Data!$A$40:$H$40,0)),0)</f>
        <v>0</v>
      </c>
      <c r="O444" s="251"/>
      <c r="P444" s="71" t="s">
        <v>136</v>
      </c>
    </row>
    <row r="445" spans="2:20" ht="17.25" x14ac:dyDescent="0.3">
      <c r="C445" s="233"/>
      <c r="D445" s="138"/>
      <c r="E445" s="75" t="s">
        <v>38</v>
      </c>
      <c r="F445" s="17">
        <f t="shared" ref="F445:L445" ca="1" si="109">SUM(F432:F444)</f>
        <v>-29156190</v>
      </c>
      <c r="G445" s="249">
        <f t="shared" ca="1" si="109"/>
        <v>-35954858</v>
      </c>
      <c r="H445" s="249">
        <f t="shared" ca="1" si="109"/>
        <v>4130582</v>
      </c>
      <c r="I445" s="249">
        <f t="shared" ca="1" si="109"/>
        <v>136979</v>
      </c>
      <c r="J445" s="249">
        <f t="shared" ca="1" si="109"/>
        <v>-4133878</v>
      </c>
      <c r="K445" s="249">
        <f t="shared" ca="1" si="109"/>
        <v>971441</v>
      </c>
      <c r="L445" s="249">
        <f t="shared" ca="1" si="109"/>
        <v>5693544</v>
      </c>
    </row>
    <row r="446" spans="2:20" ht="17.25" x14ac:dyDescent="0.3">
      <c r="C446" s="233"/>
      <c r="D446" s="138"/>
      <c r="E446" s="138"/>
      <c r="F446" s="13"/>
      <c r="G446" s="252"/>
      <c r="H446" s="252"/>
      <c r="I446" s="252"/>
      <c r="J446" s="138"/>
      <c r="K446" s="138"/>
      <c r="L446" s="138"/>
      <c r="M446" s="138"/>
    </row>
    <row r="447" spans="2:20" x14ac:dyDescent="0.25">
      <c r="D447" s="253"/>
      <c r="E447" s="253"/>
      <c r="G447" s="254"/>
      <c r="H447" s="254"/>
      <c r="I447" s="254"/>
      <c r="J447" s="234" t="s">
        <v>137</v>
      </c>
      <c r="K447" s="255"/>
      <c r="L447" s="255"/>
      <c r="M447" s="253"/>
      <c r="N447" s="253"/>
      <c r="O447" s="254"/>
      <c r="P447" s="253"/>
      <c r="Q447" s="253"/>
    </row>
    <row r="448" spans="2:20" ht="31.5" x14ac:dyDescent="0.25">
      <c r="D448" s="253"/>
      <c r="E448" s="48" t="s">
        <v>138</v>
      </c>
      <c r="F448" s="256" t="s">
        <v>286</v>
      </c>
      <c r="G448" s="256" t="s">
        <v>139</v>
      </c>
      <c r="H448" s="256" t="s">
        <v>285</v>
      </c>
      <c r="I448" s="257" t="s">
        <v>140</v>
      </c>
      <c r="J448" s="258" t="s">
        <v>141</v>
      </c>
      <c r="K448" s="259" t="s">
        <v>142</v>
      </c>
      <c r="L448" s="259" t="s">
        <v>143</v>
      </c>
      <c r="M448" s="259" t="s">
        <v>144</v>
      </c>
      <c r="N448" s="259" t="s">
        <v>145</v>
      </c>
      <c r="O448" s="259" t="s">
        <v>146</v>
      </c>
      <c r="P448" s="259" t="s">
        <v>147</v>
      </c>
      <c r="Q448" s="259" t="s">
        <v>148</v>
      </c>
      <c r="R448" s="196" t="s">
        <v>149</v>
      </c>
      <c r="S448" s="197" t="s">
        <v>150</v>
      </c>
    </row>
    <row r="449" spans="2:20" x14ac:dyDescent="0.25">
      <c r="D449" s="253"/>
      <c r="E449" s="237" t="str">
        <f t="array" aca="1" ref="E449:E459" ca="1">OFFSET(theta_gamma_by_fx_pair,1,0,100,1)</f>
        <v>USDJPY</v>
      </c>
      <c r="F449" s="238">
        <f ca="1">IFERROR(VLOOKUP(E449,theta_gamma_by_fx_pair,4,FALSE),0)</f>
        <v>56822996.174086966</v>
      </c>
      <c r="G449" s="260">
        <f t="shared" ref="G449:G459" ca="1" si="110">IFERROR(VLOOKUP(E449,theta_gamma_by_fx_pair,2,FALSE),0)</f>
        <v>-3586.4313621731962</v>
      </c>
      <c r="H449" s="204">
        <f t="shared" ref="H449" ca="1" si="111">IFERROR(VLOOKUP(E449,theta_gamma_by_fx_pair,3,FALSE)/1000,0)</f>
        <v>4964.5190857402285</v>
      </c>
      <c r="I449" s="261">
        <f t="shared" ref="I449:I460" ca="1" si="112">SUM(J449:S449)</f>
        <v>1198615.2353246359</v>
      </c>
      <c r="J449" s="206">
        <f ca="1">IFERROR(INDEX(fx_vega,MATCH(Report!$E449,Data!$A$86:$A$114,0),MATCH(Report!J$448,Data!$A$86:$K$86,0)),0)</f>
        <v>0</v>
      </c>
      <c r="K449" s="206">
        <f ca="1">IFERROR(INDEX(fx_vega,MATCH(Report!$E449,Data!$A$86:$A$114,0),MATCH(Report!K$448,Data!$A$86:$K$86,0)),0)</f>
        <v>0</v>
      </c>
      <c r="L449" s="206">
        <f ca="1">IFERROR(INDEX(fx_vega,MATCH(Report!$E449,Data!$A$86:$A$114,0),MATCH(Report!L$448,Data!$A$86:$K$86,0)),0)</f>
        <v>0</v>
      </c>
      <c r="M449" s="206">
        <f ca="1">IFERROR(INDEX(fx_vega,MATCH(Report!$E449,Data!$A$86:$A$114,0),MATCH(Report!M$448,Data!$A$86:$K$86,0)),0)</f>
        <v>0</v>
      </c>
      <c r="N449" s="206">
        <f ca="1">IFERROR(INDEX(fx_vega,MATCH(Report!$E449,Data!$A$86:$A$114,0),MATCH(Report!N$448,Data!$A$86:$K$86,0)),0)</f>
        <v>0</v>
      </c>
      <c r="O449" s="206">
        <f ca="1">IFERROR(INDEX(fx_vega,MATCH(Report!$E449,Data!$A$86:$A$114,0),MATCH(Report!O$448,Data!$A$86:$K$86,0)),0)</f>
        <v>0</v>
      </c>
      <c r="P449" s="206">
        <f ca="1">IFERROR(INDEX(fx_vega,MATCH(Report!$E449,Data!$A$86:$A$114,0),MATCH(Report!P$448,Data!$A$86:$K$86,0)),0)</f>
        <v>0</v>
      </c>
      <c r="Q449" s="206">
        <f ca="1">IFERROR(INDEX(fx_vega,MATCH(Report!$E449,Data!$A$86:$A$114,0),MATCH(Report!Q$448,Data!$A$86:$K$86,0)),0)</f>
        <v>0</v>
      </c>
      <c r="R449" s="206">
        <f ca="1">IFERROR(INDEX(fx_vega,MATCH(Report!$E449,Data!$A$86:$A$114,0),MATCH(Report!R$448,Data!$A$86:$K$86,0)),0)</f>
        <v>0</v>
      </c>
      <c r="S449" s="262">
        <f ca="1">IFERROR(INDEX(fx_vega,MATCH(Report!$E449,Data!$A$86:$A$114,0),MATCH(Report!S$448,Data!$A$86:$K$86,0)),0)</f>
        <v>1198615.2353246359</v>
      </c>
    </row>
    <row r="450" spans="2:20" x14ac:dyDescent="0.25">
      <c r="D450" s="253"/>
      <c r="E450" s="237" t="str">
        <f ca="1"/>
        <v>USDTWD</v>
      </c>
      <c r="F450" s="242">
        <f t="shared" ref="F450:F459" ca="1" si="113">IFERROR(VLOOKUP(E450,theta_gamma_by_fx_pair,4,FALSE),0)</f>
        <v>23242163.19139095</v>
      </c>
      <c r="G450" s="263">
        <f t="shared" ca="1" si="110"/>
        <v>-161.06281393943931</v>
      </c>
      <c r="H450" s="210">
        <f t="shared" ref="H450:H459" ca="1" si="114">IFERROR(VLOOKUP(E450,theta_gamma_by_fx_pair,3,FALSE),0)</f>
        <v>3813538.155015368</v>
      </c>
      <c r="I450" s="264">
        <f t="shared" ca="1" si="112"/>
        <v>148632.2031258333</v>
      </c>
      <c r="J450" s="205">
        <f ca="1">IFERROR(INDEX(fx_vega,MATCH(Report!$E450,Data!$A$86:$A$114,0),MATCH(Report!J$448,Data!$A$86:$K$86,0)),0)</f>
        <v>0</v>
      </c>
      <c r="K450" s="205">
        <f ca="1">IFERROR(INDEX(fx_vega,MATCH(Report!$E450,Data!$A$86:$A$114,0),MATCH(Report!K$448,Data!$A$86:$K$86,0)),0)</f>
        <v>0</v>
      </c>
      <c r="L450" s="205">
        <f ca="1">IFERROR(INDEX(fx_vega,MATCH(Report!$E450,Data!$A$86:$A$114,0),MATCH(Report!L$448,Data!$A$86:$K$86,0)),0)</f>
        <v>0</v>
      </c>
      <c r="M450" s="205">
        <f ca="1">IFERROR(INDEX(fx_vega,MATCH(Report!$E450,Data!$A$86:$A$114,0),MATCH(Report!M$448,Data!$A$86:$K$86,0)),0)</f>
        <v>48423.095148978718</v>
      </c>
      <c r="N450" s="205">
        <f ca="1">IFERROR(INDEX(fx_vega,MATCH(Report!$E450,Data!$A$86:$A$114,0),MATCH(Report!N$448,Data!$A$86:$K$86,0)),0)</f>
        <v>100209.10797685458</v>
      </c>
      <c r="O450" s="205">
        <f ca="1">IFERROR(INDEX(fx_vega,MATCH(Report!$E450,Data!$A$86:$A$114,0),MATCH(Report!O$448,Data!$A$86:$K$86,0)),0)</f>
        <v>0</v>
      </c>
      <c r="P450" s="205">
        <f ca="1">IFERROR(INDEX(fx_vega,MATCH(Report!$E450,Data!$A$86:$A$114,0),MATCH(Report!P$448,Data!$A$86:$K$86,0)),0)</f>
        <v>0</v>
      </c>
      <c r="Q450" s="205">
        <f ca="1">IFERROR(INDEX(fx_vega,MATCH(Report!$E450,Data!$A$86:$A$114,0),MATCH(Report!Q$448,Data!$A$86:$K$86,0)),0)</f>
        <v>0</v>
      </c>
      <c r="R450" s="205">
        <f ca="1">IFERROR(INDEX(fx_vega,MATCH(Report!$E450,Data!$A$86:$A$114,0),MATCH(Report!R$448,Data!$A$86:$K$86,0)),0)</f>
        <v>0</v>
      </c>
      <c r="S450" s="207">
        <f ca="1">IFERROR(INDEX(fx_vega,MATCH(Report!$E450,Data!$A$86:$A$114,0),MATCH(Report!S$448,Data!$A$86:$K$86,0)),0)</f>
        <v>0</v>
      </c>
    </row>
    <row r="451" spans="2:20" ht="15.75" customHeight="1" x14ac:dyDescent="0.25">
      <c r="D451" s="253"/>
      <c r="E451" s="237" t="str">
        <f ca="1"/>
        <v>EURNOK</v>
      </c>
      <c r="F451" s="242">
        <f t="shared" ca="1" si="113"/>
        <v>-13787574.920491576</v>
      </c>
      <c r="G451" s="263">
        <f t="shared" ca="1" si="110"/>
        <v>-990.71251755747562</v>
      </c>
      <c r="H451" s="210">
        <f t="shared" ca="1" si="114"/>
        <v>4961032.077007222</v>
      </c>
      <c r="I451" s="264">
        <f t="shared" ca="1" si="112"/>
        <v>60974.905430195606</v>
      </c>
      <c r="J451" s="205">
        <f ca="1">IFERROR(INDEX(fx_vega,MATCH(Report!$E451,Data!$A$86:$A$114,0),MATCH(Report!J$448,Data!$A$86:$K$86,0)),0)</f>
        <v>0</v>
      </c>
      <c r="K451" s="205">
        <f ca="1">IFERROR(INDEX(fx_vega,MATCH(Report!$E451,Data!$A$86:$A$114,0),MATCH(Report!K$448,Data!$A$86:$K$86,0)),0)</f>
        <v>0</v>
      </c>
      <c r="L451" s="205">
        <f ca="1">IFERROR(INDEX(fx_vega,MATCH(Report!$E451,Data!$A$86:$A$114,0),MATCH(Report!L$448,Data!$A$86:$K$86,0)),0)</f>
        <v>0</v>
      </c>
      <c r="M451" s="205">
        <f ca="1">IFERROR(INDEX(fx_vega,MATCH(Report!$E451,Data!$A$86:$A$114,0),MATCH(Report!M$448,Data!$A$86:$K$86,0)),0)</f>
        <v>33774.218732852576</v>
      </c>
      <c r="N451" s="205">
        <f ca="1">IFERROR(INDEX(fx_vega,MATCH(Report!$E451,Data!$A$86:$A$114,0),MATCH(Report!N$448,Data!$A$86:$K$86,0)),0)</f>
        <v>27200.686697343026</v>
      </c>
      <c r="O451" s="205">
        <f ca="1">IFERROR(INDEX(fx_vega,MATCH(Report!$E451,Data!$A$86:$A$114,0),MATCH(Report!O$448,Data!$A$86:$K$86,0)),0)</f>
        <v>0</v>
      </c>
      <c r="P451" s="205">
        <f ca="1">IFERROR(INDEX(fx_vega,MATCH(Report!$E451,Data!$A$86:$A$114,0),MATCH(Report!P$448,Data!$A$86:$K$86,0)),0)</f>
        <v>0</v>
      </c>
      <c r="Q451" s="205">
        <f ca="1">IFERROR(INDEX(fx_vega,MATCH(Report!$E451,Data!$A$86:$A$114,0),MATCH(Report!Q$448,Data!$A$86:$K$86,0)),0)</f>
        <v>0</v>
      </c>
      <c r="R451" s="205">
        <f ca="1">IFERROR(INDEX(fx_vega,MATCH(Report!$E451,Data!$A$86:$A$114,0),MATCH(Report!R$448,Data!$A$86:$K$86,0)),0)</f>
        <v>0</v>
      </c>
      <c r="S451" s="207">
        <f ca="1">IFERROR(INDEX(fx_vega,MATCH(Report!$E451,Data!$A$86:$A$114,0),MATCH(Report!S$448,Data!$A$86:$K$86,0)),0)</f>
        <v>0</v>
      </c>
    </row>
    <row r="452" spans="2:20" x14ac:dyDescent="0.25">
      <c r="D452" s="253"/>
      <c r="E452" s="237" t="str">
        <f ca="1"/>
        <v>EURCAD</v>
      </c>
      <c r="F452" s="242">
        <f t="shared" ca="1" si="113"/>
        <v>-13366825.837664995</v>
      </c>
      <c r="G452" s="263">
        <f t="shared" ca="1" si="110"/>
        <v>-4167.2754893322899</v>
      </c>
      <c r="H452" s="210">
        <f t="shared" ca="1" si="114"/>
        <v>2544608.3955586953</v>
      </c>
      <c r="I452" s="264">
        <f t="shared" ca="1" si="112"/>
        <v>39403.282973612382</v>
      </c>
      <c r="J452" s="205">
        <f ca="1">IFERROR(INDEX(fx_vega,MATCH(Report!$E452,Data!$A$86:$A$114,0),MATCH(Report!J$448,Data!$A$86:$K$86,0)),0)</f>
        <v>0</v>
      </c>
      <c r="K452" s="205">
        <f ca="1">IFERROR(INDEX(fx_vega,MATCH(Report!$E452,Data!$A$86:$A$114,0),MATCH(Report!K$448,Data!$A$86:$K$86,0)),0)</f>
        <v>0</v>
      </c>
      <c r="L452" s="205">
        <f ca="1">IFERROR(INDEX(fx_vega,MATCH(Report!$E452,Data!$A$86:$A$114,0),MATCH(Report!L$448,Data!$A$86:$K$86,0)),0)</f>
        <v>0</v>
      </c>
      <c r="M452" s="205">
        <f ca="1">IFERROR(INDEX(fx_vega,MATCH(Report!$E452,Data!$A$86:$A$114,0),MATCH(Report!M$448,Data!$A$86:$K$86,0)),0)</f>
        <v>18454.882146354976</v>
      </c>
      <c r="N452" s="205">
        <f ca="1">IFERROR(INDEX(fx_vega,MATCH(Report!$E452,Data!$A$86:$A$114,0),MATCH(Report!N$448,Data!$A$86:$K$86,0)),0)</f>
        <v>20948.40082725741</v>
      </c>
      <c r="O452" s="205">
        <f ca="1">IFERROR(INDEX(fx_vega,MATCH(Report!$E452,Data!$A$86:$A$114,0),MATCH(Report!O$448,Data!$A$86:$K$86,0)),0)</f>
        <v>0</v>
      </c>
      <c r="P452" s="205">
        <f ca="1">IFERROR(INDEX(fx_vega,MATCH(Report!$E452,Data!$A$86:$A$114,0),MATCH(Report!P$448,Data!$A$86:$K$86,0)),0)</f>
        <v>0</v>
      </c>
      <c r="Q452" s="205">
        <f ca="1">IFERROR(INDEX(fx_vega,MATCH(Report!$E452,Data!$A$86:$A$114,0),MATCH(Report!Q$448,Data!$A$86:$K$86,0)),0)</f>
        <v>0</v>
      </c>
      <c r="R452" s="205">
        <f ca="1">IFERROR(INDEX(fx_vega,MATCH(Report!$E452,Data!$A$86:$A$114,0),MATCH(Report!R$448,Data!$A$86:$K$86,0)),0)</f>
        <v>0</v>
      </c>
      <c r="S452" s="207">
        <f ca="1">IFERROR(INDEX(fx_vega,MATCH(Report!$E452,Data!$A$86:$A$114,0),MATCH(Report!S$448,Data!$A$86:$K$86,0)),0)</f>
        <v>0</v>
      </c>
    </row>
    <row r="453" spans="2:20" x14ac:dyDescent="0.25">
      <c r="D453" s="253"/>
      <c r="E453" s="237" t="str">
        <f ca="1"/>
        <v>EURHUF</v>
      </c>
      <c r="F453" s="242">
        <f t="shared" ca="1" si="113"/>
        <v>10924314.798592625</v>
      </c>
      <c r="G453" s="263">
        <f t="shared" ca="1" si="110"/>
        <v>0</v>
      </c>
      <c r="H453" s="210">
        <f t="shared" ca="1" si="114"/>
        <v>0</v>
      </c>
      <c r="I453" s="264">
        <f t="shared" ca="1" si="112"/>
        <v>532.96980253946754</v>
      </c>
      <c r="J453" s="205">
        <f ca="1">IFERROR(INDEX(fx_vega,MATCH(Report!$E453,Data!$A$86:$A$114,0),MATCH(Report!J$448,Data!$A$86:$K$86,0)),0)</f>
        <v>0</v>
      </c>
      <c r="K453" s="205">
        <f ca="1">IFERROR(INDEX(fx_vega,MATCH(Report!$E453,Data!$A$86:$A$114,0),MATCH(Report!K$448,Data!$A$86:$K$86,0)),0)</f>
        <v>0</v>
      </c>
      <c r="L453" s="205">
        <f ca="1">IFERROR(INDEX(fx_vega,MATCH(Report!$E453,Data!$A$86:$A$114,0),MATCH(Report!L$448,Data!$A$86:$K$86,0)),0)</f>
        <v>-350.40299063504824</v>
      </c>
      <c r="M453" s="205">
        <f ca="1">IFERROR(INDEX(fx_vega,MATCH(Report!$E453,Data!$A$86:$A$114,0),MATCH(Report!M$448,Data!$A$86:$K$86,0)),0)</f>
        <v>0</v>
      </c>
      <c r="N453" s="205">
        <f ca="1">IFERROR(INDEX(fx_vega,MATCH(Report!$E453,Data!$A$86:$A$114,0),MATCH(Report!N$448,Data!$A$86:$K$86,0)),0)</f>
        <v>883.37279317451578</v>
      </c>
      <c r="O453" s="205">
        <f ca="1">IFERROR(INDEX(fx_vega,MATCH(Report!$E453,Data!$A$86:$A$114,0),MATCH(Report!O$448,Data!$A$86:$K$86,0)),0)</f>
        <v>0</v>
      </c>
      <c r="P453" s="205">
        <f ca="1">IFERROR(INDEX(fx_vega,MATCH(Report!$E453,Data!$A$86:$A$114,0),MATCH(Report!P$448,Data!$A$86:$K$86,0)),0)</f>
        <v>0</v>
      </c>
      <c r="Q453" s="205">
        <f ca="1">IFERROR(INDEX(fx_vega,MATCH(Report!$E453,Data!$A$86:$A$114,0),MATCH(Report!Q$448,Data!$A$86:$K$86,0)),0)</f>
        <v>0</v>
      </c>
      <c r="R453" s="205">
        <f ca="1">IFERROR(INDEX(fx_vega,MATCH(Report!$E453,Data!$A$86:$A$114,0),MATCH(Report!R$448,Data!$A$86:$K$86,0)),0)</f>
        <v>0</v>
      </c>
      <c r="S453" s="207">
        <f ca="1">IFERROR(INDEX(fx_vega,MATCH(Report!$E453,Data!$A$86:$A$114,0),MATCH(Report!S$448,Data!$A$86:$K$86,0)),0)</f>
        <v>0</v>
      </c>
    </row>
    <row r="454" spans="2:20" ht="15.75" customHeight="1" x14ac:dyDescent="0.25">
      <c r="D454" s="253"/>
      <c r="E454" s="237" t="str">
        <f ca="1"/>
        <v>USDKRW</v>
      </c>
      <c r="F454" s="242">
        <f t="shared" ca="1" si="113"/>
        <v>8525081.7545979246</v>
      </c>
      <c r="G454" s="263">
        <f t="shared" ca="1" si="110"/>
        <v>0</v>
      </c>
      <c r="H454" s="210">
        <f t="shared" ca="1" si="114"/>
        <v>0</v>
      </c>
      <c r="I454" s="264">
        <f t="shared" ca="1" si="112"/>
        <v>17440.4092297235</v>
      </c>
      <c r="J454" s="205">
        <f ca="1">IFERROR(INDEX(fx_vega,MATCH(Report!$E454,Data!$A$86:$A$114,0),MATCH(Report!J$448,Data!$A$86:$K$86,0)),0)</f>
        <v>0</v>
      </c>
      <c r="K454" s="205">
        <f ca="1">IFERROR(INDEX(fx_vega,MATCH(Report!$E454,Data!$A$86:$A$114,0),MATCH(Report!K$448,Data!$A$86:$K$86,0)),0)</f>
        <v>17440.4092297235</v>
      </c>
      <c r="L454" s="205">
        <f ca="1">IFERROR(INDEX(fx_vega,MATCH(Report!$E454,Data!$A$86:$A$114,0),MATCH(Report!L$448,Data!$A$86:$K$86,0)),0)</f>
        <v>0</v>
      </c>
      <c r="M454" s="205">
        <f ca="1">IFERROR(INDEX(fx_vega,MATCH(Report!$E454,Data!$A$86:$A$114,0),MATCH(Report!M$448,Data!$A$86:$K$86,0)),0)</f>
        <v>0</v>
      </c>
      <c r="N454" s="205">
        <f ca="1">IFERROR(INDEX(fx_vega,MATCH(Report!$E454,Data!$A$86:$A$114,0),MATCH(Report!N$448,Data!$A$86:$K$86,0)),0)</f>
        <v>0</v>
      </c>
      <c r="O454" s="205">
        <f ca="1">IFERROR(INDEX(fx_vega,MATCH(Report!$E454,Data!$A$86:$A$114,0),MATCH(Report!O$448,Data!$A$86:$K$86,0)),0)</f>
        <v>0</v>
      </c>
      <c r="P454" s="205">
        <f ca="1">IFERROR(INDEX(fx_vega,MATCH(Report!$E454,Data!$A$86:$A$114,0),MATCH(Report!P$448,Data!$A$86:$K$86,0)),0)</f>
        <v>0</v>
      </c>
      <c r="Q454" s="205">
        <f ca="1">IFERROR(INDEX(fx_vega,MATCH(Report!$E454,Data!$A$86:$A$114,0),MATCH(Report!Q$448,Data!$A$86:$K$86,0)),0)</f>
        <v>0</v>
      </c>
      <c r="R454" s="205">
        <f ca="1">IFERROR(INDEX(fx_vega,MATCH(Report!$E454,Data!$A$86:$A$114,0),MATCH(Report!R$448,Data!$A$86:$K$86,0)),0)</f>
        <v>0</v>
      </c>
      <c r="S454" s="207">
        <f ca="1">IFERROR(INDEX(fx_vega,MATCH(Report!$E454,Data!$A$86:$A$114,0),MATCH(Report!S$448,Data!$A$86:$K$86,0)),0)</f>
        <v>0</v>
      </c>
    </row>
    <row r="455" spans="2:20" s="309" customFormat="1" ht="15.75" customHeight="1" x14ac:dyDescent="0.25">
      <c r="D455" s="253"/>
      <c r="E455" s="237" t="str">
        <f ca="1"/>
        <v>EURUSD</v>
      </c>
      <c r="F455" s="242">
        <f t="shared" ca="1" si="113"/>
        <v>-7562875.5407924727</v>
      </c>
      <c r="G455" s="263">
        <f t="shared" ca="1" si="110"/>
        <v>0</v>
      </c>
      <c r="H455" s="210">
        <f t="shared" ca="1" si="114"/>
        <v>0</v>
      </c>
      <c r="I455" s="264">
        <f t="shared" ca="1" si="112"/>
        <v>-16304.788333238705</v>
      </c>
      <c r="J455" s="205">
        <f ca="1">IFERROR(INDEX(fx_vega,MATCH(Report!$E455,Data!$A$86:$A$114,0),MATCH(Report!J$448,Data!$A$86:$K$86,0)),0)</f>
        <v>0</v>
      </c>
      <c r="K455" s="205">
        <f ca="1">IFERROR(INDEX(fx_vega,MATCH(Report!$E455,Data!$A$86:$A$114,0),MATCH(Report!K$448,Data!$A$86:$K$86,0)),0)</f>
        <v>0</v>
      </c>
      <c r="L455" s="205">
        <f ca="1">IFERROR(INDEX(fx_vega,MATCH(Report!$E455,Data!$A$86:$A$114,0),MATCH(Report!L$448,Data!$A$86:$K$86,0)),0)</f>
        <v>-9554.0740992430619</v>
      </c>
      <c r="M455" s="205">
        <f ca="1">IFERROR(INDEX(fx_vega,MATCH(Report!$E455,Data!$A$86:$A$114,0),MATCH(Report!M$448,Data!$A$86:$K$86,0)),0)</f>
        <v>-6750.7142339956426</v>
      </c>
      <c r="N455" s="205">
        <f ca="1">IFERROR(INDEX(fx_vega,MATCH(Report!$E455,Data!$A$86:$A$114,0),MATCH(Report!N$448,Data!$A$86:$K$86,0)),0)</f>
        <v>0</v>
      </c>
      <c r="O455" s="205">
        <f ca="1">IFERROR(INDEX(fx_vega,MATCH(Report!$E455,Data!$A$86:$A$114,0),MATCH(Report!O$448,Data!$A$86:$K$86,0)),0)</f>
        <v>0</v>
      </c>
      <c r="P455" s="205">
        <f ca="1">IFERROR(INDEX(fx_vega,MATCH(Report!$E455,Data!$A$86:$A$114,0),MATCH(Report!P$448,Data!$A$86:$K$86,0)),0)</f>
        <v>0</v>
      </c>
      <c r="Q455" s="205">
        <f ca="1">IFERROR(INDEX(fx_vega,MATCH(Report!$E455,Data!$A$86:$A$114,0),MATCH(Report!Q$448,Data!$A$86:$K$86,0)),0)</f>
        <v>0</v>
      </c>
      <c r="R455" s="205">
        <f ca="1">IFERROR(INDEX(fx_vega,MATCH(Report!$E455,Data!$A$86:$A$114,0),MATCH(Report!R$448,Data!$A$86:$K$86,0)),0)</f>
        <v>0</v>
      </c>
      <c r="S455" s="207">
        <f ca="1">IFERROR(INDEX(fx_vega,MATCH(Report!$E455,Data!$A$86:$A$114,0),MATCH(Report!S$448,Data!$A$86:$K$86,0)),0)</f>
        <v>0</v>
      </c>
    </row>
    <row r="456" spans="2:20" ht="15.75" customHeight="1" x14ac:dyDescent="0.25">
      <c r="D456" s="253"/>
      <c r="E456" s="237" t="str">
        <f ca="1"/>
        <v>USDSEK</v>
      </c>
      <c r="F456" s="242">
        <f t="shared" ca="1" si="113"/>
        <v>-6764473.9026428042</v>
      </c>
      <c r="G456" s="263">
        <f t="shared" ca="1" si="110"/>
        <v>0</v>
      </c>
      <c r="H456" s="210">
        <f t="shared" ca="1" si="114"/>
        <v>0</v>
      </c>
      <c r="I456" s="264">
        <f t="shared" ca="1" si="112"/>
        <v>490.19466053402795</v>
      </c>
      <c r="J456" s="205">
        <f ca="1">IFERROR(INDEX(fx_vega,MATCH(Report!$E456,Data!$A$86:$A$114,0),MATCH(Report!J$448,Data!$A$86:$K$86,0)),0)</f>
        <v>0</v>
      </c>
      <c r="K456" s="205">
        <f ca="1">IFERROR(INDEX(fx_vega,MATCH(Report!$E456,Data!$A$86:$A$114,0),MATCH(Report!K$448,Data!$A$86:$K$86,0)),0)</f>
        <v>0</v>
      </c>
      <c r="L456" s="205">
        <f ca="1">IFERROR(INDEX(fx_vega,MATCH(Report!$E456,Data!$A$86:$A$114,0),MATCH(Report!L$448,Data!$A$86:$K$86,0)),0)</f>
        <v>-19.958953513202299</v>
      </c>
      <c r="M456" s="205">
        <f ca="1">IFERROR(INDEX(fx_vega,MATCH(Report!$E456,Data!$A$86:$A$114,0),MATCH(Report!M$448,Data!$A$86:$K$86,0)),0)</f>
        <v>0</v>
      </c>
      <c r="N456" s="205">
        <f ca="1">IFERROR(INDEX(fx_vega,MATCH(Report!$E456,Data!$A$86:$A$114,0),MATCH(Report!N$448,Data!$A$86:$K$86,0)),0)</f>
        <v>510.15361404723023</v>
      </c>
      <c r="O456" s="205">
        <f ca="1">IFERROR(INDEX(fx_vega,MATCH(Report!$E456,Data!$A$86:$A$114,0),MATCH(Report!O$448,Data!$A$86:$K$86,0)),0)</f>
        <v>0</v>
      </c>
      <c r="P456" s="205">
        <f ca="1">IFERROR(INDEX(fx_vega,MATCH(Report!$E456,Data!$A$86:$A$114,0),MATCH(Report!P$448,Data!$A$86:$K$86,0)),0)</f>
        <v>0</v>
      </c>
      <c r="Q456" s="205">
        <f ca="1">IFERROR(INDEX(fx_vega,MATCH(Report!$E456,Data!$A$86:$A$114,0),MATCH(Report!Q$448,Data!$A$86:$K$86,0)),0)</f>
        <v>0</v>
      </c>
      <c r="R456" s="205">
        <f ca="1">IFERROR(INDEX(fx_vega,MATCH(Report!$E456,Data!$A$86:$A$114,0),MATCH(Report!R$448,Data!$A$86:$K$86,0)),0)</f>
        <v>0</v>
      </c>
      <c r="S456" s="207">
        <f ca="1">IFERROR(INDEX(fx_vega,MATCH(Report!$E456,Data!$A$86:$A$114,0),MATCH(Report!S$448,Data!$A$86:$K$86,0)),0)</f>
        <v>0</v>
      </c>
    </row>
    <row r="457" spans="2:20" s="409" customFormat="1" ht="15.75" customHeight="1" x14ac:dyDescent="0.25">
      <c r="D457" s="253"/>
      <c r="E457" s="237" t="str">
        <f ca="1"/>
        <v>CNHTWD</v>
      </c>
      <c r="F457" s="242">
        <f t="shared" ca="1" si="113"/>
        <v>6619022.9544495353</v>
      </c>
      <c r="G457" s="263">
        <f t="shared" ca="1" si="110"/>
        <v>-330.12179550882377</v>
      </c>
      <c r="H457" s="210">
        <f t="shared" ca="1" si="114"/>
        <v>4907172.1076659216</v>
      </c>
      <c r="I457" s="264">
        <f t="shared" ca="1" si="112"/>
        <v>28340.432946391884</v>
      </c>
      <c r="J457" s="205">
        <f ca="1">IFERROR(INDEX(fx_vega,MATCH(Report!$E457,Data!$A$86:$A$114,0),MATCH(Report!J$448,Data!$A$86:$K$86,0)),0)</f>
        <v>0</v>
      </c>
      <c r="K457" s="205">
        <f ca="1">IFERROR(INDEX(fx_vega,MATCH(Report!$E457,Data!$A$86:$A$114,0),MATCH(Report!K$448,Data!$A$86:$K$86,0)),0)</f>
        <v>0</v>
      </c>
      <c r="L457" s="205">
        <f ca="1">IFERROR(INDEX(fx_vega,MATCH(Report!$E457,Data!$A$86:$A$114,0),MATCH(Report!L$448,Data!$A$86:$K$86,0)),0)</f>
        <v>0</v>
      </c>
      <c r="M457" s="205">
        <f ca="1">IFERROR(INDEX(fx_vega,MATCH(Report!$E457,Data!$A$86:$A$114,0),MATCH(Report!M$448,Data!$A$86:$K$86,0)),0)</f>
        <v>0</v>
      </c>
      <c r="N457" s="205">
        <f ca="1">IFERROR(INDEX(fx_vega,MATCH(Report!$E457,Data!$A$86:$A$114,0),MATCH(Report!N$448,Data!$A$86:$K$86,0)),0)</f>
        <v>0</v>
      </c>
      <c r="O457" s="205">
        <f ca="1">IFERROR(INDEX(fx_vega,MATCH(Report!$E457,Data!$A$86:$A$114,0),MATCH(Report!O$448,Data!$A$86:$K$86,0)),0)</f>
        <v>21640.484702852144</v>
      </c>
      <c r="P457" s="205">
        <f ca="1">IFERROR(INDEX(fx_vega,MATCH(Report!$E457,Data!$A$86:$A$114,0),MATCH(Report!P$448,Data!$A$86:$K$86,0)),0)</f>
        <v>0</v>
      </c>
      <c r="Q457" s="205">
        <f ca="1">IFERROR(INDEX(fx_vega,MATCH(Report!$E457,Data!$A$86:$A$114,0),MATCH(Report!Q$448,Data!$A$86:$K$86,0)),0)</f>
        <v>6699.9482435397395</v>
      </c>
      <c r="R457" s="205">
        <f ca="1">IFERROR(INDEX(fx_vega,MATCH(Report!$E457,Data!$A$86:$A$114,0),MATCH(Report!R$448,Data!$A$86:$K$86,0)),0)</f>
        <v>0</v>
      </c>
      <c r="S457" s="207">
        <f ca="1">IFERROR(INDEX(fx_vega,MATCH(Report!$E457,Data!$A$86:$A$114,0),MATCH(Report!S$448,Data!$A$86:$K$86,0)),0)</f>
        <v>0</v>
      </c>
    </row>
    <row r="458" spans="2:20" s="409" customFormat="1" ht="15.75" customHeight="1" x14ac:dyDescent="0.25">
      <c r="D458" s="253"/>
      <c r="E458" s="237" t="str">
        <f ca="1"/>
        <v>AUDCAD</v>
      </c>
      <c r="F458" s="242">
        <f t="shared" ca="1" si="113"/>
        <v>6203826.2136700805</v>
      </c>
      <c r="G458" s="263">
        <f t="shared" ca="1" si="110"/>
        <v>-4406.5981987289542</v>
      </c>
      <c r="H458" s="210">
        <f t="shared" ca="1" si="114"/>
        <v>1455697.0644691675</v>
      </c>
      <c r="I458" s="264">
        <f t="shared" ca="1" si="112"/>
        <v>62171.090676417269</v>
      </c>
      <c r="J458" s="205">
        <f ca="1">IFERROR(INDEX(fx_vega,MATCH(Report!$E458,Data!$A$86:$A$114,0),MATCH(Report!J$448,Data!$A$86:$K$86,0)),0)</f>
        <v>0</v>
      </c>
      <c r="K458" s="205">
        <f ca="1">IFERROR(INDEX(fx_vega,MATCH(Report!$E458,Data!$A$86:$A$114,0),MATCH(Report!K$448,Data!$A$86:$K$86,0)),0)</f>
        <v>0</v>
      </c>
      <c r="L458" s="205">
        <f ca="1">IFERROR(INDEX(fx_vega,MATCH(Report!$E458,Data!$A$86:$A$114,0),MATCH(Report!L$448,Data!$A$86:$K$86,0)),0)</f>
        <v>0</v>
      </c>
      <c r="M458" s="205">
        <f ca="1">IFERROR(INDEX(fx_vega,MATCH(Report!$E458,Data!$A$86:$A$114,0),MATCH(Report!M$448,Data!$A$86:$K$86,0)),0)</f>
        <v>0</v>
      </c>
      <c r="N458" s="205">
        <f ca="1">IFERROR(INDEX(fx_vega,MATCH(Report!$E458,Data!$A$86:$A$114,0),MATCH(Report!N$448,Data!$A$86:$K$86,0)),0)</f>
        <v>0</v>
      </c>
      <c r="O458" s="205">
        <f ca="1">IFERROR(INDEX(fx_vega,MATCH(Report!$E458,Data!$A$86:$A$114,0),MATCH(Report!O$448,Data!$A$86:$K$86,0)),0)</f>
        <v>39237.593307112023</v>
      </c>
      <c r="P458" s="205">
        <f ca="1">IFERROR(INDEX(fx_vega,MATCH(Report!$E458,Data!$A$86:$A$114,0),MATCH(Report!P$448,Data!$A$86:$K$86,0)),0)</f>
        <v>-358.01965051154968</v>
      </c>
      <c r="Q458" s="205">
        <f ca="1">IFERROR(INDEX(fx_vega,MATCH(Report!$E458,Data!$A$86:$A$114,0),MATCH(Report!Q$448,Data!$A$86:$K$86,0)),0)</f>
        <v>23291.517019816794</v>
      </c>
      <c r="R458" s="205">
        <f ca="1">IFERROR(INDEX(fx_vega,MATCH(Report!$E458,Data!$A$86:$A$114,0),MATCH(Report!R$448,Data!$A$86:$K$86,0)),0)</f>
        <v>0</v>
      </c>
      <c r="S458" s="207">
        <f ca="1">IFERROR(INDEX(fx_vega,MATCH(Report!$E458,Data!$A$86:$A$114,0),MATCH(Report!S$448,Data!$A$86:$K$86,0)),0)</f>
        <v>0</v>
      </c>
    </row>
    <row r="459" spans="2:20" s="409" customFormat="1" ht="15.75" customHeight="1" x14ac:dyDescent="0.25">
      <c r="D459" s="253"/>
      <c r="E459" s="237" t="str">
        <f ca="1"/>
        <v>NOKSEK</v>
      </c>
      <c r="F459" s="242">
        <f t="shared" ca="1" si="113"/>
        <v>5577040.9756591842</v>
      </c>
      <c r="G459" s="263">
        <f t="shared" ca="1" si="110"/>
        <v>0</v>
      </c>
      <c r="H459" s="210">
        <f t="shared" ca="1" si="114"/>
        <v>0</v>
      </c>
      <c r="I459" s="264">
        <f t="shared" ca="1" si="112"/>
        <v>325.10528446490446</v>
      </c>
      <c r="J459" s="205">
        <f ca="1">IFERROR(INDEX(fx_vega,MATCH(Report!$E459,Data!$A$86:$A$114,0),MATCH(Report!J$448,Data!$A$86:$K$86,0)),0)</f>
        <v>0</v>
      </c>
      <c r="K459" s="205">
        <f ca="1">IFERROR(INDEX(fx_vega,MATCH(Report!$E459,Data!$A$86:$A$114,0),MATCH(Report!K$448,Data!$A$86:$K$86,0)),0)</f>
        <v>0</v>
      </c>
      <c r="L459" s="205">
        <f ca="1">IFERROR(INDEX(fx_vega,MATCH(Report!$E459,Data!$A$86:$A$114,0),MATCH(Report!L$448,Data!$A$86:$K$86,0)),0)</f>
        <v>0</v>
      </c>
      <c r="M459" s="205">
        <f ca="1">IFERROR(INDEX(fx_vega,MATCH(Report!$E459,Data!$A$86:$A$114,0),MATCH(Report!M$448,Data!$A$86:$K$86,0)),0)</f>
        <v>-825.74058557129877</v>
      </c>
      <c r="N459" s="205">
        <f ca="1">IFERROR(INDEX(fx_vega,MATCH(Report!$E459,Data!$A$86:$A$114,0),MATCH(Report!N$448,Data!$A$86:$K$86,0)),0)</f>
        <v>0</v>
      </c>
      <c r="O459" s="205">
        <f ca="1">IFERROR(INDEX(fx_vega,MATCH(Report!$E459,Data!$A$86:$A$114,0),MATCH(Report!O$448,Data!$A$86:$K$86,0)),0)</f>
        <v>1150.8458700362032</v>
      </c>
      <c r="P459" s="205">
        <f ca="1">IFERROR(INDEX(fx_vega,MATCH(Report!$E459,Data!$A$86:$A$114,0),MATCH(Report!P$448,Data!$A$86:$K$86,0)),0)</f>
        <v>0</v>
      </c>
      <c r="Q459" s="205">
        <f ca="1">IFERROR(INDEX(fx_vega,MATCH(Report!$E459,Data!$A$86:$A$114,0),MATCH(Report!Q$448,Data!$A$86:$K$86,0)),0)</f>
        <v>0</v>
      </c>
      <c r="R459" s="205">
        <f ca="1">IFERROR(INDEX(fx_vega,MATCH(Report!$E459,Data!$A$86:$A$114,0),MATCH(Report!R$448,Data!$A$86:$K$86,0)),0)</f>
        <v>0</v>
      </c>
      <c r="S459" s="207">
        <f ca="1">IFERROR(INDEX(fx_vega,MATCH(Report!$E459,Data!$A$86:$A$114,0),MATCH(Report!S$448,Data!$A$86:$K$86,0)),0)</f>
        <v>0</v>
      </c>
    </row>
    <row r="460" spans="2:20" ht="14.25" customHeight="1" x14ac:dyDescent="0.25">
      <c r="D460" s="253"/>
      <c r="E460" s="237" t="s">
        <v>151</v>
      </c>
      <c r="F460" s="247">
        <f ca="1">IFERROR(SUM(OFFSET(theta_gamma_by_fx_pair,1,3,,1))-SUM(F449:F459),0)</f>
        <v>364953.35734759271</v>
      </c>
      <c r="G460" s="247">
        <f ca="1">IFERROR(SUM(OFFSET(theta_gamma_by_fx_pair,1,1,,1))-SUM(G449:G459),0)</f>
        <v>-290.21610196586334</v>
      </c>
      <c r="H460" s="247">
        <f ca="1">IFERROR(SUM(OFFSET(theta_gamma_by_fx_pair,1,2,,1))-SUM(H449:H459),0)</f>
        <v>8235513.4015648402</v>
      </c>
      <c r="I460" s="265">
        <f t="shared" ca="1" si="112"/>
        <v>48404.856898950427</v>
      </c>
      <c r="J460" s="266">
        <f ca="1">IFERROR(SUM(OFFSET(fx_vega,1,MATCH(J448,Data!$A$86:$I$86,0)-1,,1))-SUM(J449:J458),0)</f>
        <v>0</v>
      </c>
      <c r="K460" s="266">
        <f ca="1">IFERROR(SUM(OFFSET(fx_vega,1,MATCH(K448,Data!$A$86:$I$86,0)-1,,1))-SUM(K449:K458),0)</f>
        <v>4.0017766878008842E-11</v>
      </c>
      <c r="L460" s="266">
        <f ca="1">IFERROR(SUM(OFFSET(fx_vega,1,MATCH(L448,Data!$A$86:$I$86,0)-1,,1))-SUM(L449:L458),0)</f>
        <v>1679.1607489794023</v>
      </c>
      <c r="M460" s="266">
        <f ca="1">IFERROR(SUM(OFFSET(fx_vega,1,MATCH(M448,Data!$A$86:$I$86,0)-1,,1))-SUM(M449:M458),0)</f>
        <v>442.83089823617775</v>
      </c>
      <c r="N460" s="266">
        <f ca="1">IFERROR(SUM(OFFSET(fx_vega,1,MATCH(N448,Data!$A$86:$I$86,0)-1,,1))-SUM(N449:N458),0)</f>
        <v>41451.331034645234</v>
      </c>
      <c r="O460" s="266">
        <f ca="1">IFERROR(SUM(OFFSET(fx_vega,1,MATCH(O448,Data!$A$86:$I$86,0)-1,,1))-SUM(O449:O458),0)</f>
        <v>4831.5342170895747</v>
      </c>
      <c r="P460" s="266">
        <f ca="1">IFERROR(SUM(OFFSET(fx_vega,1,MATCH(P448,Data!$A$86:$I$86,0)-1,,1))-SUM(P449:P458),0)</f>
        <v>0</v>
      </c>
      <c r="Q460" s="266">
        <f ca="1">IFERROR(SUM(OFFSET(fx_vega,1,MATCH(Q448,Data!$A$86:$I$86,0)-1,,1))-SUM(Q449:Q458),0)</f>
        <v>0</v>
      </c>
      <c r="R460" s="266">
        <f ca="1">IFERROR(SUM(OFFSET(fx_vega,1,MATCH(R448,Data!$A$86:$I$86,0)-1,,1))-SUM(R449:R458),0)</f>
        <v>0</v>
      </c>
      <c r="S460" s="267">
        <f ca="1">IFERROR(SUM(OFFSET(fx_vega,1,MATCH(S448,Data!$A$86:$I$86,0)-1,,1))-SUM(S449:S458),0)</f>
        <v>0</v>
      </c>
    </row>
    <row r="461" spans="2:20" x14ac:dyDescent="0.25">
      <c r="D461" s="253"/>
      <c r="E461" s="75" t="s">
        <v>38</v>
      </c>
      <c r="F461" s="17">
        <f ca="1">SUM(F449:F460)</f>
        <v>76797649.218203023</v>
      </c>
      <c r="G461" s="268">
        <f ca="1">SUM(G449:G460)</f>
        <v>-13932.418279206042</v>
      </c>
      <c r="H461" s="315">
        <f ca="1">SUM(H449:H460)</f>
        <v>25922525.720366955</v>
      </c>
      <c r="I461" s="206">
        <f ca="1">SUM(I449:I460)</f>
        <v>1589025.89802006</v>
      </c>
      <c r="J461" s="206">
        <f t="shared" ref="J461:S461" ca="1" si="115">SUM(J449:J460)</f>
        <v>0</v>
      </c>
      <c r="K461" s="206">
        <f t="shared" ca="1" si="115"/>
        <v>17440.40922972354</v>
      </c>
      <c r="L461" s="206">
        <f t="shared" ca="1" si="115"/>
        <v>-8245.2752944119093</v>
      </c>
      <c r="M461" s="206">
        <f t="shared" ca="1" si="115"/>
        <v>93518.572106855499</v>
      </c>
      <c r="N461" s="206">
        <f t="shared" ca="1" si="115"/>
        <v>191203.05294332199</v>
      </c>
      <c r="O461" s="206">
        <f t="shared" ca="1" si="115"/>
        <v>66860.458097089955</v>
      </c>
      <c r="P461" s="206">
        <f t="shared" ca="1" si="115"/>
        <v>-358.01965051154968</v>
      </c>
      <c r="Q461" s="206">
        <f t="shared" ca="1" si="115"/>
        <v>29991.465263356535</v>
      </c>
      <c r="R461" s="206">
        <f t="shared" ca="1" si="115"/>
        <v>0</v>
      </c>
      <c r="S461" s="206">
        <f t="shared" ca="1" si="115"/>
        <v>1198615.2353246359</v>
      </c>
    </row>
    <row r="462" spans="2:20" x14ac:dyDescent="0.25">
      <c r="E462" s="2"/>
      <c r="F462" s="3"/>
    </row>
    <row r="463" spans="2:20" ht="17.25" x14ac:dyDescent="0.3">
      <c r="B463" s="246"/>
      <c r="C463" s="21" t="s">
        <v>152</v>
      </c>
      <c r="D463" s="22"/>
      <c r="E463" s="22"/>
      <c r="F463" s="31"/>
      <c r="G463" s="31"/>
      <c r="H463" s="31"/>
      <c r="I463" s="31"/>
      <c r="J463" s="22"/>
      <c r="K463" s="22"/>
      <c r="L463" s="22"/>
      <c r="M463" s="22"/>
      <c r="N463" s="22"/>
      <c r="O463" s="22"/>
      <c r="P463" s="22"/>
      <c r="Q463" s="22"/>
      <c r="R463" s="22"/>
      <c r="S463" s="22"/>
      <c r="T463" s="22"/>
    </row>
    <row r="464" spans="2:20" x14ac:dyDescent="0.25">
      <c r="G464" s="269" t="s">
        <v>153</v>
      </c>
      <c r="I464" s="51"/>
      <c r="J464" s="51"/>
      <c r="K464" s="51"/>
      <c r="L464" s="51"/>
      <c r="M464" s="51"/>
      <c r="N464" s="51"/>
      <c r="O464" s="51"/>
      <c r="Q464" s="81" t="s">
        <v>154</v>
      </c>
      <c r="R464" s="4"/>
      <c r="S464" s="4"/>
    </row>
    <row r="465" spans="5:19" x14ac:dyDescent="0.25">
      <c r="F465" s="320">
        <v>1</v>
      </c>
      <c r="G465" s="321">
        <v>2</v>
      </c>
      <c r="H465" s="320">
        <v>3</v>
      </c>
      <c r="I465" s="320">
        <v>4</v>
      </c>
      <c r="J465" s="320">
        <v>5</v>
      </c>
      <c r="K465" s="320">
        <v>6</v>
      </c>
      <c r="L465" s="320">
        <v>7</v>
      </c>
      <c r="M465" s="320">
        <v>8</v>
      </c>
      <c r="N465" s="320">
        <v>9</v>
      </c>
      <c r="O465" s="320">
        <v>10</v>
      </c>
      <c r="P465" s="320">
        <v>11</v>
      </c>
    </row>
    <row r="466" spans="5:19" ht="31.5" x14ac:dyDescent="0.25">
      <c r="E466" s="48" t="s">
        <v>155</v>
      </c>
      <c r="F466" s="270" t="s">
        <v>156</v>
      </c>
      <c r="G466" s="51" t="s">
        <v>146</v>
      </c>
      <c r="H466" s="51" t="s">
        <v>148</v>
      </c>
      <c r="I466" s="51" t="s">
        <v>149</v>
      </c>
      <c r="J466" s="51" t="s">
        <v>157</v>
      </c>
      <c r="K466" s="51" t="s">
        <v>158</v>
      </c>
      <c r="L466" s="51" t="s">
        <v>150</v>
      </c>
      <c r="M466" s="51" t="s">
        <v>159</v>
      </c>
      <c r="N466" s="51" t="s">
        <v>160</v>
      </c>
      <c r="O466" s="50" t="s">
        <v>161</v>
      </c>
      <c r="P466" s="51" t="s">
        <v>162</v>
      </c>
      <c r="Q466" s="271" t="s">
        <v>140</v>
      </c>
      <c r="R466" s="272" t="s">
        <v>163</v>
      </c>
      <c r="S466" s="273" t="s">
        <v>139</v>
      </c>
    </row>
    <row r="467" spans="5:19" x14ac:dyDescent="0.25">
      <c r="E467" s="2" t="str">
        <f t="array" aca="1" ref="E467:E477" ca="1">OFFSET(rates_dv01_by_ccy,1,0,100,1)</f>
        <v>GBP</v>
      </c>
      <c r="F467" s="274">
        <f t="shared" ref="F467:F477" ca="1" si="116">SUM(G467:P467)</f>
        <v>-5540.8767560650667</v>
      </c>
      <c r="G467" s="274">
        <f ca="1">IFERROR(INDEX(rates_dv01_by_ccy,MATCH(Report!$E467,Data!$A$111:$A$122,0),MATCH(IF(Report!G$466="6M",0.5,LEFT(Report!G$466,LEN(Report!G$466)-1)*1),Data!$A$111:$O$111,0)),0)</f>
        <v>-5540.8767560650667</v>
      </c>
      <c r="H467" s="275">
        <f ca="1">IFERROR(INDEX(rates_dv01_by_ccy,MATCH(Report!$E467,Data!$A$111:$A$122,0),MATCH(IF(Report!H$466="6M",0.5,LEFT(Report!H$466,LEN(Report!H$466)-1)*1),Data!$A$111:$O$111,0)),0)</f>
        <v>0</v>
      </c>
      <c r="I467" s="275">
        <f ca="1">IFERROR(INDEX(rates_dv01_by_ccy,MATCH(Report!$E467,Data!$A$111:$A$122,0),MATCH(IF(Report!I$466="6M",0.5,LEFT(Report!I$466,LEN(Report!I$466)-1)*1),Data!$A$111:$O$111,0)),0)</f>
        <v>0</v>
      </c>
      <c r="J467" s="275">
        <f ca="1">IFERROR(INDEX(rates_dv01_by_ccy,MATCH(Report!$E467,Data!$A$111:$A$122,0),MATCH(IF(Report!J$466="6M",0.5,LEFT(Report!J$466,LEN(Report!J$466)-1)*1),Data!$A$111:$O$111,0)),0)</f>
        <v>0</v>
      </c>
      <c r="K467" s="275">
        <f ca="1">IFERROR(INDEX(rates_dv01_by_ccy,MATCH(Report!$E467,Data!$A$111:$A$122,0),MATCH(IF(Report!K$466="6M",0.5,LEFT(Report!K$466,LEN(Report!K$466)-1)*1),Data!$A$111:$O$111,0)),0)</f>
        <v>0</v>
      </c>
      <c r="L467" s="275">
        <f ca="1">IFERROR(INDEX(rates_dv01_by_ccy,MATCH(Report!$E467,Data!$A$111:$A$122,0),MATCH(IF(Report!L$466="6M",0.5,LEFT(Report!L$466,LEN(Report!L$466)-1)*1),Data!$A$111:$O$111,0)),0)</f>
        <v>0</v>
      </c>
      <c r="M467" s="275">
        <f ca="1">IFERROR(INDEX(rates_dv01_by_ccy,MATCH(Report!$E467,Data!$A$111:$A$122,0),MATCH(IF(Report!M$466="6M",0.5,LEFT(Report!M$466,LEN(Report!M$466)-1)*1),Data!$A$111:$O$111,0)),0)</f>
        <v>0</v>
      </c>
      <c r="N467" s="275">
        <f ca="1">IFERROR(INDEX(rates_dv01_by_ccy,MATCH(Report!$E467,Data!$A$111:$A$122,0),MATCH(IF(Report!N$466="6M",0.5,LEFT(Report!N$466,LEN(Report!N$466)-1)*1),Data!$A$111:$O$111,0)),0)</f>
        <v>0</v>
      </c>
      <c r="O467" s="275">
        <f ca="1">IFERROR(INDEX(rates_dv01_by_ccy,MATCH(Report!$E467,Data!$A$111:$A$122,0),MATCH(IF(Report!O$466="6M",0.5,LEFT(Report!O$466,LEN(Report!O$466)-1)*1),Data!$A$111:$O$111,0)),0)</f>
        <v>0</v>
      </c>
      <c r="P467" s="276">
        <f ca="1">IFERROR(INDEX(rates_dv01_by_ccy,MATCH(Report!$E467,Data!$A$111:$A$122,0),MATCH(IF(Report!P$466="6M",0.5,LEFT(Report!P$466,LEN(Report!P$466)-1)*1),Data!$A$111:$O$111,0)),0)</f>
        <v>0</v>
      </c>
      <c r="Q467" s="276">
        <f t="shared" ref="Q467:Q477" ca="1" si="117">IFERROR(VLOOKUP(E467,rates_vega_by_ccy,2,FALSE),0)</f>
        <v>-8.7472374887315496</v>
      </c>
      <c r="R467" s="277">
        <f t="shared" ref="R467:R477" ca="1" si="118">IFERROR(VLOOKUP(E467,theta_gamma_by_rate_ccy,3,FALSE),0)</f>
        <v>4082379.6946979044</v>
      </c>
      <c r="S467" s="277">
        <f t="shared" ref="S467:S477" ca="1" si="119">IFERROR(VLOOKUP(E467,theta_gamma_by_rate_ccy,2,FALSE),0)</f>
        <v>19463.583999090813</v>
      </c>
    </row>
    <row r="468" spans="5:19" x14ac:dyDescent="0.25">
      <c r="E468" s="2" t="str">
        <f ca="1"/>
        <v>USD</v>
      </c>
      <c r="F468" s="278">
        <f t="shared" ca="1" si="116"/>
        <v>43432.96541578263</v>
      </c>
      <c r="G468" s="278">
        <f ca="1">IFERROR(INDEX(rates_dv01_by_ccy,MATCH(Report!$E468,Data!$A$111:$A$122,0),MATCH(IF(Report!G$466="6M",0.5,LEFT(Report!G$466,LEN(Report!G$466)-1)*1),Data!$A$111:$O$111,0)),0)</f>
        <v>-1203.4706686110655</v>
      </c>
      <c r="H468" s="279">
        <f ca="1">IFERROR(INDEX(rates_dv01_by_ccy,MATCH(Report!$E468,Data!$A$111:$A$122,0),MATCH(IF(Report!H$466="6M",0.5,LEFT(Report!H$466,LEN(Report!H$466)-1)*1),Data!$A$111:$O$111,0)),0)</f>
        <v>27675.09874394504</v>
      </c>
      <c r="I468" s="279">
        <f ca="1">IFERROR(INDEX(rates_dv01_by_ccy,MATCH(Report!$E468,Data!$A$111:$A$122,0),MATCH(IF(Report!I$466="6M",0.5,LEFT(Report!I$466,LEN(Report!I$466)-1)*1),Data!$A$111:$O$111,0)),0)</f>
        <v>-307709.64493473707</v>
      </c>
      <c r="J468" s="279">
        <f ca="1">IFERROR(INDEX(rates_dv01_by_ccy,MATCH(Report!$E468,Data!$A$111:$A$122,0),MATCH(IF(Report!J$466="6M",0.5,LEFT(Report!J$466,LEN(Report!J$466)-1)*1),Data!$A$111:$O$111,0)),0)</f>
        <v>180633.39350348167</v>
      </c>
      <c r="K468" s="279">
        <f ca="1">IFERROR(INDEX(rates_dv01_by_ccy,MATCH(Report!$E468,Data!$A$111:$A$122,0),MATCH(IF(Report!K$466="6M",0.5,LEFT(Report!K$466,LEN(Report!K$466)-1)*1),Data!$A$111:$O$111,0)),0)</f>
        <v>370979.00980104908</v>
      </c>
      <c r="L468" s="279">
        <f ca="1">IFERROR(INDEX(rates_dv01_by_ccy,MATCH(Report!$E468,Data!$A$111:$A$122,0),MATCH(IF(Report!L$466="6M",0.5,LEFT(Report!L$466,LEN(Report!L$466)-1)*1),Data!$A$111:$O$111,0)),0)</f>
        <v>48189.807646819449</v>
      </c>
      <c r="M468" s="279">
        <f ca="1">IFERROR(INDEX(rates_dv01_by_ccy,MATCH(Report!$E468,Data!$A$111:$A$122,0),MATCH(IF(Report!M$466="6M",0.5,LEFT(Report!M$466,LEN(Report!M$466)-1)*1),Data!$A$111:$O$111,0)),0)</f>
        <v>3175.7932235824733</v>
      </c>
      <c r="N468" s="279">
        <f ca="1">IFERROR(INDEX(rates_dv01_by_ccy,MATCH(Report!$E468,Data!$A$111:$A$122,0),MATCH(IF(Report!N$466="6M",0.5,LEFT(Report!N$466,LEN(Report!N$466)-1)*1),Data!$A$111:$O$111,0)),0)</f>
        <v>-253550.88777943584</v>
      </c>
      <c r="O468" s="279">
        <f ca="1">IFERROR(INDEX(rates_dv01_by_ccy,MATCH(Report!$E468,Data!$A$111:$A$122,0),MATCH(IF(Report!O$466="6M",0.5,LEFT(Report!O$466,LEN(Report!O$466)-1)*1),Data!$A$111:$O$111,0)),0)</f>
        <v>25422.430917828504</v>
      </c>
      <c r="P468" s="280">
        <f ca="1">IFERROR(INDEX(rates_dv01_by_ccy,MATCH(Report!$E468,Data!$A$111:$A$122,0),MATCH(IF(Report!P$466="6M",0.5,LEFT(Report!P$466,LEN(Report!P$466)-1)*1),Data!$A$111:$O$111,0)),0)</f>
        <v>-50178.565038139641</v>
      </c>
      <c r="Q468" s="280">
        <f t="shared" ca="1" si="117"/>
        <v>378024.94202745671</v>
      </c>
      <c r="R468" s="281">
        <f t="shared" ca="1" si="118"/>
        <v>3919156.4261213485</v>
      </c>
      <c r="S468" s="281">
        <f t="shared" ca="1" si="119"/>
        <v>-3138.8247654590969</v>
      </c>
    </row>
    <row r="469" spans="5:19" x14ac:dyDescent="0.25">
      <c r="E469" s="2">
        <f ca="1"/>
        <v>0</v>
      </c>
      <c r="F469" s="278">
        <f t="shared" ca="1" si="116"/>
        <v>0</v>
      </c>
      <c r="G469" s="278">
        <f ca="1">IFERROR(INDEX(rates_dv01_by_ccy,MATCH(Report!$E469,Data!$A$111:$A$122,0),MATCH(IF(Report!G$466="6M",0.5,LEFT(Report!G$466,LEN(Report!G$466)-1)*1),Data!$A$111:$O$111,0)),0)</f>
        <v>0</v>
      </c>
      <c r="H469" s="279">
        <f ca="1">IFERROR(INDEX(rates_dv01_by_ccy,MATCH(Report!$E469,Data!$A$111:$A$122,0),MATCH(IF(Report!H$466="6M",0.5,LEFT(Report!H$466,LEN(Report!H$466)-1)*1),Data!$A$111:$O$111,0)),0)</f>
        <v>0</v>
      </c>
      <c r="I469" s="279">
        <f ca="1">IFERROR(INDEX(rates_dv01_by_ccy,MATCH(Report!$E469,Data!$A$111:$A$122,0),MATCH(IF(Report!I$466="6M",0.5,LEFT(Report!I$466,LEN(Report!I$466)-1)*1),Data!$A$111:$O$111,0)),0)</f>
        <v>0</v>
      </c>
      <c r="J469" s="279">
        <f ca="1">IFERROR(INDEX(rates_dv01_by_ccy,MATCH(Report!$E469,Data!$A$111:$A$122,0),MATCH(IF(Report!J$466="6M",0.5,LEFT(Report!J$466,LEN(Report!J$466)-1)*1),Data!$A$111:$O$111,0)),0)</f>
        <v>0</v>
      </c>
      <c r="K469" s="279">
        <f ca="1">IFERROR(INDEX(rates_dv01_by_ccy,MATCH(Report!$E469,Data!$A$111:$A$122,0),MATCH(IF(Report!K$466="6M",0.5,LEFT(Report!K$466,LEN(Report!K$466)-1)*1),Data!$A$111:$O$111,0)),0)</f>
        <v>0</v>
      </c>
      <c r="L469" s="279">
        <f ca="1">IFERROR(INDEX(rates_dv01_by_ccy,MATCH(Report!$E469,Data!$A$111:$A$122,0),MATCH(IF(Report!L$466="6M",0.5,LEFT(Report!L$466,LEN(Report!L$466)-1)*1),Data!$A$111:$O$111,0)),0)</f>
        <v>0</v>
      </c>
      <c r="M469" s="279">
        <f ca="1">IFERROR(INDEX(rates_dv01_by_ccy,MATCH(Report!$E469,Data!$A$111:$A$122,0),MATCH(IF(Report!M$466="6M",0.5,LEFT(Report!M$466,LEN(Report!M$466)-1)*1),Data!$A$111:$O$111,0)),0)</f>
        <v>0</v>
      </c>
      <c r="N469" s="279">
        <f ca="1">IFERROR(INDEX(rates_dv01_by_ccy,MATCH(Report!$E469,Data!$A$111:$A$122,0),MATCH(IF(Report!N$466="6M",0.5,LEFT(Report!N$466,LEN(Report!N$466)-1)*1),Data!$A$111:$O$111,0)),0)</f>
        <v>0</v>
      </c>
      <c r="O469" s="279">
        <f ca="1">IFERROR(INDEX(rates_dv01_by_ccy,MATCH(Report!$E469,Data!$A$111:$A$122,0),MATCH(IF(Report!O$466="6M",0.5,LEFT(Report!O$466,LEN(Report!O$466)-1)*1),Data!$A$111:$O$111,0)),0)</f>
        <v>0</v>
      </c>
      <c r="P469" s="280">
        <f ca="1">IFERROR(INDEX(rates_dv01_by_ccy,MATCH(Report!$E469,Data!$A$111:$A$122,0),MATCH(IF(Report!P$466="6M",0.5,LEFT(Report!P$466,LEN(Report!P$466)-1)*1),Data!$A$111:$O$111,0)),0)</f>
        <v>0</v>
      </c>
      <c r="Q469" s="280">
        <f t="shared" ca="1" si="117"/>
        <v>0</v>
      </c>
      <c r="R469" s="281">
        <f t="shared" ca="1" si="118"/>
        <v>0</v>
      </c>
      <c r="S469" s="281">
        <f t="shared" ca="1" si="119"/>
        <v>0</v>
      </c>
    </row>
    <row r="470" spans="5:19" x14ac:dyDescent="0.25">
      <c r="E470" s="2">
        <f ca="1"/>
        <v>0</v>
      </c>
      <c r="F470" s="278">
        <f t="shared" ca="1" si="116"/>
        <v>0</v>
      </c>
      <c r="G470" s="278">
        <f ca="1">IFERROR(INDEX(rates_dv01_by_ccy,MATCH(Report!$E470,Data!$A$111:$A$122,0),MATCH(IF(Report!G$466="6M",0.5,LEFT(Report!G$466,LEN(Report!G$466)-1)*1),Data!$A$111:$O$111,0)),0)</f>
        <v>0</v>
      </c>
      <c r="H470" s="279">
        <f ca="1">IFERROR(INDEX(rates_dv01_by_ccy,MATCH(Report!$E470,Data!$A$111:$A$122,0),MATCH(IF(Report!H$466="6M",0.5,LEFT(Report!H$466,LEN(Report!H$466)-1)*1),Data!$A$111:$O$111,0)),0)</f>
        <v>0</v>
      </c>
      <c r="I470" s="279">
        <f ca="1">IFERROR(INDEX(rates_dv01_by_ccy,MATCH(Report!$E470,Data!$A$111:$A$122,0),MATCH(IF(Report!I$466="6M",0.5,LEFT(Report!I$466,LEN(Report!I$466)-1)*1),Data!$A$111:$O$111,0)),0)</f>
        <v>0</v>
      </c>
      <c r="J470" s="279">
        <f ca="1">IFERROR(INDEX(rates_dv01_by_ccy,MATCH(Report!$E470,Data!$A$111:$A$122,0),MATCH(IF(Report!J$466="6M",0.5,LEFT(Report!J$466,LEN(Report!J$466)-1)*1),Data!$A$111:$O$111,0)),0)</f>
        <v>0</v>
      </c>
      <c r="K470" s="279">
        <f ca="1">IFERROR(INDEX(rates_dv01_by_ccy,MATCH(Report!$E470,Data!$A$111:$A$122,0),MATCH(IF(Report!K$466="6M",0.5,LEFT(Report!K$466,LEN(Report!K$466)-1)*1),Data!$A$111:$O$111,0)),0)</f>
        <v>0</v>
      </c>
      <c r="L470" s="279">
        <f ca="1">IFERROR(INDEX(rates_dv01_by_ccy,MATCH(Report!$E470,Data!$A$111:$A$122,0),MATCH(IF(Report!L$466="6M",0.5,LEFT(Report!L$466,LEN(Report!L$466)-1)*1),Data!$A$111:$O$111,0)),0)</f>
        <v>0</v>
      </c>
      <c r="M470" s="279">
        <f ca="1">IFERROR(INDEX(rates_dv01_by_ccy,MATCH(Report!$E470,Data!$A$111:$A$122,0),MATCH(IF(Report!M$466="6M",0.5,LEFT(Report!M$466,LEN(Report!M$466)-1)*1),Data!$A$111:$O$111,0)),0)</f>
        <v>0</v>
      </c>
      <c r="N470" s="279">
        <f ca="1">IFERROR(INDEX(rates_dv01_by_ccy,MATCH(Report!$E470,Data!$A$111:$A$122,0),MATCH(IF(Report!N$466="6M",0.5,LEFT(Report!N$466,LEN(Report!N$466)-1)*1),Data!$A$111:$O$111,0)),0)</f>
        <v>0</v>
      </c>
      <c r="O470" s="279">
        <f ca="1">IFERROR(INDEX(rates_dv01_by_ccy,MATCH(Report!$E470,Data!$A$111:$A$122,0),MATCH(IF(Report!O$466="6M",0.5,LEFT(Report!O$466,LEN(Report!O$466)-1)*1),Data!$A$111:$O$111,0)),0)</f>
        <v>0</v>
      </c>
      <c r="P470" s="280">
        <f ca="1">IFERROR(INDEX(rates_dv01_by_ccy,MATCH(Report!$E470,Data!$A$111:$A$122,0),MATCH(IF(Report!P$466="6M",0.5,LEFT(Report!P$466,LEN(Report!P$466)-1)*1),Data!$A$111:$O$111,0)),0)</f>
        <v>0</v>
      </c>
      <c r="Q470" s="280">
        <f t="shared" ca="1" si="117"/>
        <v>0</v>
      </c>
      <c r="R470" s="281">
        <f t="shared" ca="1" si="118"/>
        <v>0</v>
      </c>
      <c r="S470" s="281">
        <f t="shared" ca="1" si="119"/>
        <v>0</v>
      </c>
    </row>
    <row r="471" spans="5:19" x14ac:dyDescent="0.25">
      <c r="E471" s="2">
        <f ca="1"/>
        <v>0</v>
      </c>
      <c r="F471" s="278">
        <f t="shared" ca="1" si="116"/>
        <v>0</v>
      </c>
      <c r="G471" s="278">
        <f ca="1">IFERROR(INDEX(rates_dv01_by_ccy,MATCH(Report!$E471,Data!$A$111:$A$122,0),MATCH(IF(Report!G$466="6M",0.5,LEFT(Report!G$466,LEN(Report!G$466)-1)*1),Data!$A$111:$O$111,0)),0)</f>
        <v>0</v>
      </c>
      <c r="H471" s="279">
        <f ca="1">IFERROR(INDEX(rates_dv01_by_ccy,MATCH(Report!$E471,Data!$A$111:$A$122,0),MATCH(IF(Report!H$466="6M",0.5,LEFT(Report!H$466,LEN(Report!H$466)-1)*1),Data!$A$111:$O$111,0)),0)</f>
        <v>0</v>
      </c>
      <c r="I471" s="279">
        <f ca="1">IFERROR(INDEX(rates_dv01_by_ccy,MATCH(Report!$E471,Data!$A$111:$A$122,0),MATCH(IF(Report!I$466="6M",0.5,LEFT(Report!I$466,LEN(Report!I$466)-1)*1),Data!$A$111:$O$111,0)),0)</f>
        <v>0</v>
      </c>
      <c r="J471" s="279">
        <f ca="1">IFERROR(INDEX(rates_dv01_by_ccy,MATCH(Report!$E471,Data!$A$111:$A$122,0),MATCH(IF(Report!J$466="6M",0.5,LEFT(Report!J$466,LEN(Report!J$466)-1)*1),Data!$A$111:$O$111,0)),0)</f>
        <v>0</v>
      </c>
      <c r="K471" s="279">
        <f ca="1">IFERROR(INDEX(rates_dv01_by_ccy,MATCH(Report!$E471,Data!$A$111:$A$122,0),MATCH(IF(Report!K$466="6M",0.5,LEFT(Report!K$466,LEN(Report!K$466)-1)*1),Data!$A$111:$O$111,0)),0)</f>
        <v>0</v>
      </c>
      <c r="L471" s="279">
        <f ca="1">IFERROR(INDEX(rates_dv01_by_ccy,MATCH(Report!$E471,Data!$A$111:$A$122,0),MATCH(IF(Report!L$466="6M",0.5,LEFT(Report!L$466,LEN(Report!L$466)-1)*1),Data!$A$111:$O$111,0)),0)</f>
        <v>0</v>
      </c>
      <c r="M471" s="279">
        <f ca="1">IFERROR(INDEX(rates_dv01_by_ccy,MATCH(Report!$E471,Data!$A$111:$A$122,0),MATCH(IF(Report!M$466="6M",0.5,LEFT(Report!M$466,LEN(Report!M$466)-1)*1),Data!$A$111:$O$111,0)),0)</f>
        <v>0</v>
      </c>
      <c r="N471" s="279">
        <f ca="1">IFERROR(INDEX(rates_dv01_by_ccy,MATCH(Report!$E471,Data!$A$111:$A$122,0),MATCH(IF(Report!N$466="6M",0.5,LEFT(Report!N$466,LEN(Report!N$466)-1)*1),Data!$A$111:$O$111,0)),0)</f>
        <v>0</v>
      </c>
      <c r="O471" s="279">
        <f ca="1">IFERROR(INDEX(rates_dv01_by_ccy,MATCH(Report!$E471,Data!$A$111:$A$122,0),MATCH(IF(Report!O$466="6M",0.5,LEFT(Report!O$466,LEN(Report!O$466)-1)*1),Data!$A$111:$O$111,0)),0)</f>
        <v>0</v>
      </c>
      <c r="P471" s="280">
        <f ca="1">IFERROR(INDEX(rates_dv01_by_ccy,MATCH(Report!$E471,Data!$A$111:$A$122,0),MATCH(IF(Report!P$466="6M",0.5,LEFT(Report!P$466,LEN(Report!P$466)-1)*1),Data!$A$111:$O$111,0)),0)</f>
        <v>0</v>
      </c>
      <c r="Q471" s="280">
        <f t="shared" ca="1" si="117"/>
        <v>0</v>
      </c>
      <c r="R471" s="281">
        <f t="shared" ca="1" si="118"/>
        <v>0</v>
      </c>
      <c r="S471" s="281">
        <f t="shared" ca="1" si="119"/>
        <v>0</v>
      </c>
    </row>
    <row r="472" spans="5:19" x14ac:dyDescent="0.25">
      <c r="E472" s="2">
        <f ca="1"/>
        <v>0</v>
      </c>
      <c r="F472" s="278">
        <f t="shared" ca="1" si="116"/>
        <v>0</v>
      </c>
      <c r="G472" s="278">
        <f ca="1">IFERROR(INDEX(rates_dv01_by_ccy,MATCH(Report!$E472,Data!$A$111:$A$122,0),MATCH(IF(Report!G$466="6M",0.5,LEFT(Report!G$466,LEN(Report!G$466)-1)*1),Data!$A$111:$O$111,0)),0)</f>
        <v>0</v>
      </c>
      <c r="H472" s="279">
        <f ca="1">IFERROR(INDEX(rates_dv01_by_ccy,MATCH(Report!$E472,Data!$A$111:$A$122,0),MATCH(IF(Report!H$466="6M",0.5,LEFT(Report!H$466,LEN(Report!H$466)-1)*1),Data!$A$111:$O$111,0)),0)</f>
        <v>0</v>
      </c>
      <c r="I472" s="279">
        <f ca="1">IFERROR(INDEX(rates_dv01_by_ccy,MATCH(Report!$E472,Data!$A$111:$A$122,0),MATCH(IF(Report!I$466="6M",0.5,LEFT(Report!I$466,LEN(Report!I$466)-1)*1),Data!$A$111:$O$111,0)),0)</f>
        <v>0</v>
      </c>
      <c r="J472" s="279">
        <f ca="1">IFERROR(INDEX(rates_dv01_by_ccy,MATCH(Report!$E472,Data!$A$111:$A$122,0),MATCH(IF(Report!J$466="6M",0.5,LEFT(Report!J$466,LEN(Report!J$466)-1)*1),Data!$A$111:$O$111,0)),0)</f>
        <v>0</v>
      </c>
      <c r="K472" s="279">
        <f ca="1">IFERROR(INDEX(rates_dv01_by_ccy,MATCH(Report!$E472,Data!$A$111:$A$122,0),MATCH(IF(Report!K$466="6M",0.5,LEFT(Report!K$466,LEN(Report!K$466)-1)*1),Data!$A$111:$O$111,0)),0)</f>
        <v>0</v>
      </c>
      <c r="L472" s="279">
        <f ca="1">IFERROR(INDEX(rates_dv01_by_ccy,MATCH(Report!$E472,Data!$A$111:$A$122,0),MATCH(IF(Report!L$466="6M",0.5,LEFT(Report!L$466,LEN(Report!L$466)-1)*1),Data!$A$111:$O$111,0)),0)</f>
        <v>0</v>
      </c>
      <c r="M472" s="279">
        <f ca="1">IFERROR(INDEX(rates_dv01_by_ccy,MATCH(Report!$E472,Data!$A$111:$A$122,0),MATCH(IF(Report!M$466="6M",0.5,LEFT(Report!M$466,LEN(Report!M$466)-1)*1),Data!$A$111:$O$111,0)),0)</f>
        <v>0</v>
      </c>
      <c r="N472" s="279">
        <f ca="1">IFERROR(INDEX(rates_dv01_by_ccy,MATCH(Report!$E472,Data!$A$111:$A$122,0),MATCH(IF(Report!N$466="6M",0.5,LEFT(Report!N$466,LEN(Report!N$466)-1)*1),Data!$A$111:$O$111,0)),0)</f>
        <v>0</v>
      </c>
      <c r="O472" s="279">
        <f ca="1">IFERROR(INDEX(rates_dv01_by_ccy,MATCH(Report!$E472,Data!$A$111:$A$122,0),MATCH(IF(Report!O$466="6M",0.5,LEFT(Report!O$466,LEN(Report!O$466)-1)*1),Data!$A$111:$O$111,0)),0)</f>
        <v>0</v>
      </c>
      <c r="P472" s="280">
        <f ca="1">IFERROR(INDEX(rates_dv01_by_ccy,MATCH(Report!$E472,Data!$A$111:$A$122,0),MATCH(IF(Report!P$466="6M",0.5,LEFT(Report!P$466,LEN(Report!P$466)-1)*1),Data!$A$111:$O$111,0)),0)</f>
        <v>0</v>
      </c>
      <c r="Q472" s="280">
        <f t="shared" ca="1" si="117"/>
        <v>0</v>
      </c>
      <c r="R472" s="281">
        <f t="shared" ca="1" si="118"/>
        <v>0</v>
      </c>
      <c r="S472" s="281">
        <f t="shared" ca="1" si="119"/>
        <v>0</v>
      </c>
    </row>
    <row r="473" spans="5:19" x14ac:dyDescent="0.25">
      <c r="E473" s="2">
        <f ca="1"/>
        <v>0</v>
      </c>
      <c r="F473" s="278">
        <f t="shared" ca="1" si="116"/>
        <v>0</v>
      </c>
      <c r="G473" s="278">
        <f ca="1">IFERROR(INDEX(rates_dv01_by_ccy,MATCH(Report!$E473,Data!$A$111:$A$122,0),MATCH(IF(Report!G$466="6M",0.5,LEFT(Report!G$466,LEN(Report!G$466)-1)*1),Data!$A$111:$O$111,0)),0)</f>
        <v>0</v>
      </c>
      <c r="H473" s="279">
        <f ca="1">IFERROR(INDEX(rates_dv01_by_ccy,MATCH(Report!$E473,Data!$A$111:$A$122,0),MATCH(IF(Report!H$466="6M",0.5,LEFT(Report!H$466,LEN(Report!H$466)-1)*1),Data!$A$111:$O$111,0)),0)</f>
        <v>0</v>
      </c>
      <c r="I473" s="279">
        <f ca="1">IFERROR(INDEX(rates_dv01_by_ccy,MATCH(Report!$E473,Data!$A$111:$A$122,0),MATCH(IF(Report!I$466="6M",0.5,LEFT(Report!I$466,LEN(Report!I$466)-1)*1),Data!$A$111:$O$111,0)),0)</f>
        <v>0</v>
      </c>
      <c r="J473" s="279">
        <f ca="1">IFERROR(INDEX(rates_dv01_by_ccy,MATCH(Report!$E473,Data!$A$111:$A$122,0),MATCH(IF(Report!J$466="6M",0.5,LEFT(Report!J$466,LEN(Report!J$466)-1)*1),Data!$A$111:$O$111,0)),0)</f>
        <v>0</v>
      </c>
      <c r="K473" s="279">
        <f ca="1">IFERROR(INDEX(rates_dv01_by_ccy,MATCH(Report!$E473,Data!$A$111:$A$122,0),MATCH(IF(Report!K$466="6M",0.5,LEFT(Report!K$466,LEN(Report!K$466)-1)*1),Data!$A$111:$O$111,0)),0)</f>
        <v>0</v>
      </c>
      <c r="L473" s="279">
        <f ca="1">IFERROR(INDEX(rates_dv01_by_ccy,MATCH(Report!$E473,Data!$A$111:$A$122,0),MATCH(IF(Report!L$466="6M",0.5,LEFT(Report!L$466,LEN(Report!L$466)-1)*1),Data!$A$111:$O$111,0)),0)</f>
        <v>0</v>
      </c>
      <c r="M473" s="279">
        <f ca="1">IFERROR(INDEX(rates_dv01_by_ccy,MATCH(Report!$E473,Data!$A$111:$A$122,0),MATCH(IF(Report!M$466="6M",0.5,LEFT(Report!M$466,LEN(Report!M$466)-1)*1),Data!$A$111:$O$111,0)),0)</f>
        <v>0</v>
      </c>
      <c r="N473" s="279">
        <f ca="1">IFERROR(INDEX(rates_dv01_by_ccy,MATCH(Report!$E473,Data!$A$111:$A$122,0),MATCH(IF(Report!N$466="6M",0.5,LEFT(Report!N$466,LEN(Report!N$466)-1)*1),Data!$A$111:$O$111,0)),0)</f>
        <v>0</v>
      </c>
      <c r="O473" s="279">
        <f ca="1">IFERROR(INDEX(rates_dv01_by_ccy,MATCH(Report!$E473,Data!$A$111:$A$122,0),MATCH(IF(Report!O$466="6M",0.5,LEFT(Report!O$466,LEN(Report!O$466)-1)*1),Data!$A$111:$O$111,0)),0)</f>
        <v>0</v>
      </c>
      <c r="P473" s="280">
        <f ca="1">IFERROR(INDEX(rates_dv01_by_ccy,MATCH(Report!$E473,Data!$A$111:$A$122,0),MATCH(IF(Report!P$466="6M",0.5,LEFT(Report!P$466,LEN(Report!P$466)-1)*1),Data!$A$111:$O$111,0)),0)</f>
        <v>0</v>
      </c>
      <c r="Q473" s="280">
        <f t="shared" ca="1" si="117"/>
        <v>0</v>
      </c>
      <c r="R473" s="281">
        <f t="shared" ca="1" si="118"/>
        <v>0</v>
      </c>
      <c r="S473" s="281">
        <f t="shared" ca="1" si="119"/>
        <v>0</v>
      </c>
    </row>
    <row r="474" spans="5:19" ht="15.75" customHeight="1" x14ac:dyDescent="0.25">
      <c r="E474" s="2">
        <f ca="1"/>
        <v>0</v>
      </c>
      <c r="F474" s="278">
        <f t="shared" ca="1" si="116"/>
        <v>0</v>
      </c>
      <c r="G474" s="278">
        <f ca="1">IFERROR(INDEX(rates_dv01_by_ccy,MATCH(Report!$E474,Data!$A$111:$A$122,0),MATCH(IF(Report!G$466="6M",0.5,LEFT(Report!G$466,LEN(Report!G$466)-1)*1),Data!$A$111:$O$111,0)),0)</f>
        <v>0</v>
      </c>
      <c r="H474" s="279">
        <f ca="1">IFERROR(INDEX(rates_dv01_by_ccy,MATCH(Report!$E474,Data!$A$111:$A$122,0),MATCH(IF(Report!H$466="6M",0.5,LEFT(Report!H$466,LEN(Report!H$466)-1)*1),Data!$A$111:$O$111,0)),0)</f>
        <v>0</v>
      </c>
      <c r="I474" s="279">
        <f ca="1">IFERROR(INDEX(rates_dv01_by_ccy,MATCH(Report!$E474,Data!$A$111:$A$122,0),MATCH(IF(Report!I$466="6M",0.5,LEFT(Report!I$466,LEN(Report!I$466)-1)*1),Data!$A$111:$O$111,0)),0)</f>
        <v>0</v>
      </c>
      <c r="J474" s="279">
        <f ca="1">IFERROR(INDEX(rates_dv01_by_ccy,MATCH(Report!$E474,Data!$A$111:$A$122,0),MATCH(IF(Report!J$466="6M",0.5,LEFT(Report!J$466,LEN(Report!J$466)-1)*1),Data!$A$111:$O$111,0)),0)</f>
        <v>0</v>
      </c>
      <c r="K474" s="279">
        <f ca="1">IFERROR(INDEX(rates_dv01_by_ccy,MATCH(Report!$E474,Data!$A$111:$A$122,0),MATCH(IF(Report!K$466="6M",0.5,LEFT(Report!K$466,LEN(Report!K$466)-1)*1),Data!$A$111:$O$111,0)),0)</f>
        <v>0</v>
      </c>
      <c r="L474" s="279">
        <f ca="1">IFERROR(INDEX(rates_dv01_by_ccy,MATCH(Report!$E474,Data!$A$111:$A$122,0),MATCH(IF(Report!L$466="6M",0.5,LEFT(Report!L$466,LEN(Report!L$466)-1)*1),Data!$A$111:$O$111,0)),0)</f>
        <v>0</v>
      </c>
      <c r="M474" s="279">
        <f ca="1">IFERROR(INDEX(rates_dv01_by_ccy,MATCH(Report!$E474,Data!$A$111:$A$122,0),MATCH(IF(Report!M$466="6M",0.5,LEFT(Report!M$466,LEN(Report!M$466)-1)*1),Data!$A$111:$O$111,0)),0)</f>
        <v>0</v>
      </c>
      <c r="N474" s="279">
        <f ca="1">IFERROR(INDEX(rates_dv01_by_ccy,MATCH(Report!$E474,Data!$A$111:$A$122,0),MATCH(IF(Report!N$466="6M",0.5,LEFT(Report!N$466,LEN(Report!N$466)-1)*1),Data!$A$111:$O$111,0)),0)</f>
        <v>0</v>
      </c>
      <c r="O474" s="279">
        <f ca="1">IFERROR(INDEX(rates_dv01_by_ccy,MATCH(Report!$E474,Data!$A$111:$A$122,0),MATCH(IF(Report!O$466="6M",0.5,LEFT(Report!O$466,LEN(Report!O$466)-1)*1),Data!$A$111:$O$111,0)),0)</f>
        <v>0</v>
      </c>
      <c r="P474" s="280">
        <f ca="1">IFERROR(INDEX(rates_dv01_by_ccy,MATCH(Report!$E474,Data!$A$111:$A$122,0),MATCH(IF(Report!P$466="6M",0.5,LEFT(Report!P$466,LEN(Report!P$466)-1)*1),Data!$A$111:$O$111,0)),0)</f>
        <v>0</v>
      </c>
      <c r="Q474" s="280">
        <f t="shared" ca="1" si="117"/>
        <v>0</v>
      </c>
      <c r="R474" s="281">
        <f t="shared" ca="1" si="118"/>
        <v>0</v>
      </c>
      <c r="S474" s="281">
        <f t="shared" ca="1" si="119"/>
        <v>0</v>
      </c>
    </row>
    <row r="475" spans="5:19" ht="15.75" customHeight="1" x14ac:dyDescent="0.25">
      <c r="E475" s="2">
        <f ca="1"/>
        <v>0</v>
      </c>
      <c r="F475" s="278">
        <f t="shared" ca="1" si="116"/>
        <v>0</v>
      </c>
      <c r="G475" s="278">
        <f ca="1">IFERROR(INDEX(rates_dv01_by_ccy,MATCH(Report!$E475,Data!$A$111:$A$122,0),MATCH(IF(Report!G$466="6M",0.5,LEFT(Report!G$466,LEN(Report!G$466)-1)*1),Data!$A$111:$O$111,0)),0)</f>
        <v>0</v>
      </c>
      <c r="H475" s="279">
        <f ca="1">IFERROR(INDEX(rates_dv01_by_ccy,MATCH(Report!$E475,Data!$A$111:$A$122,0),MATCH(IF(Report!H$466="6M",0.5,LEFT(Report!H$466,LEN(Report!H$466)-1)*1),Data!$A$111:$O$111,0)),0)</f>
        <v>0</v>
      </c>
      <c r="I475" s="279">
        <f ca="1">IFERROR(INDEX(rates_dv01_by_ccy,MATCH(Report!$E475,Data!$A$111:$A$122,0),MATCH(IF(Report!I$466="6M",0.5,LEFT(Report!I$466,LEN(Report!I$466)-1)*1),Data!$A$111:$O$111,0)),0)</f>
        <v>0</v>
      </c>
      <c r="J475" s="279">
        <f ca="1">IFERROR(INDEX(rates_dv01_by_ccy,MATCH(Report!$E475,Data!$A$111:$A$122,0),MATCH(IF(Report!J$466="6M",0.5,LEFT(Report!J$466,LEN(Report!J$466)-1)*1),Data!$A$111:$O$111,0)),0)</f>
        <v>0</v>
      </c>
      <c r="K475" s="279">
        <f ca="1">IFERROR(INDEX(rates_dv01_by_ccy,MATCH(Report!$E475,Data!$A$111:$A$122,0),MATCH(IF(Report!K$466="6M",0.5,LEFT(Report!K$466,LEN(Report!K$466)-1)*1),Data!$A$111:$O$111,0)),0)</f>
        <v>0</v>
      </c>
      <c r="L475" s="279">
        <f ca="1">IFERROR(INDEX(rates_dv01_by_ccy,MATCH(Report!$E475,Data!$A$111:$A$122,0),MATCH(IF(Report!L$466="6M",0.5,LEFT(Report!L$466,LEN(Report!L$466)-1)*1),Data!$A$111:$O$111,0)),0)</f>
        <v>0</v>
      </c>
      <c r="M475" s="279">
        <f ca="1">IFERROR(INDEX(rates_dv01_by_ccy,MATCH(Report!$E475,Data!$A$111:$A$122,0),MATCH(IF(Report!M$466="6M",0.5,LEFT(Report!M$466,LEN(Report!M$466)-1)*1),Data!$A$111:$O$111,0)),0)</f>
        <v>0</v>
      </c>
      <c r="N475" s="279">
        <f ca="1">IFERROR(INDEX(rates_dv01_by_ccy,MATCH(Report!$E475,Data!$A$111:$A$122,0),MATCH(IF(Report!N$466="6M",0.5,LEFT(Report!N$466,LEN(Report!N$466)-1)*1),Data!$A$111:$O$111,0)),0)</f>
        <v>0</v>
      </c>
      <c r="O475" s="279">
        <f ca="1">IFERROR(INDEX(rates_dv01_by_ccy,MATCH(Report!$E475,Data!$A$111:$A$122,0),MATCH(IF(Report!O$466="6M",0.5,LEFT(Report!O$466,LEN(Report!O$466)-1)*1),Data!$A$111:$O$111,0)),0)</f>
        <v>0</v>
      </c>
      <c r="P475" s="280">
        <f ca="1">IFERROR(INDEX(rates_dv01_by_ccy,MATCH(Report!$E475,Data!$A$111:$A$122,0),MATCH(IF(Report!P$466="6M",0.5,LEFT(Report!P$466,LEN(Report!P$466)-1)*1),Data!$A$111:$O$111,0)),0)</f>
        <v>0</v>
      </c>
      <c r="Q475" s="280">
        <f t="shared" ca="1" si="117"/>
        <v>0</v>
      </c>
      <c r="R475" s="281">
        <f t="shared" ca="1" si="118"/>
        <v>0</v>
      </c>
      <c r="S475" s="281">
        <f t="shared" ca="1" si="119"/>
        <v>0</v>
      </c>
    </row>
    <row r="476" spans="5:19" x14ac:dyDescent="0.25">
      <c r="E476" s="2">
        <f ca="1"/>
        <v>0</v>
      </c>
      <c r="F476" s="278">
        <f t="shared" ca="1" si="116"/>
        <v>0</v>
      </c>
      <c r="G476" s="278">
        <f ca="1">IFERROR(INDEX(rates_dv01_by_ccy,MATCH(Report!$E476,Data!$A$111:$A$122,0),MATCH(IF(Report!G$466="6M",0.5,LEFT(Report!G$466,LEN(Report!G$466)-1)*1),Data!$A$111:$O$111,0)),0)</f>
        <v>0</v>
      </c>
      <c r="H476" s="279">
        <f ca="1">IFERROR(INDEX(rates_dv01_by_ccy,MATCH(Report!$E476,Data!$A$111:$A$122,0),MATCH(IF(Report!H$466="6M",0.5,LEFT(Report!H$466,LEN(Report!H$466)-1)*1),Data!$A$111:$O$111,0)),0)</f>
        <v>0</v>
      </c>
      <c r="I476" s="279">
        <f ca="1">IFERROR(INDEX(rates_dv01_by_ccy,MATCH(Report!$E476,Data!$A$111:$A$122,0),MATCH(IF(Report!I$466="6M",0.5,LEFT(Report!I$466,LEN(Report!I$466)-1)*1),Data!$A$111:$O$111,0)),0)</f>
        <v>0</v>
      </c>
      <c r="J476" s="279">
        <f ca="1">IFERROR(INDEX(rates_dv01_by_ccy,MATCH(Report!$E476,Data!$A$111:$A$122,0),MATCH(IF(Report!J$466="6M",0.5,LEFT(Report!J$466,LEN(Report!J$466)-1)*1),Data!$A$111:$O$111,0)),0)</f>
        <v>0</v>
      </c>
      <c r="K476" s="279">
        <f ca="1">IFERROR(INDEX(rates_dv01_by_ccy,MATCH(Report!$E476,Data!$A$111:$A$122,0),MATCH(IF(Report!K$466="6M",0.5,LEFT(Report!K$466,LEN(Report!K$466)-1)*1),Data!$A$111:$O$111,0)),0)</f>
        <v>0</v>
      </c>
      <c r="L476" s="279">
        <f ca="1">IFERROR(INDEX(rates_dv01_by_ccy,MATCH(Report!$E476,Data!$A$111:$A$122,0),MATCH(IF(Report!L$466="6M",0.5,LEFT(Report!L$466,LEN(Report!L$466)-1)*1),Data!$A$111:$O$111,0)),0)</f>
        <v>0</v>
      </c>
      <c r="M476" s="279">
        <f ca="1">IFERROR(INDEX(rates_dv01_by_ccy,MATCH(Report!$E476,Data!$A$111:$A$122,0),MATCH(IF(Report!M$466="6M",0.5,LEFT(Report!M$466,LEN(Report!M$466)-1)*1),Data!$A$111:$O$111,0)),0)</f>
        <v>0</v>
      </c>
      <c r="N476" s="279">
        <f ca="1">IFERROR(INDEX(rates_dv01_by_ccy,MATCH(Report!$E476,Data!$A$111:$A$122,0),MATCH(IF(Report!N$466="6M",0.5,LEFT(Report!N$466,LEN(Report!N$466)-1)*1),Data!$A$111:$O$111,0)),0)</f>
        <v>0</v>
      </c>
      <c r="O476" s="279">
        <f ca="1">IFERROR(INDEX(rates_dv01_by_ccy,MATCH(Report!$E476,Data!$A$111:$A$122,0),MATCH(IF(Report!O$466="6M",0.5,LEFT(Report!O$466,LEN(Report!O$466)-1)*1),Data!$A$111:$O$111,0)),0)</f>
        <v>0</v>
      </c>
      <c r="P476" s="280">
        <f ca="1">IFERROR(INDEX(rates_dv01_by_ccy,MATCH(Report!$E476,Data!$A$111:$A$122,0),MATCH(IF(Report!P$466="6M",0.5,LEFT(Report!P$466,LEN(Report!P$466)-1)*1),Data!$A$111:$O$111,0)),0)</f>
        <v>0</v>
      </c>
      <c r="Q476" s="280">
        <f t="shared" ca="1" si="117"/>
        <v>0</v>
      </c>
      <c r="R476" s="281">
        <f t="shared" ca="1" si="118"/>
        <v>0</v>
      </c>
      <c r="S476" s="281">
        <f t="shared" ca="1" si="119"/>
        <v>0</v>
      </c>
    </row>
    <row r="477" spans="5:19" x14ac:dyDescent="0.25">
      <c r="E477" s="237">
        <f ca="1"/>
        <v>0</v>
      </c>
      <c r="F477" s="278">
        <f t="shared" ca="1" si="116"/>
        <v>0</v>
      </c>
      <c r="G477" s="282">
        <f ca="1">IFERROR(INDEX(rates_dv01_by_ccy,MATCH(Report!$E477,Data!$A$111:$A$122,0),MATCH(IF(Report!G$466="6M",0.5,LEFT(Report!G$466,LEN(Report!G$466)-1)*1),Data!$A$111:$O$111,0)),0)</f>
        <v>0</v>
      </c>
      <c r="H477" s="283">
        <f ca="1">IFERROR(INDEX(rates_dv01_by_ccy,MATCH(Report!$E477,Data!$A$111:$A$122,0),MATCH(IF(Report!H$466="6M",0.5,LEFT(Report!H$466,LEN(Report!H$466)-1)*1),Data!$A$111:$O$111,0)),0)</f>
        <v>0</v>
      </c>
      <c r="I477" s="283">
        <f ca="1">IFERROR(INDEX(rates_dv01_by_ccy,MATCH(Report!$E477,Data!$A$111:$A$122,0),MATCH(IF(Report!I$466="6M",0.5,LEFT(Report!I$466,LEN(Report!I$466)-1)*1),Data!$A$111:$O$111,0)),0)</f>
        <v>0</v>
      </c>
      <c r="J477" s="283">
        <f ca="1">IFERROR(INDEX(rates_dv01_by_ccy,MATCH(Report!$E477,Data!$A$111:$A$122,0),MATCH(IF(Report!J$466="6M",0.5,LEFT(Report!J$466,LEN(Report!J$466)-1)*1),Data!$A$111:$O$111,0)),0)</f>
        <v>0</v>
      </c>
      <c r="K477" s="283">
        <f ca="1">IFERROR(INDEX(rates_dv01_by_ccy,MATCH(Report!$E477,Data!$A$111:$A$122,0),MATCH(IF(Report!K$466="6M",0.5,LEFT(Report!K$466,LEN(Report!K$466)-1)*1),Data!$A$111:$O$111,0)),0)</f>
        <v>0</v>
      </c>
      <c r="L477" s="283">
        <f ca="1">IFERROR(INDEX(rates_dv01_by_ccy,MATCH(Report!$E477,Data!$A$111:$A$122,0),MATCH(IF(Report!L$466="6M",0.5,LEFT(Report!L$466,LEN(Report!L$466)-1)*1),Data!$A$111:$O$111,0)),0)</f>
        <v>0</v>
      </c>
      <c r="M477" s="283">
        <f ca="1">IFERROR(INDEX(rates_dv01_by_ccy,MATCH(Report!$E477,Data!$A$111:$A$122,0),MATCH(IF(Report!M$466="6M",0.5,LEFT(Report!M$466,LEN(Report!M$466)-1)*1),Data!$A$111:$O$111,0)),0)</f>
        <v>0</v>
      </c>
      <c r="N477" s="283">
        <f ca="1">IFERROR(INDEX(rates_dv01_by_ccy,MATCH(Report!$E477,Data!$A$111:$A$122,0),MATCH(IF(Report!N$466="6M",0.5,LEFT(Report!N$466,LEN(Report!N$466)-1)*1),Data!$A$111:$O$111,0)),0)</f>
        <v>0</v>
      </c>
      <c r="O477" s="283">
        <f ca="1">IFERROR(INDEX(rates_dv01_by_ccy,MATCH(Report!$E477,Data!$A$111:$A$122,0),MATCH(IF(Report!O$466="6M",0.5,LEFT(Report!O$466,LEN(Report!O$466)-1)*1),Data!$A$111:$O$111,0)),0)</f>
        <v>0</v>
      </c>
      <c r="P477" s="284">
        <f ca="1">IFERROR(INDEX(rates_dv01_by_ccy,MATCH(Report!$E477,Data!$A$111:$A$122,0),MATCH(IF(Report!P$466="6M",0.5,LEFT(Report!P$466,LEN(Report!P$466)-1)*1),Data!$A$111:$O$111,0)),0)</f>
        <v>0</v>
      </c>
      <c r="Q477" s="280">
        <f t="shared" ca="1" si="117"/>
        <v>0</v>
      </c>
      <c r="R477" s="281">
        <f t="shared" ca="1" si="118"/>
        <v>0</v>
      </c>
      <c r="S477" s="281">
        <f t="shared" ca="1" si="119"/>
        <v>0</v>
      </c>
    </row>
    <row r="478" spans="5:19" x14ac:dyDescent="0.25">
      <c r="E478" s="75" t="s">
        <v>38</v>
      </c>
      <c r="F478" s="275">
        <f t="shared" ref="F478:S478" ca="1" si="120">SUM(F467:F477)</f>
        <v>37892.088659717563</v>
      </c>
      <c r="G478" s="279">
        <f t="shared" ca="1" si="120"/>
        <v>-6744.3474246761325</v>
      </c>
      <c r="H478" s="279">
        <f t="shared" ca="1" si="120"/>
        <v>27675.09874394504</v>
      </c>
      <c r="I478" s="279">
        <f t="shared" ca="1" si="120"/>
        <v>-307709.64493473707</v>
      </c>
      <c r="J478" s="279">
        <f t="shared" ca="1" si="120"/>
        <v>180633.39350348167</v>
      </c>
      <c r="K478" s="279">
        <f t="shared" ca="1" si="120"/>
        <v>370979.00980104908</v>
      </c>
      <c r="L478" s="279">
        <f t="shared" ca="1" si="120"/>
        <v>48189.807646819449</v>
      </c>
      <c r="M478" s="279">
        <f t="shared" ca="1" si="120"/>
        <v>3175.7932235824733</v>
      </c>
      <c r="N478" s="279">
        <f t="shared" ca="1" si="120"/>
        <v>-253550.88777943584</v>
      </c>
      <c r="O478" s="279">
        <f t="shared" ca="1" si="120"/>
        <v>25422.430917828504</v>
      </c>
      <c r="P478" s="279">
        <f t="shared" ca="1" si="120"/>
        <v>-50178.565038139641</v>
      </c>
      <c r="Q478" s="275">
        <f t="shared" ca="1" si="120"/>
        <v>378016.19478996797</v>
      </c>
      <c r="R478" s="275">
        <f t="shared" ca="1" si="120"/>
        <v>8001536.1208192529</v>
      </c>
      <c r="S478" s="275">
        <f t="shared" ca="1" si="120"/>
        <v>16324.759233631718</v>
      </c>
    </row>
    <row r="479" spans="5:19" x14ac:dyDescent="0.25">
      <c r="E479" s="75"/>
      <c r="F479" s="279"/>
      <c r="G479" s="279"/>
      <c r="H479" s="279"/>
      <c r="I479" s="279"/>
      <c r="J479" s="279"/>
      <c r="K479" s="279"/>
      <c r="L479" s="279"/>
      <c r="M479" s="279"/>
      <c r="N479" s="279"/>
      <c r="O479" s="13"/>
      <c r="R479" s="279"/>
      <c r="S479" s="279"/>
    </row>
    <row r="480" spans="5:19" x14ac:dyDescent="0.25">
      <c r="E480" s="75"/>
      <c r="F480" s="279"/>
      <c r="G480" s="269" t="s">
        <v>153</v>
      </c>
      <c r="I480" s="51"/>
      <c r="J480" s="51"/>
      <c r="K480" s="51"/>
      <c r="L480" s="51"/>
      <c r="M480" s="51"/>
      <c r="N480" s="51"/>
      <c r="O480" s="51"/>
      <c r="Q480" s="81" t="s">
        <v>154</v>
      </c>
      <c r="R480" s="4"/>
      <c r="S480" s="4"/>
    </row>
    <row r="481" spans="3:27" ht="15.75" hidden="1" customHeight="1" outlineLevel="1" x14ac:dyDescent="0.25">
      <c r="F481"/>
      <c r="G481" s="1">
        <v>2</v>
      </c>
      <c r="H481">
        <v>3</v>
      </c>
      <c r="I481">
        <v>4</v>
      </c>
      <c r="J481">
        <v>5</v>
      </c>
      <c r="K481">
        <v>6</v>
      </c>
      <c r="L481">
        <v>7</v>
      </c>
      <c r="M481">
        <v>8</v>
      </c>
      <c r="N481">
        <v>9</v>
      </c>
      <c r="O481">
        <v>10</v>
      </c>
      <c r="P481">
        <v>11</v>
      </c>
    </row>
    <row r="482" spans="3:27" ht="31.5" collapsed="1" x14ac:dyDescent="0.25">
      <c r="E482" s="48" t="s">
        <v>128</v>
      </c>
      <c r="F482" s="270" t="s">
        <v>156</v>
      </c>
      <c r="G482" s="51" t="s">
        <v>146</v>
      </c>
      <c r="H482" s="51" t="s">
        <v>148</v>
      </c>
      <c r="I482" s="51" t="s">
        <v>149</v>
      </c>
      <c r="J482" s="51" t="s">
        <v>157</v>
      </c>
      <c r="K482" s="51" t="s">
        <v>158</v>
      </c>
      <c r="L482" s="51" t="s">
        <v>150</v>
      </c>
      <c r="M482" s="51" t="s">
        <v>159</v>
      </c>
      <c r="N482" s="51" t="s">
        <v>160</v>
      </c>
      <c r="O482" s="50" t="s">
        <v>161</v>
      </c>
      <c r="P482" s="51" t="s">
        <v>162</v>
      </c>
      <c r="Q482" s="271" t="s">
        <v>140</v>
      </c>
      <c r="R482" s="285" t="s">
        <v>163</v>
      </c>
      <c r="S482" s="286" t="s">
        <v>139</v>
      </c>
    </row>
    <row r="483" spans="3:27" x14ac:dyDescent="0.25">
      <c r="E483" s="237" t="s">
        <v>129</v>
      </c>
      <c r="F483" s="274">
        <f>SUM(G483:P483)</f>
        <v>37892.08865971757</v>
      </c>
      <c r="G483" s="274">
        <f>IFERROR(INDEX(rates_dv01_by_region,MATCH(Report!$E483,Data!$A$126:$A$132,0),MATCH(IF(Report!G$482="6M",0.5,LEFT(Report!G$482,LEN(Report!G$482)-1)*1),Data!$A$126:$N$126,0)),0)</f>
        <v>-6744.3474246761198</v>
      </c>
      <c r="H483" s="275">
        <f>IFERROR(INDEX(rates_dv01_by_region,MATCH(Report!$E483,Data!$A$126:$A$132,0),MATCH(IF(Report!H$482="6M",0.5,LEFT(Report!H$482,LEN(Report!H$482)-1)*1),Data!$A$126:$N$126,0)),0)</f>
        <v>27675.09874394504</v>
      </c>
      <c r="I483" s="275">
        <f>IFERROR(INDEX(rates_dv01_by_region,MATCH(Report!$E483,Data!$A$126:$A$132,0),MATCH(IF(Report!I$482="6M",0.5,LEFT(Report!I$482,LEN(Report!I$482)-1)*1),Data!$A$126:$N$126,0)),0)</f>
        <v>-307709.64493473707</v>
      </c>
      <c r="J483" s="275">
        <f>IFERROR(INDEX(rates_dv01_by_region,MATCH(Report!$E483,Data!$A$126:$A$132,0),MATCH(IF(Report!J$482="6M",0.5,LEFT(Report!J$482,LEN(Report!J$482)-1)*1),Data!$A$126:$N$126,0)),0)</f>
        <v>180633.39350348167</v>
      </c>
      <c r="K483" s="275">
        <f>IFERROR(INDEX(rates_dv01_by_region,MATCH(Report!$E483,Data!$A$126:$A$132,0),MATCH(IF(Report!K$482="6M",0.5,LEFT(Report!K$482,LEN(Report!K$482)-1)*1),Data!$A$126:$N$126,0)),0)</f>
        <v>370979.00980104908</v>
      </c>
      <c r="L483" s="275">
        <f>IFERROR(INDEX(rates_dv01_by_region,MATCH(Report!$E483,Data!$A$126:$A$132,0),MATCH(IF(Report!L$482="6M",0.5,LEFT(Report!L$482,LEN(Report!L$482)-1)*1),Data!$A$126:$N$126,0)),0)</f>
        <v>48189.807646819449</v>
      </c>
      <c r="M483" s="275">
        <f>IFERROR(INDEX(rates_dv01_by_region,MATCH(Report!$E483,Data!$A$126:$A$132,0),MATCH(IF(Report!M$482="6M",0.5,LEFT(Report!M$482,LEN(Report!M$482)-1)*1),Data!$A$126:$N$126,0)),0)</f>
        <v>3175.7932235824733</v>
      </c>
      <c r="N483" s="275">
        <f>IFERROR(INDEX(rates_dv01_by_region,MATCH(Report!$E483,Data!$A$126:$A$132,0),MATCH(IF(Report!N$482="6M",0.5,LEFT(Report!N$482,LEN(Report!N$482)-1)*1),Data!$A$126:$N$126,0)),0)</f>
        <v>-253550.88777943584</v>
      </c>
      <c r="O483" s="275">
        <f>IFERROR(INDEX(rates_dv01_by_region,MATCH(Report!$E483,Data!$A$126:$A$132,0),MATCH(IF(Report!O$482="6M",0.5,LEFT(Report!O$482,LEN(Report!O$482)-1)*1),Data!$A$126:$N$126,0)),0)</f>
        <v>25422.430917828504</v>
      </c>
      <c r="P483" s="276">
        <f>IFERROR(INDEX(rates_dv01_by_region,MATCH(Report!$E483,Data!$A$126:$A$132,0),MATCH(IF(Report!P$482="6M",0.5,LEFT(Report!P$482,LEN(Report!P$482)-1)*1),Data!$A$126:$N$126,0)),0)</f>
        <v>-50178.565038139641</v>
      </c>
      <c r="Q483" s="276">
        <f>IFERROR(VLOOKUP(E483,rates_vega_by_region,2,FALSE),0)</f>
        <v>378016.19478996797</v>
      </c>
      <c r="R483" s="277">
        <f>IFERROR(VLOOKUP(E483,theta_gamma_by_rate_region,3,FALSE),0)</f>
        <v>8001536.120819252</v>
      </c>
      <c r="S483" s="276">
        <f>IFERROR(VLOOKUP(E483,theta_gamma_by_rate_region,2,FALSE),0)</f>
        <v>16169.148122929761</v>
      </c>
    </row>
    <row r="484" spans="3:27" x14ac:dyDescent="0.25">
      <c r="E484" s="237" t="s">
        <v>130</v>
      </c>
      <c r="F484" s="278">
        <f t="shared" ref="F484:F487" si="121">SUM(G484:P484)</f>
        <v>0</v>
      </c>
      <c r="G484" s="278">
        <f>IFERROR(INDEX(rates_dv01_by_region,MATCH(Report!$E484,Data!$A$126:$A$132,0),MATCH(IF(Report!G$482="6M",0.5,LEFT(Report!G$482,LEN(Report!G$482)-1)*1),Data!$A$126:$N$126,0)),0)</f>
        <v>0</v>
      </c>
      <c r="H484" s="279">
        <f>IFERROR(INDEX(rates_dv01_by_region,MATCH(Report!$E484,Data!$A$126:$A$132,0),MATCH(IF(Report!H$482="6M",0.5,LEFT(Report!H$482,LEN(Report!H$482)-1)*1),Data!$A$126:$N$126,0)),0)</f>
        <v>0</v>
      </c>
      <c r="I484" s="279">
        <f>IFERROR(INDEX(rates_dv01_by_region,MATCH(Report!$E484,Data!$A$126:$A$132,0),MATCH(IF(Report!I$482="6M",0.5,LEFT(Report!I$482,LEN(Report!I$482)-1)*1),Data!$A$126:$N$126,0)),0)</f>
        <v>0</v>
      </c>
      <c r="J484" s="279">
        <f>IFERROR(INDEX(rates_dv01_by_region,MATCH(Report!$E484,Data!$A$126:$A$132,0),MATCH(IF(Report!J$482="6M",0.5,LEFT(Report!J$482,LEN(Report!J$482)-1)*1),Data!$A$126:$N$126,0)),0)</f>
        <v>0</v>
      </c>
      <c r="K484" s="279">
        <f>IFERROR(INDEX(rates_dv01_by_region,MATCH(Report!$E484,Data!$A$126:$A$132,0),MATCH(IF(Report!K$482="6M",0.5,LEFT(Report!K$482,LEN(Report!K$482)-1)*1),Data!$A$126:$N$126,0)),0)</f>
        <v>0</v>
      </c>
      <c r="L484" s="279">
        <f>IFERROR(INDEX(rates_dv01_by_region,MATCH(Report!$E484,Data!$A$126:$A$132,0),MATCH(IF(Report!L$482="6M",0.5,LEFT(Report!L$482,LEN(Report!L$482)-1)*1),Data!$A$126:$N$126,0)),0)</f>
        <v>0</v>
      </c>
      <c r="M484" s="279">
        <f>IFERROR(INDEX(rates_dv01_by_region,MATCH(Report!$E484,Data!$A$126:$A$132,0),MATCH(IF(Report!M$482="6M",0.5,LEFT(Report!M$482,LEN(Report!M$482)-1)*1),Data!$A$126:$N$126,0)),0)</f>
        <v>0</v>
      </c>
      <c r="N484" s="279">
        <f>IFERROR(INDEX(rates_dv01_by_region,MATCH(Report!$E484,Data!$A$126:$A$132,0),MATCH(IF(Report!N$482="6M",0.5,LEFT(Report!N$482,LEN(Report!N$482)-1)*1),Data!$A$126:$N$126,0)),0)</f>
        <v>0</v>
      </c>
      <c r="O484" s="279">
        <f>IFERROR(INDEX(rates_dv01_by_region,MATCH(Report!$E484,Data!$A$126:$A$132,0),MATCH(IF(Report!O$482="6M",0.5,LEFT(Report!O$482,LEN(Report!O$482)-1)*1),Data!$A$126:$N$126,0)),0)</f>
        <v>0</v>
      </c>
      <c r="P484" s="280">
        <f>IFERROR(INDEX(rates_dv01_by_region,MATCH(Report!$E484,Data!$A$126:$A$132,0),MATCH(IF(Report!P$482="6M",0.5,LEFT(Report!P$482,LEN(Report!P$482)-1)*1),Data!$A$126:$N$126,0)),0)</f>
        <v>0</v>
      </c>
      <c r="Q484" s="278">
        <f>IFERROR(VLOOKUP(E484,rates_vega_by_region,2,FALSE),0)</f>
        <v>0</v>
      </c>
      <c r="R484" s="281">
        <f>IFERROR(VLOOKUP(E484,theta_gamma_by_rate_region,3,FALSE),0)</f>
        <v>0</v>
      </c>
      <c r="S484" s="280">
        <f>IFERROR(VLOOKUP(E484,theta_gamma_by_rate_region,2,FALSE),0)</f>
        <v>0</v>
      </c>
    </row>
    <row r="485" spans="3:27" ht="15.75" customHeight="1" x14ac:dyDescent="0.25">
      <c r="E485" s="237" t="s">
        <v>214</v>
      </c>
      <c r="F485" s="278">
        <f t="shared" si="121"/>
        <v>0</v>
      </c>
      <c r="G485" s="278">
        <f>IFERROR(INDEX(rates_dv01_by_region,MATCH(Report!$E485,Data!$A$126:$A$132,0),MATCH(IF(Report!G$482="6M",0.5,LEFT(Report!G$482,LEN(Report!G$482)-1)*1),Data!$A$126:$N$126,0)),0)</f>
        <v>0</v>
      </c>
      <c r="H485" s="279">
        <f>IFERROR(INDEX(rates_dv01_by_region,MATCH(Report!$E485,Data!$A$126:$A$132,0),MATCH(IF(Report!H$482="6M",0.5,LEFT(Report!H$482,LEN(Report!H$482)-1)*1),Data!$A$126:$N$126,0)),0)</f>
        <v>0</v>
      </c>
      <c r="I485" s="279">
        <f>IFERROR(INDEX(rates_dv01_by_region,MATCH(Report!$E485,Data!$A$126:$A$132,0),MATCH(IF(Report!I$482="6M",0.5,LEFT(Report!I$482,LEN(Report!I$482)-1)*1),Data!$A$126:$N$126,0)),0)</f>
        <v>0</v>
      </c>
      <c r="J485" s="279">
        <f>IFERROR(INDEX(rates_dv01_by_region,MATCH(Report!$E485,Data!$A$126:$A$132,0),MATCH(IF(Report!J$482="6M",0.5,LEFT(Report!J$482,LEN(Report!J$482)-1)*1),Data!$A$126:$N$126,0)),0)</f>
        <v>0</v>
      </c>
      <c r="K485" s="279">
        <f>IFERROR(INDEX(rates_dv01_by_region,MATCH(Report!$E485,Data!$A$126:$A$132,0),MATCH(IF(Report!K$482="6M",0.5,LEFT(Report!K$482,LEN(Report!K$482)-1)*1),Data!$A$126:$N$126,0)),0)</f>
        <v>0</v>
      </c>
      <c r="L485" s="279">
        <f>IFERROR(INDEX(rates_dv01_by_region,MATCH(Report!$E485,Data!$A$126:$A$132,0),MATCH(IF(Report!L$482="6M",0.5,LEFT(Report!L$482,LEN(Report!L$482)-1)*1),Data!$A$126:$N$126,0)),0)</f>
        <v>0</v>
      </c>
      <c r="M485" s="279">
        <f>IFERROR(INDEX(rates_dv01_by_region,MATCH(Report!$E485,Data!$A$126:$A$132,0),MATCH(IF(Report!M$482="6M",0.5,LEFT(Report!M$482,LEN(Report!M$482)-1)*1),Data!$A$126:$N$126,0)),0)</f>
        <v>0</v>
      </c>
      <c r="N485" s="279">
        <f>IFERROR(INDEX(rates_dv01_by_region,MATCH(Report!$E485,Data!$A$126:$A$132,0),MATCH(IF(Report!N$482="6M",0.5,LEFT(Report!N$482,LEN(Report!N$482)-1)*1),Data!$A$126:$N$126,0)),0)</f>
        <v>0</v>
      </c>
      <c r="O485" s="279">
        <f>IFERROR(INDEX(rates_dv01_by_region,MATCH(Report!$E485,Data!$A$126:$A$132,0),MATCH(IF(Report!O$482="6M",0.5,LEFT(Report!O$482,LEN(Report!O$482)-1)*1),Data!$A$126:$N$126,0)),0)</f>
        <v>0</v>
      </c>
      <c r="P485" s="280">
        <f>IFERROR(INDEX(rates_dv01_by_region,MATCH(Report!$E485,Data!$A$126:$A$132,0),MATCH(IF(Report!P$482="6M",0.5,LEFT(Report!P$482,LEN(Report!P$482)-1)*1),Data!$A$126:$N$126,0)),0)</f>
        <v>0</v>
      </c>
      <c r="Q485" s="278">
        <f>IFERROR(VLOOKUP(E485,rates_vega_by_region,2,FALSE),0)</f>
        <v>0</v>
      </c>
      <c r="R485" s="281">
        <f>IFERROR(VLOOKUP(E485,theta_gamma_by_rate_region,3,FALSE),0)</f>
        <v>0</v>
      </c>
      <c r="S485" s="280">
        <f>IFERROR(VLOOKUP(E485,theta_gamma_by_rate_region,2,FALSE),0)</f>
        <v>0</v>
      </c>
    </row>
    <row r="486" spans="3:27" ht="15.75" customHeight="1" x14ac:dyDescent="0.25">
      <c r="E486" s="237" t="s">
        <v>131</v>
      </c>
      <c r="F486" s="278">
        <f t="shared" si="121"/>
        <v>0</v>
      </c>
      <c r="G486" s="278">
        <f>IFERROR(INDEX(rates_dv01_by_region,MATCH(Report!$E486,Data!$A$126:$A$132,0),MATCH(IF(Report!G$482="6M",0.5,LEFT(Report!G$482,LEN(Report!G$482)-1)*1),Data!$A$126:$N$126,0)),0)</f>
        <v>0</v>
      </c>
      <c r="H486" s="279">
        <f>IFERROR(INDEX(rates_dv01_by_region,MATCH(Report!$E486,Data!$A$126:$A$132,0),MATCH(IF(Report!H$482="6M",0.5,LEFT(Report!H$482,LEN(Report!H$482)-1)*1),Data!$A$126:$N$126,0)),0)</f>
        <v>0</v>
      </c>
      <c r="I486" s="279">
        <f>IFERROR(INDEX(rates_dv01_by_region,MATCH(Report!$E486,Data!$A$126:$A$132,0),MATCH(IF(Report!I$482="6M",0.5,LEFT(Report!I$482,LEN(Report!I$482)-1)*1),Data!$A$126:$N$126,0)),0)</f>
        <v>0</v>
      </c>
      <c r="J486" s="279">
        <f>IFERROR(INDEX(rates_dv01_by_region,MATCH(Report!$E486,Data!$A$126:$A$132,0),MATCH(IF(Report!J$482="6M",0.5,LEFT(Report!J$482,LEN(Report!J$482)-1)*1),Data!$A$126:$N$126,0)),0)</f>
        <v>0</v>
      </c>
      <c r="K486" s="279">
        <f>IFERROR(INDEX(rates_dv01_by_region,MATCH(Report!$E486,Data!$A$126:$A$132,0),MATCH(IF(Report!K$482="6M",0.5,LEFT(Report!K$482,LEN(Report!K$482)-1)*1),Data!$A$126:$N$126,0)),0)</f>
        <v>0</v>
      </c>
      <c r="L486" s="279">
        <f>IFERROR(INDEX(rates_dv01_by_region,MATCH(Report!$E486,Data!$A$126:$A$132,0),MATCH(IF(Report!L$482="6M",0.5,LEFT(Report!L$482,LEN(Report!L$482)-1)*1),Data!$A$126:$N$126,0)),0)</f>
        <v>0</v>
      </c>
      <c r="M486" s="279">
        <f>IFERROR(INDEX(rates_dv01_by_region,MATCH(Report!$E486,Data!$A$126:$A$132,0),MATCH(IF(Report!M$482="6M",0.5,LEFT(Report!M$482,LEN(Report!M$482)-1)*1),Data!$A$126:$N$126,0)),0)</f>
        <v>0</v>
      </c>
      <c r="N486" s="279">
        <f>IFERROR(INDEX(rates_dv01_by_region,MATCH(Report!$E486,Data!$A$126:$A$132,0),MATCH(IF(Report!N$482="6M",0.5,LEFT(Report!N$482,LEN(Report!N$482)-1)*1),Data!$A$126:$N$126,0)),0)</f>
        <v>0</v>
      </c>
      <c r="O486" s="279">
        <f>IFERROR(INDEX(rates_dv01_by_region,MATCH(Report!$E486,Data!$A$126:$A$132,0),MATCH(IF(Report!O$482="6M",0.5,LEFT(Report!O$482,LEN(Report!O$482)-1)*1),Data!$A$126:$N$126,0)),0)</f>
        <v>0</v>
      </c>
      <c r="P486" s="280">
        <f>IFERROR(INDEX(rates_dv01_by_region,MATCH(Report!$E486,Data!$A$126:$A$132,0),MATCH(IF(Report!P$482="6M",0.5,LEFT(Report!P$482,LEN(Report!P$482)-1)*1),Data!$A$126:$N$126,0)),0)</f>
        <v>0</v>
      </c>
      <c r="Q486" s="278">
        <f>IFERROR(VLOOKUP(E486,rates_vega_by_region,2,FALSE),0)</f>
        <v>0</v>
      </c>
      <c r="R486" s="281">
        <f>IFERROR(VLOOKUP(E486,theta_gamma_by_rate_region,3,FALSE),0)</f>
        <v>0</v>
      </c>
      <c r="S486" s="280">
        <f>IFERROR(VLOOKUP(E486,theta_gamma_by_rate_region,2,FALSE),0)</f>
        <v>0</v>
      </c>
    </row>
    <row r="487" spans="3:27" ht="30.75" customHeight="1" x14ac:dyDescent="0.25">
      <c r="E487" s="237" t="s">
        <v>151</v>
      </c>
      <c r="F487" s="282">
        <f t="shared" si="121"/>
        <v>0</v>
      </c>
      <c r="G487" s="282">
        <f>IFERROR(INDEX(rates_dv01_by_region,MATCH(Report!$E487,Data!$A$126:$A$132,0),MATCH(IF(Report!G$482="6M",0.5,LEFT(Report!G$482,LEN(Report!G$482)-1)*1),Data!$A$126:$N$126,0)),0)</f>
        <v>0</v>
      </c>
      <c r="H487" s="283">
        <f>IFERROR(INDEX(rates_dv01_by_region,MATCH(Report!$E487,Data!$A$126:$A$132,0),MATCH(IF(Report!H$482="6M",0.5,LEFT(Report!H$482,LEN(Report!H$482)-1)*1),Data!$A$126:$N$126,0)),0)</f>
        <v>0</v>
      </c>
      <c r="I487" s="283">
        <f>IFERROR(INDEX(rates_dv01_by_region,MATCH(Report!$E487,Data!$A$126:$A$132,0),MATCH(IF(Report!I$482="6M",0.5,LEFT(Report!I$482,LEN(Report!I$482)-1)*1),Data!$A$126:$N$126,0)),0)</f>
        <v>0</v>
      </c>
      <c r="J487" s="283">
        <f>IFERROR(INDEX(rates_dv01_by_region,MATCH(Report!$E487,Data!$A$126:$A$132,0),MATCH(IF(Report!J$482="6M",0.5,LEFT(Report!J$482,LEN(Report!J$482)-1)*1),Data!$A$126:$N$126,0)),0)</f>
        <v>0</v>
      </c>
      <c r="K487" s="283">
        <f>IFERROR(INDEX(rates_dv01_by_region,MATCH(Report!$E487,Data!$A$126:$A$132,0),MATCH(IF(Report!K$482="6M",0.5,LEFT(Report!K$482,LEN(Report!K$482)-1)*1),Data!$A$126:$N$126,0)),0)</f>
        <v>0</v>
      </c>
      <c r="L487" s="283">
        <f>IFERROR(INDEX(rates_dv01_by_region,MATCH(Report!$E487,Data!$A$126:$A$132,0),MATCH(IF(Report!L$482="6M",0.5,LEFT(Report!L$482,LEN(Report!L$482)-1)*1),Data!$A$126:$N$126,0)),0)</f>
        <v>0</v>
      </c>
      <c r="M487" s="283">
        <f>IFERROR(INDEX(rates_dv01_by_region,MATCH(Report!$E487,Data!$A$126:$A$132,0),MATCH(IF(Report!M$482="6M",0.5,LEFT(Report!M$482,LEN(Report!M$482)-1)*1),Data!$A$126:$N$126,0)),0)</f>
        <v>0</v>
      </c>
      <c r="N487" s="283">
        <f>IFERROR(INDEX(rates_dv01_by_region,MATCH(Report!$E487,Data!$A$126:$A$132,0),MATCH(IF(Report!N$482="6M",0.5,LEFT(Report!N$482,LEN(Report!N$482)-1)*1),Data!$A$126:$N$126,0)),0)</f>
        <v>0</v>
      </c>
      <c r="O487" s="283">
        <f>IFERROR(INDEX(rates_dv01_by_region,MATCH(Report!$E487,Data!$A$126:$A$132,0),MATCH(IF(Report!O$482="6M",0.5,LEFT(Report!O$482,LEN(Report!O$482)-1)*1),Data!$A$126:$N$126,0)),0)</f>
        <v>0</v>
      </c>
      <c r="P487" s="284">
        <f>IFERROR(INDEX(rates_dv01_by_region,MATCH(Report!$E487,Data!$A$126:$A$132,0),MATCH(IF(Report!P$482="6M",0.5,LEFT(Report!P$482,LEN(Report!P$482)-1)*1),Data!$A$126:$N$126,0)),0)</f>
        <v>0</v>
      </c>
      <c r="Q487" s="282">
        <f>IFERROR(VLOOKUP(E487,rates_vega_by_region,2,FALSE),0)</f>
        <v>0</v>
      </c>
      <c r="R487" s="287">
        <f>IFERROR(VLOOKUP(E487,theta_gamma_by_rate_region,3,FALSE),0)</f>
        <v>0</v>
      </c>
      <c r="S487" s="284">
        <f>IFERROR(VLOOKUP(E487,theta_gamma_by_rate_region,2,FALSE),0)</f>
        <v>0</v>
      </c>
    </row>
    <row r="488" spans="3:27" x14ac:dyDescent="0.25">
      <c r="E488" s="75" t="s">
        <v>38</v>
      </c>
      <c r="F488" s="279">
        <f>SUM(F483:F487)</f>
        <v>37892.08865971757</v>
      </c>
      <c r="G488" s="279">
        <f t="shared" ref="G488:Q488" si="122">SUM(G483:G487)</f>
        <v>-6744.3474246761198</v>
      </c>
      <c r="H488" s="279">
        <f t="shared" si="122"/>
        <v>27675.09874394504</v>
      </c>
      <c r="I488" s="279">
        <f t="shared" si="122"/>
        <v>-307709.64493473707</v>
      </c>
      <c r="J488" s="279">
        <f t="shared" si="122"/>
        <v>180633.39350348167</v>
      </c>
      <c r="K488" s="279">
        <f t="shared" si="122"/>
        <v>370979.00980104908</v>
      </c>
      <c r="L488" s="279">
        <f t="shared" si="122"/>
        <v>48189.807646819449</v>
      </c>
      <c r="M488" s="279">
        <f t="shared" si="122"/>
        <v>3175.7932235824733</v>
      </c>
      <c r="N488" s="279">
        <f t="shared" si="122"/>
        <v>-253550.88777943584</v>
      </c>
      <c r="O488" s="279">
        <f t="shared" si="122"/>
        <v>25422.430917828504</v>
      </c>
      <c r="P488" s="279">
        <f t="shared" si="122"/>
        <v>-50178.565038139641</v>
      </c>
      <c r="Q488" s="279">
        <f t="shared" si="122"/>
        <v>378016.19478996797</v>
      </c>
      <c r="R488" s="279">
        <f>SUM(R483:R487)</f>
        <v>8001536.120819252</v>
      </c>
      <c r="S488" s="279">
        <f>SUM(S483:S487)</f>
        <v>16169.148122929761</v>
      </c>
    </row>
    <row r="489" spans="3:27" x14ac:dyDescent="0.25">
      <c r="E489" s="75"/>
      <c r="F489" s="279"/>
      <c r="G489" s="279"/>
      <c r="H489" s="279"/>
      <c r="I489" s="279"/>
      <c r="J489" s="279"/>
      <c r="K489" s="279"/>
      <c r="L489" s="279"/>
      <c r="M489" s="279"/>
      <c r="N489" s="279"/>
      <c r="O489" s="13"/>
      <c r="R489" s="279"/>
      <c r="S489" s="279"/>
    </row>
    <row r="490" spans="3:27" ht="17.25" x14ac:dyDescent="0.3">
      <c r="C490" s="21" t="s">
        <v>164</v>
      </c>
      <c r="D490" s="22"/>
      <c r="E490" s="22"/>
      <c r="F490" s="31"/>
      <c r="G490" s="31"/>
      <c r="H490" s="31"/>
      <c r="I490" s="31"/>
      <c r="J490" s="22"/>
      <c r="K490" s="22"/>
      <c r="L490" s="22"/>
      <c r="M490" s="22"/>
      <c r="N490" s="22"/>
      <c r="O490" s="22"/>
      <c r="P490" s="22"/>
      <c r="Q490" s="22"/>
      <c r="R490" s="22"/>
      <c r="S490" s="22"/>
      <c r="T490" s="22"/>
    </row>
    <row r="491" spans="3:27" x14ac:dyDescent="0.25">
      <c r="E491" s="75"/>
      <c r="F491" s="279"/>
      <c r="G491" s="269"/>
      <c r="I491" s="269" t="s">
        <v>165</v>
      </c>
    </row>
    <row r="492" spans="3:27" ht="15.75" hidden="1" customHeight="1" outlineLevel="1" x14ac:dyDescent="0.25">
      <c r="H492">
        <v>1</v>
      </c>
      <c r="I492" s="159">
        <v>2</v>
      </c>
      <c r="J492" s="51">
        <v>3</v>
      </c>
      <c r="K492" s="51">
        <v>4</v>
      </c>
      <c r="L492" s="51">
        <v>5</v>
      </c>
      <c r="M492" s="51">
        <v>6</v>
      </c>
      <c r="N492" s="51">
        <v>7</v>
      </c>
      <c r="O492" s="51">
        <v>8</v>
      </c>
      <c r="P492" s="51">
        <v>9</v>
      </c>
    </row>
    <row r="493" spans="3:27" ht="31.5" collapsed="1" x14ac:dyDescent="0.25">
      <c r="G493" s="48" t="s">
        <v>166</v>
      </c>
      <c r="H493" s="270" t="s">
        <v>167</v>
      </c>
      <c r="I493" s="51" t="s">
        <v>146</v>
      </c>
      <c r="J493" s="51" t="s">
        <v>148</v>
      </c>
      <c r="K493" s="51" t="s">
        <v>149</v>
      </c>
      <c r="L493" s="51" t="s">
        <v>157</v>
      </c>
      <c r="M493" s="51" t="s">
        <v>158</v>
      </c>
      <c r="N493" s="51" t="s">
        <v>150</v>
      </c>
      <c r="O493" s="51" t="s">
        <v>159</v>
      </c>
      <c r="P493" s="51" t="s">
        <v>160</v>
      </c>
      <c r="Q493" s="288" t="s">
        <v>168</v>
      </c>
      <c r="R493" s="288" t="s">
        <v>169</v>
      </c>
      <c r="S493" s="288" t="s">
        <v>170</v>
      </c>
      <c r="T493" s="288" t="s">
        <v>171</v>
      </c>
    </row>
    <row r="494" spans="3:27" x14ac:dyDescent="0.25">
      <c r="G494" s="313" t="str">
        <f t="array" aca="1" ref="G494:G566" ca="1">OFFSET(cr01_by_issuer,1,0,100,1)</f>
        <v>Bank of China Ltd</v>
      </c>
      <c r="H494" s="274">
        <f t="shared" ref="H494:H509" ca="1" si="123">IF(NOT(ISTEXT($G494)),"",SUM(I494:P494))</f>
        <v>141957.15458245738</v>
      </c>
      <c r="I494" s="274">
        <f ca="1">IF(NOT(ISTEXT($G494)),"",IFERROR(INDEX(cr01_by_issuer,MATCH($G494,OFFSET(cr01_by_issuer,0,0,100,1),0),MATCH(IF(Report!I$493="6M",0.5,LEFT(Report!I$493,LEN(Report!I$493)-1)*1),OFFSET(cr01_by_issuer,0,0,1,50),0)),0))</f>
        <v>0</v>
      </c>
      <c r="J494" s="275">
        <f ca="1">IF(NOT(ISTEXT($G494)),"",IFERROR(INDEX(cr01_by_issuer,MATCH($G494,OFFSET(cr01_by_issuer,0,0,100,1),0),MATCH(IF(Report!J$493="6M",0.5,LEFT(Report!J$493,LEN(Report!J$493)-1)*1),OFFSET(cr01_by_issuer,0,0,1,50),0)),0))</f>
        <v>0</v>
      </c>
      <c r="K494" s="275">
        <f ca="1">IF(NOT(ISTEXT($G494)),"",IFERROR(INDEX(cr01_by_issuer,MATCH($G494,OFFSET(cr01_by_issuer,0,0,100,1),0),MATCH(IF(Report!K$493="6M",0.5,LEFT(Report!K$493,LEN(Report!K$493)-1)*1),OFFSET(cr01_by_issuer,0,0,1,50),0)),0))</f>
        <v>0</v>
      </c>
      <c r="L494" s="275">
        <f ca="1">IF(NOT(ISTEXT($G494)),"",IFERROR(INDEX(cr01_by_issuer,MATCH($G494,OFFSET(cr01_by_issuer,0,0,100,1),0),MATCH(IF(Report!L$493="6M",0.5,LEFT(Report!L$493,LEN(Report!L$493)-1)*1),OFFSET(cr01_by_issuer,0,0,1,50),0)),0))</f>
        <v>60746.966323748464</v>
      </c>
      <c r="M494" s="275">
        <f ca="1">IF(NOT(ISTEXT($G494)),"",IFERROR(INDEX(cr01_by_issuer,MATCH($G494,OFFSET(cr01_by_issuer,0,0,100,1),0),MATCH(IF(Report!M$493="6M",0.5,LEFT(Report!M$493,LEN(Report!M$493)-1)*1),OFFSET(cr01_by_issuer,0,0,1,50),0)),0))</f>
        <v>56978.652205210798</v>
      </c>
      <c r="N494" s="275">
        <f ca="1">IF(NOT(ISTEXT($G494)),"",IFERROR(INDEX(cr01_by_issuer,MATCH($G494,OFFSET(cr01_by_issuer,0,0,100,1),0),MATCH(IF(Report!N$493="6M",0.5,LEFT(Report!N$493,LEN(Report!N$493)-1)*1),OFFSET(cr01_by_issuer,0,0,1,50),0)),0))</f>
        <v>24231.536053498119</v>
      </c>
      <c r="O494" s="275">
        <f ca="1">IF(NOT(ISTEXT($G494)),"",IFERROR(INDEX(cr01_by_issuer,MATCH($G494,OFFSET(cr01_by_issuer,0,0,100,1),0),MATCH(IF(Report!O$493="6M",0.5,LEFT(Report!O$493,LEN(Report!O$493)-1)*1),OFFSET(cr01_by_issuer,0,0,1,50),0)),0))</f>
        <v>0</v>
      </c>
      <c r="P494" s="276">
        <f ca="1">IF(NOT(ISTEXT($G494)),"",IFERROR(INDEX(cr01_by_issuer,MATCH($G494,OFFSET(cr01_by_issuer,0,0,100,1),0),MATCH(IF(Report!P$493="6M",0.5,LEFT(Report!P$493,LEN(Report!P$493)-1)*1),OFFSET(cr01_by_issuer,0,0,1,50),0)),0))</f>
        <v>0</v>
      </c>
      <c r="Q494" s="364">
        <f t="shared" ref="Q494:Q509" ca="1" si="124">IF(NOT(ISTEXT(G494)),"",INDEX(OFFSET(vol_adj_cr01,0,1,100,1),MATCH(G494,OFFSET(vol_adj_cr01,0,0,100,1),0),1))</f>
        <v>1.8814312335867232</v>
      </c>
      <c r="R494" s="274">
        <f t="shared" ref="R494:R509" ca="1" si="125">IF(NOT(ISTEXT(G494)),"",INDEX(OFFSET(vol_adj_cr01,0,3,100,1),MATCH(G494,OFFSET(vol_adj_cr01,0,0,100,1),0),1))</f>
        <v>267082.62446253392</v>
      </c>
      <c r="S494" s="239">
        <f t="shared" ref="S494:S509" ca="1" si="126">IF(NOT(ISTEXT($G494)),"",IFERROR(VLOOKUP(G494,jtd_by_issuer,2,FALSE),0))</f>
        <v>249564711.70183405</v>
      </c>
      <c r="T494" s="289">
        <f t="shared" ref="T494:T509" ca="1" si="127">IF(NOT(ISTEXT($G494)),"",IFERROR(S494/Nav,0))</f>
        <v>0.86498989004832849</v>
      </c>
      <c r="AA494"/>
    </row>
    <row r="495" spans="3:27" x14ac:dyDescent="0.25">
      <c r="G495" s="313" t="str">
        <f ca="1"/>
        <v>People's Republic of China</v>
      </c>
      <c r="H495" s="278">
        <f t="shared" ca="1" si="123"/>
        <v>-142618.89164260635</v>
      </c>
      <c r="I495" s="278">
        <f ca="1">IF(NOT(ISTEXT($G495)),"",IFERROR(INDEX(cr01_by_issuer,MATCH($G495,OFFSET(cr01_by_issuer,0,0,100,1),0),MATCH(IF(Report!I$493="6M",0.5,LEFT(Report!I$493,LEN(Report!I$493)-1)*1),OFFSET(cr01_by_issuer,0,0,1,50),0)),0))</f>
        <v>0</v>
      </c>
      <c r="J495" s="279">
        <f ca="1">IF(NOT(ISTEXT($G495)),"",IFERROR(INDEX(cr01_by_issuer,MATCH($G495,OFFSET(cr01_by_issuer,0,0,100,1),0),MATCH(IF(Report!J$493="6M",0.5,LEFT(Report!J$493,LEN(Report!J$493)-1)*1),OFFSET(cr01_by_issuer,0,0,1,50),0)),0))</f>
        <v>0</v>
      </c>
      <c r="K495" s="279">
        <f ca="1">IF(NOT(ISTEXT($G495)),"",IFERROR(INDEX(cr01_by_issuer,MATCH($G495,OFFSET(cr01_by_issuer,0,0,100,1),0),MATCH(IF(Report!K$493="6M",0.5,LEFT(Report!K$493,LEN(Report!K$493)-1)*1),OFFSET(cr01_by_issuer,0,0,1,50),0)),0))</f>
        <v>0</v>
      </c>
      <c r="L495" s="279">
        <f ca="1">IF(NOT(ISTEXT($G495)),"",IFERROR(INDEX(cr01_by_issuer,MATCH($G495,OFFSET(cr01_by_issuer,0,0,100,1),0),MATCH(IF(Report!L$493="6M",0.5,LEFT(Report!L$493,LEN(Report!L$493)-1)*1),OFFSET(cr01_by_issuer,0,0,1,50),0)),0))</f>
        <v>-60892.002087940622</v>
      </c>
      <c r="M495" s="279">
        <f ca="1">IF(NOT(ISTEXT($G495)),"",IFERROR(INDEX(cr01_by_issuer,MATCH($G495,OFFSET(cr01_by_issuer,0,0,100,1),0),MATCH(IF(Report!M$493="6M",0.5,LEFT(Report!M$493,LEN(Report!M$493)-1)*1),OFFSET(cr01_by_issuer,0,0,1,50),0)),0))</f>
        <v>-57278.576065885994</v>
      </c>
      <c r="N495" s="279">
        <f ca="1">IF(NOT(ISTEXT($G495)),"",IFERROR(INDEX(cr01_by_issuer,MATCH($G495,OFFSET(cr01_by_issuer,0,0,100,1),0),MATCH(IF(Report!N$493="6M",0.5,LEFT(Report!N$493,LEN(Report!N$493)-1)*1),OFFSET(cr01_by_issuer,0,0,1,50),0)),0))</f>
        <v>-24448.31348877975</v>
      </c>
      <c r="O495" s="279">
        <f ca="1">IF(NOT(ISTEXT($G495)),"",IFERROR(INDEX(cr01_by_issuer,MATCH($G495,OFFSET(cr01_by_issuer,0,0,100,1),0),MATCH(IF(Report!O$493="6M",0.5,LEFT(Report!O$493,LEN(Report!O$493)-1)*1),OFFSET(cr01_by_issuer,0,0,1,50),0)),0))</f>
        <v>0</v>
      </c>
      <c r="P495" s="280">
        <f ca="1">IF(NOT(ISTEXT($G495)),"",IFERROR(INDEX(cr01_by_issuer,MATCH($G495,OFFSET(cr01_by_issuer,0,0,100,1),0),MATCH(IF(Report!P$493="6M",0.5,LEFT(Report!P$493,LEN(Report!P$493)-1)*1),OFFSET(cr01_by_issuer,0,0,1,50),0)),0))</f>
        <v>0</v>
      </c>
      <c r="Q495" s="365">
        <f t="shared" ca="1" si="124"/>
        <v>1.6173942166151152</v>
      </c>
      <c r="R495" s="278">
        <f t="shared" ca="1" si="125"/>
        <v>-230670.97052280931</v>
      </c>
      <c r="S495" s="243">
        <f t="shared" ca="1" si="126"/>
        <v>-250593699.18974918</v>
      </c>
      <c r="T495" s="290">
        <f t="shared" ca="1" si="127"/>
        <v>-0.86855635490613348</v>
      </c>
      <c r="AA495"/>
    </row>
    <row r="496" spans="3:27" x14ac:dyDescent="0.25">
      <c r="G496" s="313" t="str">
        <f ca="1"/>
        <v>Ford Motor Co</v>
      </c>
      <c r="H496" s="278">
        <f t="shared" ca="1" si="123"/>
        <v>5867.2825163438802</v>
      </c>
      <c r="I496" s="278">
        <f ca="1">IF(NOT(ISTEXT($G496)),"",IFERROR(INDEX(cr01_by_issuer,MATCH($G496,OFFSET(cr01_by_issuer,0,0,100,1),0),MATCH(IF(Report!I$493="6M",0.5,LEFT(Report!I$493,LEN(Report!I$493)-1)*1),OFFSET(cr01_by_issuer,0,0,1,50),0)),0))</f>
        <v>0</v>
      </c>
      <c r="J496" s="279">
        <f ca="1">IF(NOT(ISTEXT($G496)),"",IFERROR(INDEX(cr01_by_issuer,MATCH($G496,OFFSET(cr01_by_issuer,0,0,100,1),0),MATCH(IF(Report!J$493="6M",0.5,LEFT(Report!J$493,LEN(Report!J$493)-1)*1),OFFSET(cr01_by_issuer,0,0,1,50),0)),0))</f>
        <v>0</v>
      </c>
      <c r="K496" s="279">
        <f ca="1">IF(NOT(ISTEXT($G496)),"",IFERROR(INDEX(cr01_by_issuer,MATCH($G496,OFFSET(cr01_by_issuer,0,0,100,1),0),MATCH(IF(Report!K$493="6M",0.5,LEFT(Report!K$493,LEN(Report!K$493)-1)*1),OFFSET(cr01_by_issuer,0,0,1,50),0)),0))</f>
        <v>5867.2825163438802</v>
      </c>
      <c r="L496" s="279">
        <f ca="1">IF(NOT(ISTEXT($G496)),"",IFERROR(INDEX(cr01_by_issuer,MATCH($G496,OFFSET(cr01_by_issuer,0,0,100,1),0),MATCH(IF(Report!L$493="6M",0.5,LEFT(Report!L$493,LEN(Report!L$493)-1)*1),OFFSET(cr01_by_issuer,0,0,1,50),0)),0))</f>
        <v>0</v>
      </c>
      <c r="M496" s="279">
        <f ca="1">IF(NOT(ISTEXT($G496)),"",IFERROR(INDEX(cr01_by_issuer,MATCH($G496,OFFSET(cr01_by_issuer,0,0,100,1),0),MATCH(IF(Report!M$493="6M",0.5,LEFT(Report!M$493,LEN(Report!M$493)-1)*1),OFFSET(cr01_by_issuer,0,0,1,50),0)),0))</f>
        <v>0</v>
      </c>
      <c r="N496" s="279">
        <f ca="1">IF(NOT(ISTEXT($G496)),"",IFERROR(INDEX(cr01_by_issuer,MATCH($G496,OFFSET(cr01_by_issuer,0,0,100,1),0),MATCH(IF(Report!N$493="6M",0.5,LEFT(Report!N$493,LEN(Report!N$493)-1)*1),OFFSET(cr01_by_issuer,0,0,1,50),0)),0))</f>
        <v>0</v>
      </c>
      <c r="O496" s="279">
        <f ca="1">IF(NOT(ISTEXT($G496)),"",IFERROR(INDEX(cr01_by_issuer,MATCH($G496,OFFSET(cr01_by_issuer,0,0,100,1),0),MATCH(IF(Report!O$493="6M",0.5,LEFT(Report!O$493,LEN(Report!O$493)-1)*1),OFFSET(cr01_by_issuer,0,0,1,50),0)),0))</f>
        <v>0</v>
      </c>
      <c r="P496" s="280">
        <f ca="1">IF(NOT(ISTEXT($G496)),"",IFERROR(INDEX(cr01_by_issuer,MATCH($G496,OFFSET(cr01_by_issuer,0,0,100,1),0),MATCH(IF(Report!P$493="6M",0.5,LEFT(Report!P$493,LEN(Report!P$493)-1)*1),OFFSET(cr01_by_issuer,0,0,1,50),0)),0))</f>
        <v>0</v>
      </c>
      <c r="Q496" s="365">
        <f t="shared" ca="1" si="124"/>
        <v>1.8206500086731749</v>
      </c>
      <c r="R496" s="278">
        <f t="shared" ca="1" si="125"/>
        <v>10682.267964269453</v>
      </c>
      <c r="S496" s="243">
        <f t="shared" ca="1" si="126"/>
        <v>17332026.642585471</v>
      </c>
      <c r="T496" s="290">
        <f t="shared" ca="1" si="127"/>
        <v>6.0072707065237423E-2</v>
      </c>
      <c r="AA496"/>
    </row>
    <row r="497" spans="5:27" x14ac:dyDescent="0.25">
      <c r="G497" s="313" t="str">
        <f ca="1"/>
        <v>Williams Cos Inc/The</v>
      </c>
      <c r="H497" s="278">
        <f t="shared" ca="1" si="123"/>
        <v>7320.8724247477512</v>
      </c>
      <c r="I497" s="278">
        <f ca="1">IF(NOT(ISTEXT($G497)),"",IFERROR(INDEX(cr01_by_issuer,MATCH($G497,OFFSET(cr01_by_issuer,0,0,100,1),0),MATCH(IF(Report!I$493="6M",0.5,LEFT(Report!I$493,LEN(Report!I$493)-1)*1),OFFSET(cr01_by_issuer,0,0,1,50),0)),0))</f>
        <v>0</v>
      </c>
      <c r="J497" s="279">
        <f ca="1">IF(NOT(ISTEXT($G497)),"",IFERROR(INDEX(cr01_by_issuer,MATCH($G497,OFFSET(cr01_by_issuer,0,0,100,1),0),MATCH(IF(Report!J$493="6M",0.5,LEFT(Report!J$493,LEN(Report!J$493)-1)*1),OFFSET(cr01_by_issuer,0,0,1,50),0)),0))</f>
        <v>0</v>
      </c>
      <c r="K497" s="279">
        <f ca="1">IF(NOT(ISTEXT($G497)),"",IFERROR(INDEX(cr01_by_issuer,MATCH($G497,OFFSET(cr01_by_issuer,0,0,100,1),0),MATCH(IF(Report!K$493="6M",0.5,LEFT(Report!K$493,LEN(Report!K$493)-1)*1),OFFSET(cr01_by_issuer,0,0,1,50),0)),0))</f>
        <v>0</v>
      </c>
      <c r="L497" s="279">
        <f ca="1">IF(NOT(ISTEXT($G497)),"",IFERROR(INDEX(cr01_by_issuer,MATCH($G497,OFFSET(cr01_by_issuer,0,0,100,1),0),MATCH(IF(Report!L$493="6M",0.5,LEFT(Report!L$493,LEN(Report!L$493)-1)*1),OFFSET(cr01_by_issuer,0,0,1,50),0)),0))</f>
        <v>0</v>
      </c>
      <c r="M497" s="279">
        <f ca="1">IF(NOT(ISTEXT($G497)),"",IFERROR(INDEX(cr01_by_issuer,MATCH($G497,OFFSET(cr01_by_issuer,0,0,100,1),0),MATCH(IF(Report!M$493="6M",0.5,LEFT(Report!M$493,LEN(Report!M$493)-1)*1),OFFSET(cr01_by_issuer,0,0,1,50),0)),0))</f>
        <v>0</v>
      </c>
      <c r="N497" s="279">
        <f ca="1">IF(NOT(ISTEXT($G497)),"",IFERROR(INDEX(cr01_by_issuer,MATCH($G497,OFFSET(cr01_by_issuer,0,0,100,1),0),MATCH(IF(Report!N$493="6M",0.5,LEFT(Report!N$493,LEN(Report!N$493)-1)*1),OFFSET(cr01_by_issuer,0,0,1,50),0)),0))</f>
        <v>7320.8724247477512</v>
      </c>
      <c r="O497" s="279">
        <f ca="1">IF(NOT(ISTEXT($G497)),"",IFERROR(INDEX(cr01_by_issuer,MATCH($G497,OFFSET(cr01_by_issuer,0,0,100,1),0),MATCH(IF(Report!O$493="6M",0.5,LEFT(Report!O$493,LEN(Report!O$493)-1)*1),OFFSET(cr01_by_issuer,0,0,1,50),0)),0))</f>
        <v>0</v>
      </c>
      <c r="P497" s="280">
        <f ca="1">IF(NOT(ISTEXT($G497)),"",IFERROR(INDEX(cr01_by_issuer,MATCH($G497,OFFSET(cr01_by_issuer,0,0,100,1),0),MATCH(IF(Report!P$493="6M",0.5,LEFT(Report!P$493,LEN(Report!P$493)-1)*1),OFFSET(cr01_by_issuer,0,0,1,50),0)),0))</f>
        <v>0</v>
      </c>
      <c r="Q497" s="365">
        <f t="shared" ca="1" si="124"/>
        <v>2.7044046186537618</v>
      </c>
      <c r="R497" s="278">
        <f t="shared" ca="1" si="125"/>
        <v>19798.601198062781</v>
      </c>
      <c r="S497" s="243">
        <f t="shared" ca="1" si="126"/>
        <v>10450424.200983115</v>
      </c>
      <c r="T497" s="290">
        <f t="shared" ca="1" si="127"/>
        <v>3.6221111626417272E-2</v>
      </c>
      <c r="AA497"/>
    </row>
    <row r="498" spans="5:27" x14ac:dyDescent="0.25">
      <c r="G498" s="313" t="str">
        <f ca="1"/>
        <v>Abbott Laboratories</v>
      </c>
      <c r="H498" s="278">
        <f t="shared" ca="1" si="123"/>
        <v>4552.0743986840698</v>
      </c>
      <c r="I498" s="278">
        <f ca="1">IF(NOT(ISTEXT($G498)),"",IFERROR(INDEX(cr01_by_issuer,MATCH($G498,OFFSET(cr01_by_issuer,0,0,100,1),0),MATCH(IF(Report!I$493="6M",0.5,LEFT(Report!I$493,LEN(Report!I$493)-1)*1),OFFSET(cr01_by_issuer,0,0,1,50),0)),0))</f>
        <v>0</v>
      </c>
      <c r="J498" s="279">
        <f ca="1">IF(NOT(ISTEXT($G498)),"",IFERROR(INDEX(cr01_by_issuer,MATCH($G498,OFFSET(cr01_by_issuer,0,0,100,1),0),MATCH(IF(Report!J$493="6M",0.5,LEFT(Report!J$493,LEN(Report!J$493)-1)*1),OFFSET(cr01_by_issuer,0,0,1,50),0)),0))</f>
        <v>0</v>
      </c>
      <c r="K498" s="279">
        <f ca="1">IF(NOT(ISTEXT($G498)),"",IFERROR(INDEX(cr01_by_issuer,MATCH($G498,OFFSET(cr01_by_issuer,0,0,100,1),0),MATCH(IF(Report!K$493="6M",0.5,LEFT(Report!K$493,LEN(Report!K$493)-1)*1),OFFSET(cr01_by_issuer,0,0,1,50),0)),0))</f>
        <v>0</v>
      </c>
      <c r="L498" s="279">
        <f ca="1">IF(NOT(ISTEXT($G498)),"",IFERROR(INDEX(cr01_by_issuer,MATCH($G498,OFFSET(cr01_by_issuer,0,0,100,1),0),MATCH(IF(Report!L$493="6M",0.5,LEFT(Report!L$493,LEN(Report!L$493)-1)*1),OFFSET(cr01_by_issuer,0,0,1,50),0)),0))</f>
        <v>0</v>
      </c>
      <c r="M498" s="279">
        <f ca="1">IF(NOT(ISTEXT($G498)),"",IFERROR(INDEX(cr01_by_issuer,MATCH($G498,OFFSET(cr01_by_issuer,0,0,100,1),0),MATCH(IF(Report!M$493="6M",0.5,LEFT(Report!M$493,LEN(Report!M$493)-1)*1),OFFSET(cr01_by_issuer,0,0,1,50),0)),0))</f>
        <v>0</v>
      </c>
      <c r="N498" s="279">
        <f ca="1">IF(NOT(ISTEXT($G498)),"",IFERROR(INDEX(cr01_by_issuer,MATCH($G498,OFFSET(cr01_by_issuer,0,0,100,1),0),MATCH(IF(Report!N$493="6M",0.5,LEFT(Report!N$493,LEN(Report!N$493)-1)*1),OFFSET(cr01_by_issuer,0,0,1,50),0)),0))</f>
        <v>4552.0743986840698</v>
      </c>
      <c r="O498" s="279">
        <f ca="1">IF(NOT(ISTEXT($G498)),"",IFERROR(INDEX(cr01_by_issuer,MATCH($G498,OFFSET(cr01_by_issuer,0,0,100,1),0),MATCH(IF(Report!O$493="6M",0.5,LEFT(Report!O$493,LEN(Report!O$493)-1)*1),OFFSET(cr01_by_issuer,0,0,1,50),0)),0))</f>
        <v>0</v>
      </c>
      <c r="P498" s="280">
        <f ca="1">IF(NOT(ISTEXT($G498)),"",IFERROR(INDEX(cr01_by_issuer,MATCH($G498,OFFSET(cr01_by_issuer,0,0,100,1),0),MATCH(IF(Report!P$493="6M",0.5,LEFT(Report!P$493,LEN(Report!P$493)-1)*1),OFFSET(cr01_by_issuer,0,0,1,50),0)),0))</f>
        <v>0</v>
      </c>
      <c r="Q498" s="365">
        <f t="shared" ca="1" si="124"/>
        <v>1.1407126897026432</v>
      </c>
      <c r="R498" s="278">
        <f t="shared" ca="1" si="125"/>
        <v>5192.6090310494474</v>
      </c>
      <c r="S498" s="243">
        <f t="shared" ca="1" si="126"/>
        <v>6312226.2209048048</v>
      </c>
      <c r="T498" s="290">
        <f t="shared" ca="1" si="127"/>
        <v>2.1878140653571007E-2</v>
      </c>
      <c r="AA498"/>
    </row>
    <row r="499" spans="5:27" x14ac:dyDescent="0.25">
      <c r="G499" s="313" t="str">
        <f ca="1"/>
        <v>Ally Financial Inc</v>
      </c>
      <c r="H499" s="278">
        <f t="shared" ca="1" si="123"/>
        <v>4331.9704205235703</v>
      </c>
      <c r="I499" s="278">
        <f ca="1">IF(NOT(ISTEXT($G499)),"",IFERROR(INDEX(cr01_by_issuer,MATCH($G499,OFFSET(cr01_by_issuer,0,0,100,1),0),MATCH(IF(Report!I$493="6M",0.5,LEFT(Report!I$493,LEN(Report!I$493)-1)*1),OFFSET(cr01_by_issuer,0,0,1,50),0)),0))</f>
        <v>0</v>
      </c>
      <c r="J499" s="279">
        <f ca="1">IF(NOT(ISTEXT($G499)),"",IFERROR(INDEX(cr01_by_issuer,MATCH($G499,OFFSET(cr01_by_issuer,0,0,100,1),0),MATCH(IF(Report!J$493="6M",0.5,LEFT(Report!J$493,LEN(Report!J$493)-1)*1),OFFSET(cr01_by_issuer,0,0,1,50),0)),0))</f>
        <v>0</v>
      </c>
      <c r="K499" s="279">
        <f ca="1">IF(NOT(ISTEXT($G499)),"",IFERROR(INDEX(cr01_by_issuer,MATCH($G499,OFFSET(cr01_by_issuer,0,0,100,1),0),MATCH(IF(Report!K$493="6M",0.5,LEFT(Report!K$493,LEN(Report!K$493)-1)*1),OFFSET(cr01_by_issuer,0,0,1,50),0)),0))</f>
        <v>0</v>
      </c>
      <c r="L499" s="279">
        <f ca="1">IF(NOT(ISTEXT($G499)),"",IFERROR(INDEX(cr01_by_issuer,MATCH($G499,OFFSET(cr01_by_issuer,0,0,100,1),0),MATCH(IF(Report!L$493="6M",0.5,LEFT(Report!L$493,LEN(Report!L$493)-1)*1),OFFSET(cr01_by_issuer,0,0,1,50),0)),0))</f>
        <v>0</v>
      </c>
      <c r="M499" s="279">
        <f ca="1">IF(NOT(ISTEXT($G499)),"",IFERROR(INDEX(cr01_by_issuer,MATCH($G499,OFFSET(cr01_by_issuer,0,0,100,1),0),MATCH(IF(Report!M$493="6M",0.5,LEFT(Report!M$493,LEN(Report!M$493)-1)*1),OFFSET(cr01_by_issuer,0,0,1,50),0)),0))</f>
        <v>0</v>
      </c>
      <c r="N499" s="279">
        <f ca="1">IF(NOT(ISTEXT($G499)),"",IFERROR(INDEX(cr01_by_issuer,MATCH($G499,OFFSET(cr01_by_issuer,0,0,100,1),0),MATCH(IF(Report!N$493="6M",0.5,LEFT(Report!N$493,LEN(Report!N$493)-1)*1),OFFSET(cr01_by_issuer,0,0,1,50),0)),0))</f>
        <v>4331.9704205235703</v>
      </c>
      <c r="O499" s="279">
        <f ca="1">IF(NOT(ISTEXT($G499)),"",IFERROR(INDEX(cr01_by_issuer,MATCH($G499,OFFSET(cr01_by_issuer,0,0,100,1),0),MATCH(IF(Report!O$493="6M",0.5,LEFT(Report!O$493,LEN(Report!O$493)-1)*1),OFFSET(cr01_by_issuer,0,0,1,50),0)),0))</f>
        <v>0</v>
      </c>
      <c r="P499" s="280">
        <f ca="1">IF(NOT(ISTEXT($G499)),"",IFERROR(INDEX(cr01_by_issuer,MATCH($G499,OFFSET(cr01_by_issuer,0,0,100,1),0),MATCH(IF(Report!P$493="6M",0.5,LEFT(Report!P$493,LEN(Report!P$493)-1)*1),OFFSET(cr01_by_issuer,0,0,1,50),0)),0))</f>
        <v>0</v>
      </c>
      <c r="Q499" s="365">
        <f t="shared" ca="1" si="124"/>
        <v>4.549318440962173</v>
      </c>
      <c r="R499" s="278">
        <f t="shared" ca="1" si="125"/>
        <v>19707.512919790537</v>
      </c>
      <c r="S499" s="243">
        <f t="shared" ca="1" si="126"/>
        <v>6767601.8366919803</v>
      </c>
      <c r="T499" s="290">
        <f t="shared" ca="1" si="127"/>
        <v>2.3456469982042105E-2</v>
      </c>
      <c r="AA499"/>
    </row>
    <row r="500" spans="5:27" x14ac:dyDescent="0.25">
      <c r="E500" s="2"/>
      <c r="F500" s="3"/>
      <c r="G500" s="313" t="str">
        <f ca="1"/>
        <v>American Express Co</v>
      </c>
      <c r="H500" s="278">
        <f t="shared" ca="1" si="123"/>
        <v>10916.6937745099</v>
      </c>
      <c r="I500" s="278">
        <f ca="1">IF(NOT(ISTEXT($G500)),"",IFERROR(INDEX(cr01_by_issuer,MATCH($G500,OFFSET(cr01_by_issuer,0,0,100,1),0),MATCH(IF(Report!I$493="6M",0.5,LEFT(Report!I$493,LEN(Report!I$493)-1)*1),OFFSET(cr01_by_issuer,0,0,1,50),0)),0))</f>
        <v>0</v>
      </c>
      <c r="J500" s="279">
        <f ca="1">IF(NOT(ISTEXT($G500)),"",IFERROR(INDEX(cr01_by_issuer,MATCH($G500,OFFSET(cr01_by_issuer,0,0,100,1),0),MATCH(IF(Report!J$493="6M",0.5,LEFT(Report!J$493,LEN(Report!J$493)-1)*1),OFFSET(cr01_by_issuer,0,0,1,50),0)),0))</f>
        <v>0</v>
      </c>
      <c r="K500" s="279">
        <f ca="1">IF(NOT(ISTEXT($G500)),"",IFERROR(INDEX(cr01_by_issuer,MATCH($G500,OFFSET(cr01_by_issuer,0,0,100,1),0),MATCH(IF(Report!K$493="6M",0.5,LEFT(Report!K$493,LEN(Report!K$493)-1)*1),OFFSET(cr01_by_issuer,0,0,1,50),0)),0))</f>
        <v>0</v>
      </c>
      <c r="L500" s="279">
        <f ca="1">IF(NOT(ISTEXT($G500)),"",IFERROR(INDEX(cr01_by_issuer,MATCH($G500,OFFSET(cr01_by_issuer,0,0,100,1),0),MATCH(IF(Report!L$493="6M",0.5,LEFT(Report!L$493,LEN(Report!L$493)-1)*1),OFFSET(cr01_by_issuer,0,0,1,50),0)),0))</f>
        <v>0</v>
      </c>
      <c r="M500" s="279">
        <f ca="1">IF(NOT(ISTEXT($G500)),"",IFERROR(INDEX(cr01_by_issuer,MATCH($G500,OFFSET(cr01_by_issuer,0,0,100,1),0),MATCH(IF(Report!M$493="6M",0.5,LEFT(Report!M$493,LEN(Report!M$493)-1)*1),OFFSET(cr01_by_issuer,0,0,1,50),0)),0))</f>
        <v>0</v>
      </c>
      <c r="N500" s="279">
        <f ca="1">IF(NOT(ISTEXT($G500)),"",IFERROR(INDEX(cr01_by_issuer,MATCH($G500,OFFSET(cr01_by_issuer,0,0,100,1),0),MATCH(IF(Report!N$493="6M",0.5,LEFT(Report!N$493,LEN(Report!N$493)-1)*1),OFFSET(cr01_by_issuer,0,0,1,50),0)),0))</f>
        <v>10916.6937745099</v>
      </c>
      <c r="O500" s="279">
        <f ca="1">IF(NOT(ISTEXT($G500)),"",IFERROR(INDEX(cr01_by_issuer,MATCH($G500,OFFSET(cr01_by_issuer,0,0,100,1),0),MATCH(IF(Report!O$493="6M",0.5,LEFT(Report!O$493,LEN(Report!O$493)-1)*1),OFFSET(cr01_by_issuer,0,0,1,50),0)),0))</f>
        <v>0</v>
      </c>
      <c r="P500" s="280">
        <f ca="1">IF(NOT(ISTEXT($G500)),"",IFERROR(INDEX(cr01_by_issuer,MATCH($G500,OFFSET(cr01_by_issuer,0,0,100,1),0),MATCH(IF(Report!P$493="6M",0.5,LEFT(Report!P$493,LEN(Report!P$493)-1)*1),OFFSET(cr01_by_issuer,0,0,1,50),0)),0))</f>
        <v>0</v>
      </c>
      <c r="Q500" s="365">
        <f t="shared" ca="1" si="124"/>
        <v>0.97108034002002108</v>
      </c>
      <c r="R500" s="278">
        <f t="shared" ca="1" si="125"/>
        <v>10600.986702445522</v>
      </c>
      <c r="S500" s="243">
        <f t="shared" ca="1" si="126"/>
        <v>13848693.750737859</v>
      </c>
      <c r="T500" s="290">
        <f t="shared" ca="1" si="127"/>
        <v>4.7999494812694235E-2</v>
      </c>
      <c r="AA500"/>
    </row>
    <row r="501" spans="5:27" s="311" customFormat="1" x14ac:dyDescent="0.25">
      <c r="E501" s="2"/>
      <c r="F501" s="3"/>
      <c r="G501" s="313" t="str">
        <f ca="1"/>
        <v>Arrow Electronics Inc</v>
      </c>
      <c r="H501" s="278">
        <f t="shared" ca="1" si="123"/>
        <v>3222.6915832835311</v>
      </c>
      <c r="I501" s="278">
        <f ca="1">IF(NOT(ISTEXT($G501)),"",IFERROR(INDEX(cr01_by_issuer,MATCH($G501,OFFSET(cr01_by_issuer,0,0,100,1),0),MATCH(IF(Report!I$493="6M",0.5,LEFT(Report!I$493,LEN(Report!I$493)-1)*1),OFFSET(cr01_by_issuer,0,0,1,50),0)),0))</f>
        <v>0</v>
      </c>
      <c r="J501" s="279">
        <f ca="1">IF(NOT(ISTEXT($G501)),"",IFERROR(INDEX(cr01_by_issuer,MATCH($G501,OFFSET(cr01_by_issuer,0,0,100,1),0),MATCH(IF(Report!J$493="6M",0.5,LEFT(Report!J$493,LEN(Report!J$493)-1)*1),OFFSET(cr01_by_issuer,0,0,1,50),0)),0))</f>
        <v>0</v>
      </c>
      <c r="K501" s="279">
        <f ca="1">IF(NOT(ISTEXT($G501)),"",IFERROR(INDEX(cr01_by_issuer,MATCH($G501,OFFSET(cr01_by_issuer,0,0,100,1),0),MATCH(IF(Report!K$493="6M",0.5,LEFT(Report!K$493,LEN(Report!K$493)-1)*1),OFFSET(cr01_by_issuer,0,0,1,50),0)),0))</f>
        <v>0</v>
      </c>
      <c r="L501" s="279">
        <f ca="1">IF(NOT(ISTEXT($G501)),"",IFERROR(INDEX(cr01_by_issuer,MATCH($G501,OFFSET(cr01_by_issuer,0,0,100,1),0),MATCH(IF(Report!L$493="6M",0.5,LEFT(Report!L$493,LEN(Report!L$493)-1)*1),OFFSET(cr01_by_issuer,0,0,1,50),0)),0))</f>
        <v>0</v>
      </c>
      <c r="M501" s="279">
        <f ca="1">IF(NOT(ISTEXT($G501)),"",IFERROR(INDEX(cr01_by_issuer,MATCH($G501,OFFSET(cr01_by_issuer,0,0,100,1),0),MATCH(IF(Report!M$493="6M",0.5,LEFT(Report!M$493,LEN(Report!M$493)-1)*1),OFFSET(cr01_by_issuer,0,0,1,50),0)),0))</f>
        <v>0</v>
      </c>
      <c r="N501" s="279">
        <f ca="1">IF(NOT(ISTEXT($G501)),"",IFERROR(INDEX(cr01_by_issuer,MATCH($G501,OFFSET(cr01_by_issuer,0,0,100,1),0),MATCH(IF(Report!N$493="6M",0.5,LEFT(Report!N$493,LEN(Report!N$493)-1)*1),OFFSET(cr01_by_issuer,0,0,1,50),0)),0))</f>
        <v>-7599.9536238952696</v>
      </c>
      <c r="O501" s="279">
        <f ca="1">IF(NOT(ISTEXT($G501)),"",IFERROR(INDEX(cr01_by_issuer,MATCH($G501,OFFSET(cr01_by_issuer,0,0,100,1),0),MATCH(IF(Report!O$493="6M",0.5,LEFT(Report!O$493,LEN(Report!O$493)-1)*1),OFFSET(cr01_by_issuer,0,0,1,50),0)),0))</f>
        <v>10822.645207178801</v>
      </c>
      <c r="P501" s="280">
        <f ca="1">IF(NOT(ISTEXT($G501)),"",IFERROR(INDEX(cr01_by_issuer,MATCH($G501,OFFSET(cr01_by_issuer,0,0,100,1),0),MATCH(IF(Report!P$493="6M",0.5,LEFT(Report!P$493,LEN(Report!P$493)-1)*1),OFFSET(cr01_by_issuer,0,0,1,50),0)),0))</f>
        <v>0</v>
      </c>
      <c r="Q501" s="365">
        <f t="shared" ca="1" si="124"/>
        <v>2.0108442071382004</v>
      </c>
      <c r="R501" s="278">
        <f t="shared" ca="1" si="125"/>
        <v>6480.3307016387243</v>
      </c>
      <c r="S501" s="243">
        <f t="shared" ca="1" si="126"/>
        <v>1433684.8049548827</v>
      </c>
      <c r="T501" s="290">
        <f t="shared" ca="1" si="127"/>
        <v>4.9691434872551725E-3</v>
      </c>
      <c r="AA501"/>
    </row>
    <row r="502" spans="5:27" s="311" customFormat="1" x14ac:dyDescent="0.25">
      <c r="E502" s="2"/>
      <c r="F502" s="3"/>
      <c r="G502" s="313" t="str">
        <f ca="1"/>
        <v>Avnet Inc</v>
      </c>
      <c r="H502" s="278">
        <f t="shared" ca="1" si="123"/>
        <v>3530.0920379613299</v>
      </c>
      <c r="I502" s="278">
        <f ca="1">IF(NOT(ISTEXT($G502)),"",IFERROR(INDEX(cr01_by_issuer,MATCH($G502,OFFSET(cr01_by_issuer,0,0,100,1),0),MATCH(IF(Report!I$493="6M",0.5,LEFT(Report!I$493,LEN(Report!I$493)-1)*1),OFFSET(cr01_by_issuer,0,0,1,50),0)),0))</f>
        <v>0</v>
      </c>
      <c r="J502" s="279">
        <f ca="1">IF(NOT(ISTEXT($G502)),"",IFERROR(INDEX(cr01_by_issuer,MATCH($G502,OFFSET(cr01_by_issuer,0,0,100,1),0),MATCH(IF(Report!J$493="6M",0.5,LEFT(Report!J$493,LEN(Report!J$493)-1)*1),OFFSET(cr01_by_issuer,0,0,1,50),0)),0))</f>
        <v>0</v>
      </c>
      <c r="K502" s="279">
        <f ca="1">IF(NOT(ISTEXT($G502)),"",IFERROR(INDEX(cr01_by_issuer,MATCH($G502,OFFSET(cr01_by_issuer,0,0,100,1),0),MATCH(IF(Report!K$493="6M",0.5,LEFT(Report!K$493,LEN(Report!K$493)-1)*1),OFFSET(cr01_by_issuer,0,0,1,50),0)),0))</f>
        <v>0</v>
      </c>
      <c r="L502" s="279">
        <f ca="1">IF(NOT(ISTEXT($G502)),"",IFERROR(INDEX(cr01_by_issuer,MATCH($G502,OFFSET(cr01_by_issuer,0,0,100,1),0),MATCH(IF(Report!L$493="6M",0.5,LEFT(Report!L$493,LEN(Report!L$493)-1)*1),OFFSET(cr01_by_issuer,0,0,1,50),0)),0))</f>
        <v>0</v>
      </c>
      <c r="M502" s="279">
        <f ca="1">IF(NOT(ISTEXT($G502)),"",IFERROR(INDEX(cr01_by_issuer,MATCH($G502,OFFSET(cr01_by_issuer,0,0,100,1),0),MATCH(IF(Report!M$493="6M",0.5,LEFT(Report!M$493,LEN(Report!M$493)-1)*1),OFFSET(cr01_by_issuer,0,0,1,50),0)),0))</f>
        <v>0</v>
      </c>
      <c r="N502" s="279">
        <f ca="1">IF(NOT(ISTEXT($G502)),"",IFERROR(INDEX(cr01_by_issuer,MATCH($G502,OFFSET(cr01_by_issuer,0,0,100,1),0),MATCH(IF(Report!N$493="6M",0.5,LEFT(Report!N$493,LEN(Report!N$493)-1)*1),OFFSET(cr01_by_issuer,0,0,1,50),0)),0))</f>
        <v>3530.0920379613299</v>
      </c>
      <c r="O502" s="279">
        <f ca="1">IF(NOT(ISTEXT($G502)),"",IFERROR(INDEX(cr01_by_issuer,MATCH($G502,OFFSET(cr01_by_issuer,0,0,100,1),0),MATCH(IF(Report!O$493="6M",0.5,LEFT(Report!O$493,LEN(Report!O$493)-1)*1),OFFSET(cr01_by_issuer,0,0,1,50),0)),0))</f>
        <v>0</v>
      </c>
      <c r="P502" s="280">
        <f ca="1">IF(NOT(ISTEXT($G502)),"",IFERROR(INDEX(cr01_by_issuer,MATCH($G502,OFFSET(cr01_by_issuer,0,0,100,1),0),MATCH(IF(Report!P$493="6M",0.5,LEFT(Report!P$493,LEN(Report!P$493)-1)*1),OFFSET(cr01_by_issuer,0,0,1,50),0)),0))</f>
        <v>0</v>
      </c>
      <c r="Q502" s="365">
        <f t="shared" ca="1" si="124"/>
        <v>2.007786124538546</v>
      </c>
      <c r="R502" s="278">
        <f t="shared" ca="1" si="125"/>
        <v>7087.669812162756</v>
      </c>
      <c r="S502" s="243">
        <f t="shared" ca="1" si="126"/>
        <v>4493335.3841408845</v>
      </c>
      <c r="T502" s="290">
        <f t="shared" ca="1" si="127"/>
        <v>1.557387522207822E-2</v>
      </c>
      <c r="AA502"/>
    </row>
    <row r="503" spans="5:27" s="311" customFormat="1" x14ac:dyDescent="0.25">
      <c r="E503" s="2"/>
      <c r="F503" s="3"/>
      <c r="G503" s="313" t="str">
        <f ca="1"/>
        <v>Bank of Nova Scotia/The</v>
      </c>
      <c r="H503" s="278">
        <f t="shared" ca="1" si="123"/>
        <v>9362.7430978037901</v>
      </c>
      <c r="I503" s="278">
        <f ca="1">IF(NOT(ISTEXT($G503)),"",IFERROR(INDEX(cr01_by_issuer,MATCH($G503,OFFSET(cr01_by_issuer,0,0,100,1),0),MATCH(IF(Report!I$493="6M",0.5,LEFT(Report!I$493,LEN(Report!I$493)-1)*1),OFFSET(cr01_by_issuer,0,0,1,50),0)),0))</f>
        <v>0</v>
      </c>
      <c r="J503" s="279">
        <f ca="1">IF(NOT(ISTEXT($G503)),"",IFERROR(INDEX(cr01_by_issuer,MATCH($G503,OFFSET(cr01_by_issuer,0,0,100,1),0),MATCH(IF(Report!J$493="6M",0.5,LEFT(Report!J$493,LEN(Report!J$493)-1)*1),OFFSET(cr01_by_issuer,0,0,1,50),0)),0))</f>
        <v>0</v>
      </c>
      <c r="K503" s="279">
        <f ca="1">IF(NOT(ISTEXT($G503)),"",IFERROR(INDEX(cr01_by_issuer,MATCH($G503,OFFSET(cr01_by_issuer,0,0,100,1),0),MATCH(IF(Report!K$493="6M",0.5,LEFT(Report!K$493,LEN(Report!K$493)-1)*1),OFFSET(cr01_by_issuer,0,0,1,50),0)),0))</f>
        <v>0</v>
      </c>
      <c r="L503" s="279">
        <f ca="1">IF(NOT(ISTEXT($G503)),"",IFERROR(INDEX(cr01_by_issuer,MATCH($G503,OFFSET(cr01_by_issuer,0,0,100,1),0),MATCH(IF(Report!L$493="6M",0.5,LEFT(Report!L$493,LEN(Report!L$493)-1)*1),OFFSET(cr01_by_issuer,0,0,1,50),0)),0))</f>
        <v>0</v>
      </c>
      <c r="M503" s="279">
        <f ca="1">IF(NOT(ISTEXT($G503)),"",IFERROR(INDEX(cr01_by_issuer,MATCH($G503,OFFSET(cr01_by_issuer,0,0,100,1),0),MATCH(IF(Report!M$493="6M",0.5,LEFT(Report!M$493,LEN(Report!M$493)-1)*1),OFFSET(cr01_by_issuer,0,0,1,50),0)),0))</f>
        <v>0</v>
      </c>
      <c r="N503" s="279">
        <f ca="1">IF(NOT(ISTEXT($G503)),"",IFERROR(INDEX(cr01_by_issuer,MATCH($G503,OFFSET(cr01_by_issuer,0,0,100,1),0),MATCH(IF(Report!N$493="6M",0.5,LEFT(Report!N$493,LEN(Report!N$493)-1)*1),OFFSET(cr01_by_issuer,0,0,1,50),0)),0))</f>
        <v>9362.7430978037901</v>
      </c>
      <c r="O503" s="279">
        <f ca="1">IF(NOT(ISTEXT($G503)),"",IFERROR(INDEX(cr01_by_issuer,MATCH($G503,OFFSET(cr01_by_issuer,0,0,100,1),0),MATCH(IF(Report!O$493="6M",0.5,LEFT(Report!O$493,LEN(Report!O$493)-1)*1),OFFSET(cr01_by_issuer,0,0,1,50),0)),0))</f>
        <v>0</v>
      </c>
      <c r="P503" s="280">
        <f ca="1">IF(NOT(ISTEXT($G503)),"",IFERROR(INDEX(cr01_by_issuer,MATCH($G503,OFFSET(cr01_by_issuer,0,0,100,1),0),MATCH(IF(Report!P$493="6M",0.5,LEFT(Report!P$493,LEN(Report!P$493)-1)*1),OFFSET(cr01_by_issuer,0,0,1,50),0)),0))</f>
        <v>0</v>
      </c>
      <c r="Q503" s="365">
        <f t="shared" ca="1" si="124"/>
        <v>2.8776239652346446E-2</v>
      </c>
      <c r="R503" s="278">
        <f t="shared" ca="1" si="125"/>
        <v>269.42453918575444</v>
      </c>
      <c r="S503" s="243">
        <f t="shared" ca="1" si="126"/>
        <v>12417717.428485073</v>
      </c>
      <c r="T503" s="290">
        <f t="shared" ca="1" si="127"/>
        <v>4.3039738911282863E-2</v>
      </c>
      <c r="AA503"/>
    </row>
    <row r="504" spans="5:27" s="311" customFormat="1" x14ac:dyDescent="0.25">
      <c r="E504" s="2"/>
      <c r="F504" s="3"/>
      <c r="G504" s="313" t="str">
        <f ca="1"/>
        <v>CDXIG531</v>
      </c>
      <c r="H504" s="278">
        <f t="shared" ca="1" si="123"/>
        <v>-251302.83864994749</v>
      </c>
      <c r="I504" s="278">
        <f ca="1">IF(NOT(ISTEXT($G504)),"",IFERROR(INDEX(cr01_by_issuer,MATCH($G504,OFFSET(cr01_by_issuer,0,0,100,1),0),MATCH(IF(Report!I$493="6M",0.5,LEFT(Report!I$493,LEN(Report!I$493)-1)*1),OFFSET(cr01_by_issuer,0,0,1,50),0)),0))</f>
        <v>0</v>
      </c>
      <c r="J504" s="279">
        <f ca="1">IF(NOT(ISTEXT($G504)),"",IFERROR(INDEX(cr01_by_issuer,MATCH($G504,OFFSET(cr01_by_issuer,0,0,100,1),0),MATCH(IF(Report!J$493="6M",0.5,LEFT(Report!J$493,LEN(Report!J$493)-1)*1),OFFSET(cr01_by_issuer,0,0,1,50),0)),0))</f>
        <v>0</v>
      </c>
      <c r="K504" s="279">
        <f ca="1">IF(NOT(ISTEXT($G504)),"",IFERROR(INDEX(cr01_by_issuer,MATCH($G504,OFFSET(cr01_by_issuer,0,0,100,1),0),MATCH(IF(Report!K$493="6M",0.5,LEFT(Report!K$493,LEN(Report!K$493)-1)*1),OFFSET(cr01_by_issuer,0,0,1,50),0)),0))</f>
        <v>0</v>
      </c>
      <c r="L504" s="279">
        <f ca="1">IF(NOT(ISTEXT($G504)),"",IFERROR(INDEX(cr01_by_issuer,MATCH($G504,OFFSET(cr01_by_issuer,0,0,100,1),0),MATCH(IF(Report!L$493="6M",0.5,LEFT(Report!L$493,LEN(Report!L$493)-1)*1),OFFSET(cr01_by_issuer,0,0,1,50),0)),0))</f>
        <v>0</v>
      </c>
      <c r="M504" s="279">
        <f ca="1">IF(NOT(ISTEXT($G504)),"",IFERROR(INDEX(cr01_by_issuer,MATCH($G504,OFFSET(cr01_by_issuer,0,0,100,1),0),MATCH(IF(Report!M$493="6M",0.5,LEFT(Report!M$493,LEN(Report!M$493)-1)*1),OFFSET(cr01_by_issuer,0,0,1,50),0)),0))</f>
        <v>0</v>
      </c>
      <c r="N504" s="279">
        <f ca="1">IF(NOT(ISTEXT($G504)),"",IFERROR(INDEX(cr01_by_issuer,MATCH($G504,OFFSET(cr01_by_issuer,0,0,100,1),0),MATCH(IF(Report!N$493="6M",0.5,LEFT(Report!N$493,LEN(Report!N$493)-1)*1),OFFSET(cr01_by_issuer,0,0,1,50),0)),0))</f>
        <v>-251302.83864994749</v>
      </c>
      <c r="O504" s="279">
        <f ca="1">IF(NOT(ISTEXT($G504)),"",IFERROR(INDEX(cr01_by_issuer,MATCH($G504,OFFSET(cr01_by_issuer,0,0,100,1),0),MATCH(IF(Report!O$493="6M",0.5,LEFT(Report!O$493,LEN(Report!O$493)-1)*1),OFFSET(cr01_by_issuer,0,0,1,50),0)),0))</f>
        <v>0</v>
      </c>
      <c r="P504" s="280">
        <f ca="1">IF(NOT(ISTEXT($G504)),"",IFERROR(INDEX(cr01_by_issuer,MATCH($G504,OFFSET(cr01_by_issuer,0,0,100,1),0),MATCH(IF(Report!P$493="6M",0.5,LEFT(Report!P$493,LEN(Report!P$493)-1)*1),OFFSET(cr01_by_issuer,0,0,1,50),0)),0))</f>
        <v>0</v>
      </c>
      <c r="Q504" s="365">
        <f t="shared" ca="1" si="124"/>
        <v>1.5353391065797544</v>
      </c>
      <c r="R504" s="278">
        <f t="shared" ca="1" si="125"/>
        <v>-385835.07577376656</v>
      </c>
      <c r="S504" s="243">
        <f t="shared" ca="1" si="126"/>
        <v>-319281587.85229456</v>
      </c>
      <c r="T504" s="290">
        <f t="shared" ca="1" si="127"/>
        <v>-1.106628191491956</v>
      </c>
      <c r="AA504"/>
    </row>
    <row r="505" spans="5:27" s="311" customFormat="1" x14ac:dyDescent="0.25">
      <c r="E505" s="2"/>
      <c r="F505" s="3"/>
      <c r="G505" s="313" t="str">
        <f ca="1"/>
        <v>CMS Energy Corp</v>
      </c>
      <c r="H505" s="278">
        <f t="shared" ca="1" si="123"/>
        <v>4912.1572024926099</v>
      </c>
      <c r="I505" s="278">
        <f ca="1">IF(NOT(ISTEXT($G505)),"",IFERROR(INDEX(cr01_by_issuer,MATCH($G505,OFFSET(cr01_by_issuer,0,0,100,1),0),MATCH(IF(Report!I$493="6M",0.5,LEFT(Report!I$493,LEN(Report!I$493)-1)*1),OFFSET(cr01_by_issuer,0,0,1,50),0)),0))</f>
        <v>0</v>
      </c>
      <c r="J505" s="279">
        <f ca="1">IF(NOT(ISTEXT($G505)),"",IFERROR(INDEX(cr01_by_issuer,MATCH($G505,OFFSET(cr01_by_issuer,0,0,100,1),0),MATCH(IF(Report!J$493="6M",0.5,LEFT(Report!J$493,LEN(Report!J$493)-1)*1),OFFSET(cr01_by_issuer,0,0,1,50),0)),0))</f>
        <v>0</v>
      </c>
      <c r="K505" s="279">
        <f ca="1">IF(NOT(ISTEXT($G505)),"",IFERROR(INDEX(cr01_by_issuer,MATCH($G505,OFFSET(cr01_by_issuer,0,0,100,1),0),MATCH(IF(Report!K$493="6M",0.5,LEFT(Report!K$493,LEN(Report!K$493)-1)*1),OFFSET(cr01_by_issuer,0,0,1,50),0)),0))</f>
        <v>0</v>
      </c>
      <c r="L505" s="279">
        <f ca="1">IF(NOT(ISTEXT($G505)),"",IFERROR(INDEX(cr01_by_issuer,MATCH($G505,OFFSET(cr01_by_issuer,0,0,100,1),0),MATCH(IF(Report!L$493="6M",0.5,LEFT(Report!L$493,LEN(Report!L$493)-1)*1),OFFSET(cr01_by_issuer,0,0,1,50),0)),0))</f>
        <v>0</v>
      </c>
      <c r="M505" s="279">
        <f ca="1">IF(NOT(ISTEXT($G505)),"",IFERROR(INDEX(cr01_by_issuer,MATCH($G505,OFFSET(cr01_by_issuer,0,0,100,1),0),MATCH(IF(Report!M$493="6M",0.5,LEFT(Report!M$493,LEN(Report!M$493)-1)*1),OFFSET(cr01_by_issuer,0,0,1,50),0)),0))</f>
        <v>4912.1572024926099</v>
      </c>
      <c r="N505" s="279">
        <f ca="1">IF(NOT(ISTEXT($G505)),"",IFERROR(INDEX(cr01_by_issuer,MATCH($G505,OFFSET(cr01_by_issuer,0,0,100,1),0),MATCH(IF(Report!N$493="6M",0.5,LEFT(Report!N$493,LEN(Report!N$493)-1)*1),OFFSET(cr01_by_issuer,0,0,1,50),0)),0))</f>
        <v>0</v>
      </c>
      <c r="O505" s="279">
        <f ca="1">IF(NOT(ISTEXT($G505)),"",IFERROR(INDEX(cr01_by_issuer,MATCH($G505,OFFSET(cr01_by_issuer,0,0,100,1),0),MATCH(IF(Report!O$493="6M",0.5,LEFT(Report!O$493,LEN(Report!O$493)-1)*1),OFFSET(cr01_by_issuer,0,0,1,50),0)),0))</f>
        <v>0</v>
      </c>
      <c r="P505" s="280">
        <f ca="1">IF(NOT(ISTEXT($G505)),"",IFERROR(INDEX(cr01_by_issuer,MATCH($G505,OFFSET(cr01_by_issuer,0,0,100,1),0),MATCH(IF(Report!P$493="6M",0.5,LEFT(Report!P$493,LEN(Report!P$493)-1)*1),OFFSET(cr01_by_issuer,0,0,1,50),0)),0))</f>
        <v>0</v>
      </c>
      <c r="Q505" s="365">
        <f t="shared" ca="1" si="124"/>
        <v>0.8749090997322666</v>
      </c>
      <c r="R505" s="278">
        <f t="shared" ca="1" si="125"/>
        <v>4297.691035776179</v>
      </c>
      <c r="S505" s="243">
        <f t="shared" ca="1" si="126"/>
        <v>7528367.5770750949</v>
      </c>
      <c r="T505" s="290">
        <f t="shared" ca="1" si="127"/>
        <v>2.6093279768326042E-2</v>
      </c>
      <c r="AA505"/>
    </row>
    <row r="506" spans="5:27" s="311" customFormat="1" x14ac:dyDescent="0.25">
      <c r="E506" s="2"/>
      <c r="F506" s="3"/>
      <c r="G506" s="313" t="str">
        <f ca="1"/>
        <v>CSX Corp</v>
      </c>
      <c r="H506" s="278">
        <f t="shared" ca="1" si="123"/>
        <v>2491.2286427495701</v>
      </c>
      <c r="I506" s="278">
        <f ca="1">IF(NOT(ISTEXT($G506)),"",IFERROR(INDEX(cr01_by_issuer,MATCH($G506,OFFSET(cr01_by_issuer,0,0,100,1),0),MATCH(IF(Report!I$493="6M",0.5,LEFT(Report!I$493,LEN(Report!I$493)-1)*1),OFFSET(cr01_by_issuer,0,0,1,50),0)),0))</f>
        <v>0</v>
      </c>
      <c r="J506" s="279">
        <f ca="1">IF(NOT(ISTEXT($G506)),"",IFERROR(INDEX(cr01_by_issuer,MATCH($G506,OFFSET(cr01_by_issuer,0,0,100,1),0),MATCH(IF(Report!J$493="6M",0.5,LEFT(Report!J$493,LEN(Report!J$493)-1)*1),OFFSET(cr01_by_issuer,0,0,1,50),0)),0))</f>
        <v>0</v>
      </c>
      <c r="K506" s="279">
        <f ca="1">IF(NOT(ISTEXT($G506)),"",IFERROR(INDEX(cr01_by_issuer,MATCH($G506,OFFSET(cr01_by_issuer,0,0,100,1),0),MATCH(IF(Report!K$493="6M",0.5,LEFT(Report!K$493,LEN(Report!K$493)-1)*1),OFFSET(cr01_by_issuer,0,0,1,50),0)),0))</f>
        <v>0</v>
      </c>
      <c r="L506" s="279">
        <f ca="1">IF(NOT(ISTEXT($G506)),"",IFERROR(INDEX(cr01_by_issuer,MATCH($G506,OFFSET(cr01_by_issuer,0,0,100,1),0),MATCH(IF(Report!L$493="6M",0.5,LEFT(Report!L$493,LEN(Report!L$493)-1)*1),OFFSET(cr01_by_issuer,0,0,1,50),0)),0))</f>
        <v>0</v>
      </c>
      <c r="M506" s="279">
        <f ca="1">IF(NOT(ISTEXT($G506)),"",IFERROR(INDEX(cr01_by_issuer,MATCH($G506,OFFSET(cr01_by_issuer,0,0,100,1),0),MATCH(IF(Report!M$493="6M",0.5,LEFT(Report!M$493,LEN(Report!M$493)-1)*1),OFFSET(cr01_by_issuer,0,0,1,50),0)),0))</f>
        <v>0</v>
      </c>
      <c r="N506" s="279">
        <f ca="1">IF(NOT(ISTEXT($G506)),"",IFERROR(INDEX(cr01_by_issuer,MATCH($G506,OFFSET(cr01_by_issuer,0,0,100,1),0),MATCH(IF(Report!N$493="6M",0.5,LEFT(Report!N$493,LEN(Report!N$493)-1)*1),OFFSET(cr01_by_issuer,0,0,1,50),0)),0))</f>
        <v>2491.2286427495701</v>
      </c>
      <c r="O506" s="279">
        <f ca="1">IF(NOT(ISTEXT($G506)),"",IFERROR(INDEX(cr01_by_issuer,MATCH($G506,OFFSET(cr01_by_issuer,0,0,100,1),0),MATCH(IF(Report!O$493="6M",0.5,LEFT(Report!O$493,LEN(Report!O$493)-1)*1),OFFSET(cr01_by_issuer,0,0,1,50),0)),0))</f>
        <v>0</v>
      </c>
      <c r="P506" s="280">
        <f ca="1">IF(NOT(ISTEXT($G506)),"",IFERROR(INDEX(cr01_by_issuer,MATCH($G506,OFFSET(cr01_by_issuer,0,0,100,1),0),MATCH(IF(Report!P$493="6M",0.5,LEFT(Report!P$493,LEN(Report!P$493)-1)*1),OFFSET(cr01_by_issuer,0,0,1,50),0)),0))</f>
        <v>0</v>
      </c>
      <c r="Q506" s="365">
        <f t="shared" ca="1" si="124"/>
        <v>1.1807211555130332</v>
      </c>
      <c r="R506" s="278">
        <f t="shared" ca="1" si="125"/>
        <v>2941.4463617144379</v>
      </c>
      <c r="S506" s="243">
        <f t="shared" ca="1" si="126"/>
        <v>3159514.2267079959</v>
      </c>
      <c r="T506" s="290">
        <f t="shared" ca="1" si="127"/>
        <v>1.095085857663824E-2</v>
      </c>
      <c r="AA506"/>
    </row>
    <row r="507" spans="5:27" s="311" customFormat="1" x14ac:dyDescent="0.25">
      <c r="E507" s="2"/>
      <c r="F507" s="3"/>
      <c r="G507" s="313" t="str">
        <f ca="1"/>
        <v>Caterpillar Inc</v>
      </c>
      <c r="H507" s="278">
        <f t="shared" ca="1" si="123"/>
        <v>5218.6628976022594</v>
      </c>
      <c r="I507" s="278">
        <f ca="1">IF(NOT(ISTEXT($G507)),"",IFERROR(INDEX(cr01_by_issuer,MATCH($G507,OFFSET(cr01_by_issuer,0,0,100,1),0),MATCH(IF(Report!I$493="6M",0.5,LEFT(Report!I$493,LEN(Report!I$493)-1)*1),OFFSET(cr01_by_issuer,0,0,1,50),0)),0))</f>
        <v>0</v>
      </c>
      <c r="J507" s="279">
        <f ca="1">IF(NOT(ISTEXT($G507)),"",IFERROR(INDEX(cr01_by_issuer,MATCH($G507,OFFSET(cr01_by_issuer,0,0,100,1),0),MATCH(IF(Report!J$493="6M",0.5,LEFT(Report!J$493,LEN(Report!J$493)-1)*1),OFFSET(cr01_by_issuer,0,0,1,50),0)),0))</f>
        <v>0</v>
      </c>
      <c r="K507" s="279">
        <f ca="1">IF(NOT(ISTEXT($G507)),"",IFERROR(INDEX(cr01_by_issuer,MATCH($G507,OFFSET(cr01_by_issuer,0,0,100,1),0),MATCH(IF(Report!K$493="6M",0.5,LEFT(Report!K$493,LEN(Report!K$493)-1)*1),OFFSET(cr01_by_issuer,0,0,1,50),0)),0))</f>
        <v>0</v>
      </c>
      <c r="L507" s="279">
        <f ca="1">IF(NOT(ISTEXT($G507)),"",IFERROR(INDEX(cr01_by_issuer,MATCH($G507,OFFSET(cr01_by_issuer,0,0,100,1),0),MATCH(IF(Report!L$493="6M",0.5,LEFT(Report!L$493,LEN(Report!L$493)-1)*1),OFFSET(cr01_by_issuer,0,0,1,50),0)),0))</f>
        <v>0</v>
      </c>
      <c r="M507" s="279">
        <f ca="1">IF(NOT(ISTEXT($G507)),"",IFERROR(INDEX(cr01_by_issuer,MATCH($G507,OFFSET(cr01_by_issuer,0,0,100,1),0),MATCH(IF(Report!M$493="6M",0.5,LEFT(Report!M$493,LEN(Report!M$493)-1)*1),OFFSET(cr01_by_issuer,0,0,1,50),0)),0))</f>
        <v>0</v>
      </c>
      <c r="N507" s="279">
        <f ca="1">IF(NOT(ISTEXT($G507)),"",IFERROR(INDEX(cr01_by_issuer,MATCH($G507,OFFSET(cr01_by_issuer,0,0,100,1),0),MATCH(IF(Report!N$493="6M",0.5,LEFT(Report!N$493,LEN(Report!N$493)-1)*1),OFFSET(cr01_by_issuer,0,0,1,50),0)),0))</f>
        <v>-3444.62198612866</v>
      </c>
      <c r="O507" s="279">
        <f ca="1">IF(NOT(ISTEXT($G507)),"",IFERROR(INDEX(cr01_by_issuer,MATCH($G507,OFFSET(cr01_by_issuer,0,0,100,1),0),MATCH(IF(Report!O$493="6M",0.5,LEFT(Report!O$493,LEN(Report!O$493)-1)*1),OFFSET(cr01_by_issuer,0,0,1,50),0)),0))</f>
        <v>8663.2848837309193</v>
      </c>
      <c r="P507" s="280">
        <f ca="1">IF(NOT(ISTEXT($G507)),"",IFERROR(INDEX(cr01_by_issuer,MATCH($G507,OFFSET(cr01_by_issuer,0,0,100,1),0),MATCH(IF(Report!P$493="6M",0.5,LEFT(Report!P$493,LEN(Report!P$493)-1)*1),OFFSET(cr01_by_issuer,0,0,1,50),0)),0))</f>
        <v>0</v>
      </c>
      <c r="Q507" s="365">
        <f t="shared" ca="1" si="124"/>
        <v>1.5600853709241247</v>
      </c>
      <c r="R507" s="278">
        <f t="shared" ca="1" si="125"/>
        <v>8141.5596423337884</v>
      </c>
      <c r="S507" s="243">
        <f t="shared" ca="1" si="126"/>
        <v>4474742.7447481686</v>
      </c>
      <c r="T507" s="290">
        <f t="shared" ca="1" si="127"/>
        <v>1.5509433238296363E-2</v>
      </c>
      <c r="AA507"/>
    </row>
    <row r="508" spans="5:27" s="311" customFormat="1" x14ac:dyDescent="0.25">
      <c r="E508" s="2"/>
      <c r="F508" s="3"/>
      <c r="G508" s="313" t="str">
        <f ca="1"/>
        <v>CenturyLink Inc</v>
      </c>
      <c r="H508" s="278">
        <f t="shared" ca="1" si="123"/>
        <v>1892.24865004907</v>
      </c>
      <c r="I508" s="278">
        <f ca="1">IF(NOT(ISTEXT($G508)),"",IFERROR(INDEX(cr01_by_issuer,MATCH($G508,OFFSET(cr01_by_issuer,0,0,100,1),0),MATCH(IF(Report!I$493="6M",0.5,LEFT(Report!I$493,LEN(Report!I$493)-1)*1),OFFSET(cr01_by_issuer,0,0,1,50),0)),0))</f>
        <v>0</v>
      </c>
      <c r="J508" s="279">
        <f ca="1">IF(NOT(ISTEXT($G508)),"",IFERROR(INDEX(cr01_by_issuer,MATCH($G508,OFFSET(cr01_by_issuer,0,0,100,1),0),MATCH(IF(Report!J$493="6M",0.5,LEFT(Report!J$493,LEN(Report!J$493)-1)*1),OFFSET(cr01_by_issuer,0,0,1,50),0)),0))</f>
        <v>0</v>
      </c>
      <c r="K508" s="279">
        <f ca="1">IF(NOT(ISTEXT($G508)),"",IFERROR(INDEX(cr01_by_issuer,MATCH($G508,OFFSET(cr01_by_issuer,0,0,100,1),0),MATCH(IF(Report!K$493="6M",0.5,LEFT(Report!K$493,LEN(Report!K$493)-1)*1),OFFSET(cr01_by_issuer,0,0,1,50),0)),0))</f>
        <v>0</v>
      </c>
      <c r="L508" s="279">
        <f ca="1">IF(NOT(ISTEXT($G508)),"",IFERROR(INDEX(cr01_by_issuer,MATCH($G508,OFFSET(cr01_by_issuer,0,0,100,1),0),MATCH(IF(Report!L$493="6M",0.5,LEFT(Report!L$493,LEN(Report!L$493)-1)*1),OFFSET(cr01_by_issuer,0,0,1,50),0)),0))</f>
        <v>0</v>
      </c>
      <c r="M508" s="279">
        <f ca="1">IF(NOT(ISTEXT($G508)),"",IFERROR(INDEX(cr01_by_issuer,MATCH($G508,OFFSET(cr01_by_issuer,0,0,100,1),0),MATCH(IF(Report!M$493="6M",0.5,LEFT(Report!M$493,LEN(Report!M$493)-1)*1),OFFSET(cr01_by_issuer,0,0,1,50),0)),0))</f>
        <v>0</v>
      </c>
      <c r="N508" s="279">
        <f ca="1">IF(NOT(ISTEXT($G508)),"",IFERROR(INDEX(cr01_by_issuer,MATCH($G508,OFFSET(cr01_by_issuer,0,0,100,1),0),MATCH(IF(Report!N$493="6M",0.5,LEFT(Report!N$493,LEN(Report!N$493)-1)*1),OFFSET(cr01_by_issuer,0,0,1,50),0)),0))</f>
        <v>1892.24865004907</v>
      </c>
      <c r="O508" s="279">
        <f ca="1">IF(NOT(ISTEXT($G508)),"",IFERROR(INDEX(cr01_by_issuer,MATCH($G508,OFFSET(cr01_by_issuer,0,0,100,1),0),MATCH(IF(Report!O$493="6M",0.5,LEFT(Report!O$493,LEN(Report!O$493)-1)*1),OFFSET(cr01_by_issuer,0,0,1,50),0)),0))</f>
        <v>0</v>
      </c>
      <c r="P508" s="280">
        <f ca="1">IF(NOT(ISTEXT($G508)),"",IFERROR(INDEX(cr01_by_issuer,MATCH($G508,OFFSET(cr01_by_issuer,0,0,100,1),0),MATCH(IF(Report!P$493="6M",0.5,LEFT(Report!P$493,LEN(Report!P$493)-1)*1),OFFSET(cr01_by_issuer,0,0,1,50),0)),0))</f>
        <v>0</v>
      </c>
      <c r="Q508" s="365">
        <f t="shared" ca="1" si="124"/>
        <v>14.664730635834536</v>
      </c>
      <c r="R508" s="278">
        <f t="shared" ca="1" si="125"/>
        <v>27749.316748991139</v>
      </c>
      <c r="S508" s="243">
        <f t="shared" ca="1" si="126"/>
        <v>2652603.5783244148</v>
      </c>
      <c r="T508" s="290">
        <f t="shared" ca="1" si="127"/>
        <v>9.1939091144342122E-3</v>
      </c>
      <c r="AA508"/>
    </row>
    <row r="509" spans="5:27" s="311" customFormat="1" x14ac:dyDescent="0.25">
      <c r="E509" s="2"/>
      <c r="F509" s="3"/>
      <c r="G509" s="313" t="str">
        <f ca="1"/>
        <v>Conagra Brands Inc</v>
      </c>
      <c r="H509" s="278">
        <f t="shared" ca="1" si="123"/>
        <v>6837.3480350702393</v>
      </c>
      <c r="I509" s="278">
        <f ca="1">IF(NOT(ISTEXT($G509)),"",IFERROR(INDEX(cr01_by_issuer,MATCH($G509,OFFSET(cr01_by_issuer,0,0,100,1),0),MATCH(IF(Report!I$493="6M",0.5,LEFT(Report!I$493,LEN(Report!I$493)-1)*1),OFFSET(cr01_by_issuer,0,0,1,50),0)),0))</f>
        <v>0</v>
      </c>
      <c r="J509" s="279">
        <f ca="1">IF(NOT(ISTEXT($G509)),"",IFERROR(INDEX(cr01_by_issuer,MATCH($G509,OFFSET(cr01_by_issuer,0,0,100,1),0),MATCH(IF(Report!J$493="6M",0.5,LEFT(Report!J$493,LEN(Report!J$493)-1)*1),OFFSET(cr01_by_issuer,0,0,1,50),0)),0))</f>
        <v>0</v>
      </c>
      <c r="K509" s="279">
        <f ca="1">IF(NOT(ISTEXT($G509)),"",IFERROR(INDEX(cr01_by_issuer,MATCH($G509,OFFSET(cr01_by_issuer,0,0,100,1),0),MATCH(IF(Report!K$493="6M",0.5,LEFT(Report!K$493,LEN(Report!K$493)-1)*1),OFFSET(cr01_by_issuer,0,0,1,50),0)),0))</f>
        <v>0</v>
      </c>
      <c r="L509" s="279">
        <f ca="1">IF(NOT(ISTEXT($G509)),"",IFERROR(INDEX(cr01_by_issuer,MATCH($G509,OFFSET(cr01_by_issuer,0,0,100,1),0),MATCH(IF(Report!L$493="6M",0.5,LEFT(Report!L$493,LEN(Report!L$493)-1)*1),OFFSET(cr01_by_issuer,0,0,1,50),0)),0))</f>
        <v>0</v>
      </c>
      <c r="M509" s="279">
        <f ca="1">IF(NOT(ISTEXT($G509)),"",IFERROR(INDEX(cr01_by_issuer,MATCH($G509,OFFSET(cr01_by_issuer,0,0,100,1),0),MATCH(IF(Report!M$493="6M",0.5,LEFT(Report!M$493,LEN(Report!M$493)-1)*1),OFFSET(cr01_by_issuer,0,0,1,50),0)),0))</f>
        <v>0</v>
      </c>
      <c r="N509" s="279">
        <f ca="1">IF(NOT(ISTEXT($G509)),"",IFERROR(INDEX(cr01_by_issuer,MATCH($G509,OFFSET(cr01_by_issuer,0,0,100,1),0),MATCH(IF(Report!N$493="6M",0.5,LEFT(Report!N$493,LEN(Report!N$493)-1)*1),OFFSET(cr01_by_issuer,0,0,1,50),0)),0))</f>
        <v>2394.9346050311101</v>
      </c>
      <c r="O509" s="279">
        <f ca="1">IF(NOT(ISTEXT($G509)),"",IFERROR(INDEX(cr01_by_issuer,MATCH($G509,OFFSET(cr01_by_issuer,0,0,100,1),0),MATCH(IF(Report!O$493="6M",0.5,LEFT(Report!O$493,LEN(Report!O$493)-1)*1),OFFSET(cr01_by_issuer,0,0,1,50),0)),0))</f>
        <v>4442.4134300391297</v>
      </c>
      <c r="P509" s="280">
        <f ca="1">IF(NOT(ISTEXT($G509)),"",IFERROR(INDEX(cr01_by_issuer,MATCH($G509,OFFSET(cr01_by_issuer,0,0,100,1),0),MATCH(IF(Report!P$493="6M",0.5,LEFT(Report!P$493,LEN(Report!P$493)-1)*1),OFFSET(cr01_by_issuer,0,0,1,50),0)),0))</f>
        <v>0</v>
      </c>
      <c r="Q509" s="365">
        <f t="shared" ca="1" si="124"/>
        <v>2.1299514873949814</v>
      </c>
      <c r="R509" s="278">
        <f t="shared" ca="1" si="125"/>
        <v>14563.21961713501</v>
      </c>
      <c r="S509" s="243">
        <f t="shared" ca="1" si="126"/>
        <v>7598202.0679284781</v>
      </c>
      <c r="T509" s="290">
        <f t="shared" ca="1" si="127"/>
        <v>2.6335325721669873E-2</v>
      </c>
      <c r="AA509"/>
    </row>
    <row r="510" spans="5:27" s="411" customFormat="1" x14ac:dyDescent="0.25">
      <c r="E510" s="2"/>
      <c r="F510" s="3"/>
      <c r="G510" s="313" t="str">
        <f ca="1"/>
        <v>ConocoPhillips</v>
      </c>
      <c r="H510" s="278">
        <f t="shared" ref="H510:H565" ca="1" si="128">IF(NOT(ISTEXT($G510)),"",SUM(I510:P510))</f>
        <v>4617.2115253694401</v>
      </c>
      <c r="I510" s="278">
        <f ca="1">IF(NOT(ISTEXT($G510)),"",IFERROR(INDEX(cr01_by_issuer,MATCH($G510,OFFSET(cr01_by_issuer,0,0,100,1),0),MATCH(IF(Report!I$493="6M",0.5,LEFT(Report!I$493,LEN(Report!I$493)-1)*1),OFFSET(cr01_by_issuer,0,0,1,50),0)),0))</f>
        <v>0</v>
      </c>
      <c r="J510" s="279">
        <f ca="1">IF(NOT(ISTEXT($G510)),"",IFERROR(INDEX(cr01_by_issuer,MATCH($G510,OFFSET(cr01_by_issuer,0,0,100,1),0),MATCH(IF(Report!J$493="6M",0.5,LEFT(Report!J$493,LEN(Report!J$493)-1)*1),OFFSET(cr01_by_issuer,0,0,1,50),0)),0))</f>
        <v>0</v>
      </c>
      <c r="K510" s="279">
        <f ca="1">IF(NOT(ISTEXT($G510)),"",IFERROR(INDEX(cr01_by_issuer,MATCH($G510,OFFSET(cr01_by_issuer,0,0,100,1),0),MATCH(IF(Report!K$493="6M",0.5,LEFT(Report!K$493,LEN(Report!K$493)-1)*1),OFFSET(cr01_by_issuer,0,0,1,50),0)),0))</f>
        <v>0</v>
      </c>
      <c r="L510" s="279">
        <f ca="1">IF(NOT(ISTEXT($G510)),"",IFERROR(INDEX(cr01_by_issuer,MATCH($G510,OFFSET(cr01_by_issuer,0,0,100,1),0),MATCH(IF(Report!L$493="6M",0.5,LEFT(Report!L$493,LEN(Report!L$493)-1)*1),OFFSET(cr01_by_issuer,0,0,1,50),0)),0))</f>
        <v>0</v>
      </c>
      <c r="M510" s="279">
        <f ca="1">IF(NOT(ISTEXT($G510)),"",IFERROR(INDEX(cr01_by_issuer,MATCH($G510,OFFSET(cr01_by_issuer,0,0,100,1),0),MATCH(IF(Report!M$493="6M",0.5,LEFT(Report!M$493,LEN(Report!M$493)-1)*1),OFFSET(cr01_by_issuer,0,0,1,50),0)),0))</f>
        <v>0</v>
      </c>
      <c r="N510" s="279">
        <f ca="1">IF(NOT(ISTEXT($G510)),"",IFERROR(INDEX(cr01_by_issuer,MATCH($G510,OFFSET(cr01_by_issuer,0,0,100,1),0),MATCH(IF(Report!N$493="6M",0.5,LEFT(Report!N$493,LEN(Report!N$493)-1)*1),OFFSET(cr01_by_issuer,0,0,1,50),0)),0))</f>
        <v>4617.2115253694401</v>
      </c>
      <c r="O510" s="279">
        <f ca="1">IF(NOT(ISTEXT($G510)),"",IFERROR(INDEX(cr01_by_issuer,MATCH($G510,OFFSET(cr01_by_issuer,0,0,100,1),0),MATCH(IF(Report!O$493="6M",0.5,LEFT(Report!O$493,LEN(Report!O$493)-1)*1),OFFSET(cr01_by_issuer,0,0,1,50),0)),0))</f>
        <v>0</v>
      </c>
      <c r="P510" s="280">
        <f ca="1">IF(NOT(ISTEXT($G510)),"",IFERROR(INDEX(cr01_by_issuer,MATCH($G510,OFFSET(cr01_by_issuer,0,0,100,1),0),MATCH(IF(Report!P$493="6M",0.5,LEFT(Report!P$493,LEN(Report!P$493)-1)*1),OFFSET(cr01_by_issuer,0,0,1,50),0)),0))</f>
        <v>0</v>
      </c>
      <c r="Q510" s="365">
        <f t="shared" ref="Q510:Q565" ca="1" si="129">IF(NOT(ISTEXT(G510)),"",INDEX(OFFSET(vol_adj_cr01,0,1,100,1),MATCH(G510,OFFSET(vol_adj_cr01,0,0,100,1),0),1))</f>
        <v>2.2655930427855253</v>
      </c>
      <c r="R510" s="278">
        <f t="shared" ref="R510:R565" ca="1" si="130">IF(NOT(ISTEXT(G510)),"",INDEX(OFFSET(vol_adj_cr01,0,3,100,1),MATCH(G510,OFFSET(vol_adj_cr01,0,0,100,1),0),1))</f>
        <v>10460.722308946146</v>
      </c>
      <c r="S510" s="243">
        <f t="shared" ref="S510:S565" ca="1" si="131">IF(NOT(ISTEXT($G510)),"",IFERROR(VLOOKUP(G510,jtd_by_issuer,2,FALSE),0))</f>
        <v>5860060.6232093731</v>
      </c>
      <c r="T510" s="290">
        <f t="shared" ref="T510:T565" ca="1" si="132">IF(NOT(ISTEXT($G510)),"",IFERROR(S510/Nav,0))</f>
        <v>2.0310937229789303E-2</v>
      </c>
      <c r="AA510"/>
    </row>
    <row r="511" spans="5:27" s="411" customFormat="1" x14ac:dyDescent="0.25">
      <c r="E511" s="2"/>
      <c r="F511" s="3"/>
      <c r="G511" s="313" t="str">
        <f ca="1"/>
        <v>Deere &amp; Co</v>
      </c>
      <c r="H511" s="278">
        <f t="shared" ca="1" si="128"/>
        <v>10201.304791648001</v>
      </c>
      <c r="I511" s="278">
        <f ca="1">IF(NOT(ISTEXT($G511)),"",IFERROR(INDEX(cr01_by_issuer,MATCH($G511,OFFSET(cr01_by_issuer,0,0,100,1),0),MATCH(IF(Report!I$493="6M",0.5,LEFT(Report!I$493,LEN(Report!I$493)-1)*1),OFFSET(cr01_by_issuer,0,0,1,50),0)),0))</f>
        <v>0</v>
      </c>
      <c r="J511" s="279">
        <f ca="1">IF(NOT(ISTEXT($G511)),"",IFERROR(INDEX(cr01_by_issuer,MATCH($G511,OFFSET(cr01_by_issuer,0,0,100,1),0),MATCH(IF(Report!J$493="6M",0.5,LEFT(Report!J$493,LEN(Report!J$493)-1)*1),OFFSET(cr01_by_issuer,0,0,1,50),0)),0))</f>
        <v>0</v>
      </c>
      <c r="K511" s="279">
        <f ca="1">IF(NOT(ISTEXT($G511)),"",IFERROR(INDEX(cr01_by_issuer,MATCH($G511,OFFSET(cr01_by_issuer,0,0,100,1),0),MATCH(IF(Report!K$493="6M",0.5,LEFT(Report!K$493,LEN(Report!K$493)-1)*1),OFFSET(cr01_by_issuer,0,0,1,50),0)),0))</f>
        <v>0</v>
      </c>
      <c r="L511" s="279">
        <f ca="1">IF(NOT(ISTEXT($G511)),"",IFERROR(INDEX(cr01_by_issuer,MATCH($G511,OFFSET(cr01_by_issuer,0,0,100,1),0),MATCH(IF(Report!L$493="6M",0.5,LEFT(Report!L$493,LEN(Report!L$493)-1)*1),OFFSET(cr01_by_issuer,0,0,1,50),0)),0))</f>
        <v>0</v>
      </c>
      <c r="M511" s="279">
        <f ca="1">IF(NOT(ISTEXT($G511)),"",IFERROR(INDEX(cr01_by_issuer,MATCH($G511,OFFSET(cr01_by_issuer,0,0,100,1),0),MATCH(IF(Report!M$493="6M",0.5,LEFT(Report!M$493,LEN(Report!M$493)-1)*1),OFFSET(cr01_by_issuer,0,0,1,50),0)),0))</f>
        <v>0</v>
      </c>
      <c r="N511" s="279">
        <f ca="1">IF(NOT(ISTEXT($G511)),"",IFERROR(INDEX(cr01_by_issuer,MATCH($G511,OFFSET(cr01_by_issuer,0,0,100,1),0),MATCH(IF(Report!N$493="6M",0.5,LEFT(Report!N$493,LEN(Report!N$493)-1)*1),OFFSET(cr01_by_issuer,0,0,1,50),0)),0))</f>
        <v>0</v>
      </c>
      <c r="O511" s="279">
        <f ca="1">IF(NOT(ISTEXT($G511)),"",IFERROR(INDEX(cr01_by_issuer,MATCH($G511,OFFSET(cr01_by_issuer,0,0,100,1),0),MATCH(IF(Report!O$493="6M",0.5,LEFT(Report!O$493,LEN(Report!O$493)-1)*1),OFFSET(cr01_by_issuer,0,0,1,50),0)),0))</f>
        <v>10201.304791648001</v>
      </c>
      <c r="P511" s="280">
        <f ca="1">IF(NOT(ISTEXT($G511)),"",IFERROR(INDEX(cr01_by_issuer,MATCH($G511,OFFSET(cr01_by_issuer,0,0,100,1),0),MATCH(IF(Report!P$493="6M",0.5,LEFT(Report!P$493,LEN(Report!P$493)-1)*1),OFFSET(cr01_by_issuer,0,0,1,50),0)),0))</f>
        <v>0</v>
      </c>
      <c r="Q511" s="365">
        <f t="shared" ca="1" si="129"/>
        <v>1.7971321895210433</v>
      </c>
      <c r="R511" s="278">
        <f t="shared" ca="1" si="130"/>
        <v>18333.093216185884</v>
      </c>
      <c r="S511" s="243">
        <f t="shared" ca="1" si="131"/>
        <v>10415836.493183348</v>
      </c>
      <c r="T511" s="290">
        <f t="shared" ca="1" si="132"/>
        <v>3.6101230825310714E-2</v>
      </c>
      <c r="AA511"/>
    </row>
    <row r="512" spans="5:27" s="411" customFormat="1" x14ac:dyDescent="0.25">
      <c r="E512" s="2"/>
      <c r="F512" s="3"/>
      <c r="G512" s="313" t="str">
        <f ca="1"/>
        <v>Domtar Corp</v>
      </c>
      <c r="H512" s="278">
        <f t="shared" ca="1" si="128"/>
        <v>4428.7312887935996</v>
      </c>
      <c r="I512" s="278">
        <f ca="1">IF(NOT(ISTEXT($G512)),"",IFERROR(INDEX(cr01_by_issuer,MATCH($G512,OFFSET(cr01_by_issuer,0,0,100,1),0),MATCH(IF(Report!I$493="6M",0.5,LEFT(Report!I$493,LEN(Report!I$493)-1)*1),OFFSET(cr01_by_issuer,0,0,1,50),0)),0))</f>
        <v>0</v>
      </c>
      <c r="J512" s="279">
        <f ca="1">IF(NOT(ISTEXT($G512)),"",IFERROR(INDEX(cr01_by_issuer,MATCH($G512,OFFSET(cr01_by_issuer,0,0,100,1),0),MATCH(IF(Report!J$493="6M",0.5,LEFT(Report!J$493,LEN(Report!J$493)-1)*1),OFFSET(cr01_by_issuer,0,0,1,50),0)),0))</f>
        <v>0</v>
      </c>
      <c r="K512" s="279">
        <f ca="1">IF(NOT(ISTEXT($G512)),"",IFERROR(INDEX(cr01_by_issuer,MATCH($G512,OFFSET(cr01_by_issuer,0,0,100,1),0),MATCH(IF(Report!K$493="6M",0.5,LEFT(Report!K$493,LEN(Report!K$493)-1)*1),OFFSET(cr01_by_issuer,0,0,1,50),0)),0))</f>
        <v>0</v>
      </c>
      <c r="L512" s="279">
        <f ca="1">IF(NOT(ISTEXT($G512)),"",IFERROR(INDEX(cr01_by_issuer,MATCH($G512,OFFSET(cr01_by_issuer,0,0,100,1),0),MATCH(IF(Report!L$493="6M",0.5,LEFT(Report!L$493,LEN(Report!L$493)-1)*1),OFFSET(cr01_by_issuer,0,0,1,50),0)),0))</f>
        <v>0</v>
      </c>
      <c r="M512" s="279">
        <f ca="1">IF(NOT(ISTEXT($G512)),"",IFERROR(INDEX(cr01_by_issuer,MATCH($G512,OFFSET(cr01_by_issuer,0,0,100,1),0),MATCH(IF(Report!M$493="6M",0.5,LEFT(Report!M$493,LEN(Report!M$493)-1)*1),OFFSET(cr01_by_issuer,0,0,1,50),0)),0))</f>
        <v>0</v>
      </c>
      <c r="N512" s="279">
        <f ca="1">IF(NOT(ISTEXT($G512)),"",IFERROR(INDEX(cr01_by_issuer,MATCH($G512,OFFSET(cr01_by_issuer,0,0,100,1),0),MATCH(IF(Report!N$493="6M",0.5,LEFT(Report!N$493,LEN(Report!N$493)-1)*1),OFFSET(cr01_by_issuer,0,0,1,50),0)),0))</f>
        <v>4428.7312887935996</v>
      </c>
      <c r="O512" s="279">
        <f ca="1">IF(NOT(ISTEXT($G512)),"",IFERROR(INDEX(cr01_by_issuer,MATCH($G512,OFFSET(cr01_by_issuer,0,0,100,1),0),MATCH(IF(Report!O$493="6M",0.5,LEFT(Report!O$493,LEN(Report!O$493)-1)*1),OFFSET(cr01_by_issuer,0,0,1,50),0)),0))</f>
        <v>0</v>
      </c>
      <c r="P512" s="280">
        <f ca="1">IF(NOT(ISTEXT($G512)),"",IFERROR(INDEX(cr01_by_issuer,MATCH($G512,OFFSET(cr01_by_issuer,0,0,100,1),0),MATCH(IF(Report!P$493="6M",0.5,LEFT(Report!P$493,LEN(Report!P$493)-1)*1),OFFSET(cr01_by_issuer,0,0,1,50),0)),0))</f>
        <v>0</v>
      </c>
      <c r="Q512" s="365">
        <f t="shared" ca="1" si="129"/>
        <v>3.0661615904727499</v>
      </c>
      <c r="R512" s="278">
        <f t="shared" ca="1" si="130"/>
        <v>13579.205772223815</v>
      </c>
      <c r="S512" s="243">
        <f t="shared" ca="1" si="131"/>
        <v>5640721.2355192984</v>
      </c>
      <c r="T512" s="290">
        <f t="shared" ca="1" si="132"/>
        <v>1.9550708143122677E-2</v>
      </c>
      <c r="AA512"/>
    </row>
    <row r="513" spans="5:27" s="411" customFormat="1" x14ac:dyDescent="0.25">
      <c r="E513" s="2"/>
      <c r="F513" s="3"/>
      <c r="G513" s="313" t="str">
        <f ca="1"/>
        <v>ERP Operating LP</v>
      </c>
      <c r="H513" s="278">
        <f t="shared" ca="1" si="128"/>
        <v>10715.675966822142</v>
      </c>
      <c r="I513" s="278">
        <f ca="1">IF(NOT(ISTEXT($G513)),"",IFERROR(INDEX(cr01_by_issuer,MATCH($G513,OFFSET(cr01_by_issuer,0,0,100,1),0),MATCH(IF(Report!I$493="6M",0.5,LEFT(Report!I$493,LEN(Report!I$493)-1)*1),OFFSET(cr01_by_issuer,0,0,1,50),0)),0))</f>
        <v>0</v>
      </c>
      <c r="J513" s="279">
        <f ca="1">IF(NOT(ISTEXT($G513)),"",IFERROR(INDEX(cr01_by_issuer,MATCH($G513,OFFSET(cr01_by_issuer,0,0,100,1),0),MATCH(IF(Report!J$493="6M",0.5,LEFT(Report!J$493,LEN(Report!J$493)-1)*1),OFFSET(cr01_by_issuer,0,0,1,50),0)),0))</f>
        <v>0</v>
      </c>
      <c r="K513" s="279">
        <f ca="1">IF(NOT(ISTEXT($G513)),"",IFERROR(INDEX(cr01_by_issuer,MATCH($G513,OFFSET(cr01_by_issuer,0,0,100,1),0),MATCH(IF(Report!K$493="6M",0.5,LEFT(Report!K$493,LEN(Report!K$493)-1)*1),OFFSET(cr01_by_issuer,0,0,1,50),0)),0))</f>
        <v>0</v>
      </c>
      <c r="L513" s="279">
        <f ca="1">IF(NOT(ISTEXT($G513)),"",IFERROR(INDEX(cr01_by_issuer,MATCH($G513,OFFSET(cr01_by_issuer,0,0,100,1),0),MATCH(IF(Report!L$493="6M",0.5,LEFT(Report!L$493,LEN(Report!L$493)-1)*1),OFFSET(cr01_by_issuer,0,0,1,50),0)),0))</f>
        <v>0</v>
      </c>
      <c r="M513" s="279">
        <f ca="1">IF(NOT(ISTEXT($G513)),"",IFERROR(INDEX(cr01_by_issuer,MATCH($G513,OFFSET(cr01_by_issuer,0,0,100,1),0),MATCH(IF(Report!M$493="6M",0.5,LEFT(Report!M$493,LEN(Report!M$493)-1)*1),OFFSET(cr01_by_issuer,0,0,1,50),0)),0))</f>
        <v>0</v>
      </c>
      <c r="N513" s="279">
        <f ca="1">IF(NOT(ISTEXT($G513)),"",IFERROR(INDEX(cr01_by_issuer,MATCH($G513,OFFSET(cr01_by_issuer,0,0,100,1),0),MATCH(IF(Report!N$493="6M",0.5,LEFT(Report!N$493,LEN(Report!N$493)-1)*1),OFFSET(cr01_by_issuer,0,0,1,50),0)),0))</f>
        <v>6283.8399879941107</v>
      </c>
      <c r="O513" s="279">
        <f ca="1">IF(NOT(ISTEXT($G513)),"",IFERROR(INDEX(cr01_by_issuer,MATCH($G513,OFFSET(cr01_by_issuer,0,0,100,1),0),MATCH(IF(Report!O$493="6M",0.5,LEFT(Report!O$493,LEN(Report!O$493)-1)*1),OFFSET(cr01_by_issuer,0,0,1,50),0)),0))</f>
        <v>4431.8359788280304</v>
      </c>
      <c r="P513" s="280">
        <f ca="1">IF(NOT(ISTEXT($G513)),"",IFERROR(INDEX(cr01_by_issuer,MATCH($G513,OFFSET(cr01_by_issuer,0,0,100,1),0),MATCH(IF(Report!P$493="6M",0.5,LEFT(Report!P$493,LEN(Report!P$493)-1)*1),OFFSET(cr01_by_issuer,0,0,1,50),0)),0))</f>
        <v>0</v>
      </c>
      <c r="Q513" s="365">
        <f t="shared" ca="1" si="129"/>
        <v>1.2829621666197832</v>
      </c>
      <c r="R513" s="278">
        <f t="shared" ca="1" si="130"/>
        <v>13747.806855189676</v>
      </c>
      <c r="S513" s="243">
        <f t="shared" ca="1" si="131"/>
        <v>11404055.899652876</v>
      </c>
      <c r="T513" s="290">
        <f t="shared" ca="1" si="132"/>
        <v>3.9526393741640679E-2</v>
      </c>
      <c r="AA513"/>
    </row>
    <row r="514" spans="5:27" s="411" customFormat="1" x14ac:dyDescent="0.25">
      <c r="E514" s="2"/>
      <c r="F514" s="3"/>
      <c r="G514" s="313" t="str">
        <f ca="1"/>
        <v>Eastman Chemical Co</v>
      </c>
      <c r="H514" s="278">
        <f t="shared" ca="1" si="128"/>
        <v>1051.8214699520095</v>
      </c>
      <c r="I514" s="278">
        <f ca="1">IF(NOT(ISTEXT($G514)),"",IFERROR(INDEX(cr01_by_issuer,MATCH($G514,OFFSET(cr01_by_issuer,0,0,100,1),0),MATCH(IF(Report!I$493="6M",0.5,LEFT(Report!I$493,LEN(Report!I$493)-1)*1),OFFSET(cr01_by_issuer,0,0,1,50),0)),0))</f>
        <v>0</v>
      </c>
      <c r="J514" s="279">
        <f ca="1">IF(NOT(ISTEXT($G514)),"",IFERROR(INDEX(cr01_by_issuer,MATCH($G514,OFFSET(cr01_by_issuer,0,0,100,1),0),MATCH(IF(Report!J$493="6M",0.5,LEFT(Report!J$493,LEN(Report!J$493)-1)*1),OFFSET(cr01_by_issuer,0,0,1,50),0)),0))</f>
        <v>0</v>
      </c>
      <c r="K514" s="279">
        <f ca="1">IF(NOT(ISTEXT($G514)),"",IFERROR(INDEX(cr01_by_issuer,MATCH($G514,OFFSET(cr01_by_issuer,0,0,100,1),0),MATCH(IF(Report!K$493="6M",0.5,LEFT(Report!K$493,LEN(Report!K$493)-1)*1),OFFSET(cr01_by_issuer,0,0,1,50),0)),0))</f>
        <v>0</v>
      </c>
      <c r="L514" s="279">
        <f ca="1">IF(NOT(ISTEXT($G514)),"",IFERROR(INDEX(cr01_by_issuer,MATCH($G514,OFFSET(cr01_by_issuer,0,0,100,1),0),MATCH(IF(Report!L$493="6M",0.5,LEFT(Report!L$493,LEN(Report!L$493)-1)*1),OFFSET(cr01_by_issuer,0,0,1,50),0)),0))</f>
        <v>0</v>
      </c>
      <c r="M514" s="279">
        <f ca="1">IF(NOT(ISTEXT($G514)),"",IFERROR(INDEX(cr01_by_issuer,MATCH($G514,OFFSET(cr01_by_issuer,0,0,100,1),0),MATCH(IF(Report!M$493="6M",0.5,LEFT(Report!M$493,LEN(Report!M$493)-1)*1),OFFSET(cr01_by_issuer,0,0,1,50),0)),0))</f>
        <v>0</v>
      </c>
      <c r="N514" s="279">
        <f ca="1">IF(NOT(ISTEXT($G514)),"",IFERROR(INDEX(cr01_by_issuer,MATCH($G514,OFFSET(cr01_by_issuer,0,0,100,1),0),MATCH(IF(Report!N$493="6M",0.5,LEFT(Report!N$493,LEN(Report!N$493)-1)*1),OFFSET(cr01_by_issuer,0,0,1,50),0)),0))</f>
        <v>-3351.9429953649505</v>
      </c>
      <c r="O514" s="279">
        <f ca="1">IF(NOT(ISTEXT($G514)),"",IFERROR(INDEX(cr01_by_issuer,MATCH($G514,OFFSET(cr01_by_issuer,0,0,100,1),0),MATCH(IF(Report!O$493="6M",0.5,LEFT(Report!O$493,LEN(Report!O$493)-1)*1),OFFSET(cr01_by_issuer,0,0,1,50),0)),0))</f>
        <v>4403.76446531696</v>
      </c>
      <c r="P514" s="280">
        <f ca="1">IF(NOT(ISTEXT($G514)),"",IFERROR(INDEX(cr01_by_issuer,MATCH($G514,OFFSET(cr01_by_issuer,0,0,100,1),0),MATCH(IF(Report!P$493="6M",0.5,LEFT(Report!P$493,LEN(Report!P$493)-1)*1),OFFSET(cr01_by_issuer,0,0,1,50),0)),0))</f>
        <v>0</v>
      </c>
      <c r="Q514" s="365">
        <f t="shared" ca="1" si="129"/>
        <v>1.6704781555395101</v>
      </c>
      <c r="R514" s="278">
        <f t="shared" ca="1" si="130"/>
        <v>1757.0447890822891</v>
      </c>
      <c r="S514" s="243">
        <f t="shared" ca="1" si="131"/>
        <v>-65167.556173851714</v>
      </c>
      <c r="T514" s="290">
        <f t="shared" ca="1" si="132"/>
        <v>-2.2587038393827538E-4</v>
      </c>
      <c r="AA514"/>
    </row>
    <row r="515" spans="5:27" s="411" customFormat="1" x14ac:dyDescent="0.25">
      <c r="E515" s="2"/>
      <c r="F515" s="3"/>
      <c r="G515" s="313" t="str">
        <f ca="1"/>
        <v>Expedia Group Inc</v>
      </c>
      <c r="H515" s="278">
        <f t="shared" ca="1" si="128"/>
        <v>6091.5112754660186</v>
      </c>
      <c r="I515" s="278">
        <f ca="1">IF(NOT(ISTEXT($G515)),"",IFERROR(INDEX(cr01_by_issuer,MATCH($G515,OFFSET(cr01_by_issuer,0,0,100,1),0),MATCH(IF(Report!I$493="6M",0.5,LEFT(Report!I$493,LEN(Report!I$493)-1)*1),OFFSET(cr01_by_issuer,0,0,1,50),0)),0))</f>
        <v>0</v>
      </c>
      <c r="J515" s="279">
        <f ca="1">IF(NOT(ISTEXT($G515)),"",IFERROR(INDEX(cr01_by_issuer,MATCH($G515,OFFSET(cr01_by_issuer,0,0,100,1),0),MATCH(IF(Report!J$493="6M",0.5,LEFT(Report!J$493,LEN(Report!J$493)-1)*1),OFFSET(cr01_by_issuer,0,0,1,50),0)),0))</f>
        <v>0</v>
      </c>
      <c r="K515" s="279">
        <f ca="1">IF(NOT(ISTEXT($G515)),"",IFERROR(INDEX(cr01_by_issuer,MATCH($G515,OFFSET(cr01_by_issuer,0,0,100,1),0),MATCH(IF(Report!K$493="6M",0.5,LEFT(Report!K$493,LEN(Report!K$493)-1)*1),OFFSET(cr01_by_issuer,0,0,1,50),0)),0))</f>
        <v>0</v>
      </c>
      <c r="L515" s="279">
        <f ca="1">IF(NOT(ISTEXT($G515)),"",IFERROR(INDEX(cr01_by_issuer,MATCH($G515,OFFSET(cr01_by_issuer,0,0,100,1),0),MATCH(IF(Report!L$493="6M",0.5,LEFT(Report!L$493,LEN(Report!L$493)-1)*1),OFFSET(cr01_by_issuer,0,0,1,50),0)),0))</f>
        <v>0</v>
      </c>
      <c r="M515" s="279">
        <f ca="1">IF(NOT(ISTEXT($G515)),"",IFERROR(INDEX(cr01_by_issuer,MATCH($G515,OFFSET(cr01_by_issuer,0,0,100,1),0),MATCH(IF(Report!M$493="6M",0.5,LEFT(Report!M$493,LEN(Report!M$493)-1)*1),OFFSET(cr01_by_issuer,0,0,1,50),0)),0))</f>
        <v>0</v>
      </c>
      <c r="N515" s="279">
        <f ca="1">IF(NOT(ISTEXT($G515)),"",IFERROR(INDEX(cr01_by_issuer,MATCH($G515,OFFSET(cr01_by_issuer,0,0,100,1),0),MATCH(IF(Report!N$493="6M",0.5,LEFT(Report!N$493,LEN(Report!N$493)-1)*1),OFFSET(cr01_by_issuer,0,0,1,50),0)),0))</f>
        <v>-473.65783658785102</v>
      </c>
      <c r="O515" s="279">
        <f ca="1">IF(NOT(ISTEXT($G515)),"",IFERROR(INDEX(cr01_by_issuer,MATCH($G515,OFFSET(cr01_by_issuer,0,0,100,1),0),MATCH(IF(Report!O$493="6M",0.5,LEFT(Report!O$493,LEN(Report!O$493)-1)*1),OFFSET(cr01_by_issuer,0,0,1,50),0)),0))</f>
        <v>6565.1691120538699</v>
      </c>
      <c r="P515" s="280">
        <f ca="1">IF(NOT(ISTEXT($G515)),"",IFERROR(INDEX(cr01_by_issuer,MATCH($G515,OFFSET(cr01_by_issuer,0,0,100,1),0),MATCH(IF(Report!P$493="6M",0.5,LEFT(Report!P$493,LEN(Report!P$493)-1)*1),OFFSET(cr01_by_issuer,0,0,1,50),0)),0))</f>
        <v>0</v>
      </c>
      <c r="Q515" s="365">
        <f t="shared" ca="1" si="129"/>
        <v>3.6568795802900986</v>
      </c>
      <c r="R515" s="278">
        <f t="shared" ca="1" si="130"/>
        <v>22275.923196358577</v>
      </c>
      <c r="S515" s="243">
        <f t="shared" ca="1" si="131"/>
        <v>6138344.9996908084</v>
      </c>
      <c r="T515" s="290">
        <f t="shared" ca="1" si="132"/>
        <v>2.1275469316771354E-2</v>
      </c>
      <c r="AA515"/>
    </row>
    <row r="516" spans="5:27" s="411" customFormat="1" x14ac:dyDescent="0.25">
      <c r="E516" s="2"/>
      <c r="F516" s="3"/>
      <c r="G516" s="313" t="str">
        <f ca="1"/>
        <v>First Data Corp</v>
      </c>
      <c r="H516" s="278">
        <f t="shared" ca="1" si="128"/>
        <v>8369.3364474739192</v>
      </c>
      <c r="I516" s="278">
        <f ca="1">IF(NOT(ISTEXT($G516)),"",IFERROR(INDEX(cr01_by_issuer,MATCH($G516,OFFSET(cr01_by_issuer,0,0,100,1),0),MATCH(IF(Report!I$493="6M",0.5,LEFT(Report!I$493,LEN(Report!I$493)-1)*1),OFFSET(cr01_by_issuer,0,0,1,50),0)),0))</f>
        <v>0</v>
      </c>
      <c r="J516" s="279">
        <f ca="1">IF(NOT(ISTEXT($G516)),"",IFERROR(INDEX(cr01_by_issuer,MATCH($G516,OFFSET(cr01_by_issuer,0,0,100,1),0),MATCH(IF(Report!J$493="6M",0.5,LEFT(Report!J$493,LEN(Report!J$493)-1)*1),OFFSET(cr01_by_issuer,0,0,1,50),0)),0))</f>
        <v>0</v>
      </c>
      <c r="K516" s="279">
        <f ca="1">IF(NOT(ISTEXT($G516)),"",IFERROR(INDEX(cr01_by_issuer,MATCH($G516,OFFSET(cr01_by_issuer,0,0,100,1),0),MATCH(IF(Report!K$493="6M",0.5,LEFT(Report!K$493,LEN(Report!K$493)-1)*1),OFFSET(cr01_by_issuer,0,0,1,50),0)),0))</f>
        <v>0</v>
      </c>
      <c r="L516" s="279">
        <f ca="1">IF(NOT(ISTEXT($G516)),"",IFERROR(INDEX(cr01_by_issuer,MATCH($G516,OFFSET(cr01_by_issuer,0,0,100,1),0),MATCH(IF(Report!L$493="6M",0.5,LEFT(Report!L$493,LEN(Report!L$493)-1)*1),OFFSET(cr01_by_issuer,0,0,1,50),0)),0))</f>
        <v>0</v>
      </c>
      <c r="M516" s="279">
        <f ca="1">IF(NOT(ISTEXT($G516)),"",IFERROR(INDEX(cr01_by_issuer,MATCH($G516,OFFSET(cr01_by_issuer,0,0,100,1),0),MATCH(IF(Report!M$493="6M",0.5,LEFT(Report!M$493,LEN(Report!M$493)-1)*1),OFFSET(cr01_by_issuer,0,0,1,50),0)),0))</f>
        <v>0</v>
      </c>
      <c r="N516" s="279">
        <f ca="1">IF(NOT(ISTEXT($G516)),"",IFERROR(INDEX(cr01_by_issuer,MATCH($G516,OFFSET(cr01_by_issuer,0,0,100,1),0),MATCH(IF(Report!N$493="6M",0.5,LEFT(Report!N$493,LEN(Report!N$493)-1)*1),OFFSET(cr01_by_issuer,0,0,1,50),0)),0))</f>
        <v>8369.3364474739192</v>
      </c>
      <c r="O516" s="279">
        <f ca="1">IF(NOT(ISTEXT($G516)),"",IFERROR(INDEX(cr01_by_issuer,MATCH($G516,OFFSET(cr01_by_issuer,0,0,100,1),0),MATCH(IF(Report!O$493="6M",0.5,LEFT(Report!O$493,LEN(Report!O$493)-1)*1),OFFSET(cr01_by_issuer,0,0,1,50),0)),0))</f>
        <v>0</v>
      </c>
      <c r="P516" s="280">
        <f ca="1">IF(NOT(ISTEXT($G516)),"",IFERROR(INDEX(cr01_by_issuer,MATCH($G516,OFFSET(cr01_by_issuer,0,0,100,1),0),MATCH(IF(Report!P$493="6M",0.5,LEFT(Report!P$493,LEN(Report!P$493)-1)*1),OFFSET(cr01_by_issuer,0,0,1,50),0)),0))</f>
        <v>0</v>
      </c>
      <c r="Q516" s="365">
        <f t="shared" ca="1" si="129"/>
        <v>4.8190576017631539</v>
      </c>
      <c r="R516" s="278">
        <f t="shared" ca="1" si="130"/>
        <v>40332.314428912621</v>
      </c>
      <c r="S516" s="243">
        <f t="shared" ca="1" si="131"/>
        <v>12043634.32353243</v>
      </c>
      <c r="T516" s="290">
        <f t="shared" ca="1" si="132"/>
        <v>4.1743168969100825E-2</v>
      </c>
      <c r="AA516"/>
    </row>
    <row r="517" spans="5:27" s="411" customFormat="1" x14ac:dyDescent="0.25">
      <c r="E517" s="2"/>
      <c r="F517" s="3"/>
      <c r="G517" s="313" t="str">
        <f ca="1"/>
        <v>FirstEnergy Corp</v>
      </c>
      <c r="H517" s="278">
        <f t="shared" ca="1" si="128"/>
        <v>4476.9095168348404</v>
      </c>
      <c r="I517" s="278">
        <f ca="1">IF(NOT(ISTEXT($G517)),"",IFERROR(INDEX(cr01_by_issuer,MATCH($G517,OFFSET(cr01_by_issuer,0,0,100,1),0),MATCH(IF(Report!I$493="6M",0.5,LEFT(Report!I$493,LEN(Report!I$493)-1)*1),OFFSET(cr01_by_issuer,0,0,1,50),0)),0))</f>
        <v>0</v>
      </c>
      <c r="J517" s="279">
        <f ca="1">IF(NOT(ISTEXT($G517)),"",IFERROR(INDEX(cr01_by_issuer,MATCH($G517,OFFSET(cr01_by_issuer,0,0,100,1),0),MATCH(IF(Report!J$493="6M",0.5,LEFT(Report!J$493,LEN(Report!J$493)-1)*1),OFFSET(cr01_by_issuer,0,0,1,50),0)),0))</f>
        <v>0</v>
      </c>
      <c r="K517" s="279">
        <f ca="1">IF(NOT(ISTEXT($G517)),"",IFERROR(INDEX(cr01_by_issuer,MATCH($G517,OFFSET(cr01_by_issuer,0,0,100,1),0),MATCH(IF(Report!K$493="6M",0.5,LEFT(Report!K$493,LEN(Report!K$493)-1)*1),OFFSET(cr01_by_issuer,0,0,1,50),0)),0))</f>
        <v>0</v>
      </c>
      <c r="L517" s="279">
        <f ca="1">IF(NOT(ISTEXT($G517)),"",IFERROR(INDEX(cr01_by_issuer,MATCH($G517,OFFSET(cr01_by_issuer,0,0,100,1),0),MATCH(IF(Report!L$493="6M",0.5,LEFT(Report!L$493,LEN(Report!L$493)-1)*1),OFFSET(cr01_by_issuer,0,0,1,50),0)),0))</f>
        <v>0</v>
      </c>
      <c r="M517" s="279">
        <f ca="1">IF(NOT(ISTEXT($G517)),"",IFERROR(INDEX(cr01_by_issuer,MATCH($G517,OFFSET(cr01_by_issuer,0,0,100,1),0),MATCH(IF(Report!M$493="6M",0.5,LEFT(Report!M$493,LEN(Report!M$493)-1)*1),OFFSET(cr01_by_issuer,0,0,1,50),0)),0))</f>
        <v>0</v>
      </c>
      <c r="N517" s="279">
        <f ca="1">IF(NOT(ISTEXT($G517)),"",IFERROR(INDEX(cr01_by_issuer,MATCH($G517,OFFSET(cr01_by_issuer,0,0,100,1),0),MATCH(IF(Report!N$493="6M",0.5,LEFT(Report!N$493,LEN(Report!N$493)-1)*1),OFFSET(cr01_by_issuer,0,0,1,50),0)),0))</f>
        <v>4476.9095168348404</v>
      </c>
      <c r="O517" s="279">
        <f ca="1">IF(NOT(ISTEXT($G517)),"",IFERROR(INDEX(cr01_by_issuer,MATCH($G517,OFFSET(cr01_by_issuer,0,0,100,1),0),MATCH(IF(Report!O$493="6M",0.5,LEFT(Report!O$493,LEN(Report!O$493)-1)*1),OFFSET(cr01_by_issuer,0,0,1,50),0)),0))</f>
        <v>0</v>
      </c>
      <c r="P517" s="280">
        <f ca="1">IF(NOT(ISTEXT($G517)),"",IFERROR(INDEX(cr01_by_issuer,MATCH($G517,OFFSET(cr01_by_issuer,0,0,100,1),0),MATCH(IF(Report!P$493="6M",0.5,LEFT(Report!P$493,LEN(Report!P$493)-1)*1),OFFSET(cr01_by_issuer,0,0,1,50),0)),0))</f>
        <v>0</v>
      </c>
      <c r="Q517" s="365">
        <f t="shared" ca="1" si="129"/>
        <v>2.0839049884764607</v>
      </c>
      <c r="R517" s="278">
        <f t="shared" ca="1" si="130"/>
        <v>9329.454075089865</v>
      </c>
      <c r="S517" s="243">
        <f t="shared" ca="1" si="131"/>
        <v>6213695.5963399326</v>
      </c>
      <c r="T517" s="290">
        <f t="shared" ca="1" si="132"/>
        <v>2.1536634061843456E-2</v>
      </c>
      <c r="AA517"/>
    </row>
    <row r="518" spans="5:27" s="311" customFormat="1" x14ac:dyDescent="0.25">
      <c r="E518" s="2"/>
      <c r="F518" s="3"/>
      <c r="G518" s="313" t="str">
        <f ca="1"/>
        <v>General Mills Inc</v>
      </c>
      <c r="H518" s="278">
        <f t="shared" ca="1" si="128"/>
        <v>401.15166095026984</v>
      </c>
      <c r="I518" s="278">
        <f ca="1">IF(NOT(ISTEXT($G518)),"",IFERROR(INDEX(cr01_by_issuer,MATCH($G518,OFFSET(cr01_by_issuer,0,0,100,1),0),MATCH(IF(Report!I$493="6M",0.5,LEFT(Report!I$493,LEN(Report!I$493)-1)*1),OFFSET(cr01_by_issuer,0,0,1,50),0)),0))</f>
        <v>0</v>
      </c>
      <c r="J518" s="279">
        <f ca="1">IF(NOT(ISTEXT($G518)),"",IFERROR(INDEX(cr01_by_issuer,MATCH($G518,OFFSET(cr01_by_issuer,0,0,100,1),0),MATCH(IF(Report!J$493="6M",0.5,LEFT(Report!J$493,LEN(Report!J$493)-1)*1),OFFSET(cr01_by_issuer,0,0,1,50),0)),0))</f>
        <v>0</v>
      </c>
      <c r="K518" s="279">
        <f ca="1">IF(NOT(ISTEXT($G518)),"",IFERROR(INDEX(cr01_by_issuer,MATCH($G518,OFFSET(cr01_by_issuer,0,0,100,1),0),MATCH(IF(Report!K$493="6M",0.5,LEFT(Report!K$493,LEN(Report!K$493)-1)*1),OFFSET(cr01_by_issuer,0,0,1,50),0)),0))</f>
        <v>0</v>
      </c>
      <c r="L518" s="279">
        <f ca="1">IF(NOT(ISTEXT($G518)),"",IFERROR(INDEX(cr01_by_issuer,MATCH($G518,OFFSET(cr01_by_issuer,0,0,100,1),0),MATCH(IF(Report!L$493="6M",0.5,LEFT(Report!L$493,LEN(Report!L$493)-1)*1),OFFSET(cr01_by_issuer,0,0,1,50),0)),0))</f>
        <v>0</v>
      </c>
      <c r="M518" s="279">
        <f ca="1">IF(NOT(ISTEXT($G518)),"",IFERROR(INDEX(cr01_by_issuer,MATCH($G518,OFFSET(cr01_by_issuer,0,0,100,1),0),MATCH(IF(Report!M$493="6M",0.5,LEFT(Report!M$493,LEN(Report!M$493)-1)*1),OFFSET(cr01_by_issuer,0,0,1,50),0)),0))</f>
        <v>0</v>
      </c>
      <c r="N518" s="279">
        <f ca="1">IF(NOT(ISTEXT($G518)),"",IFERROR(INDEX(cr01_by_issuer,MATCH($G518,OFFSET(cr01_by_issuer,0,0,100,1),0),MATCH(IF(Report!N$493="6M",0.5,LEFT(Report!N$493,LEN(Report!N$493)-1)*1),OFFSET(cr01_by_issuer,0,0,1,50),0)),0))</f>
        <v>-1808.9510575734701</v>
      </c>
      <c r="O518" s="279">
        <f ca="1">IF(NOT(ISTEXT($G518)),"",IFERROR(INDEX(cr01_by_issuer,MATCH($G518,OFFSET(cr01_by_issuer,0,0,100,1),0),MATCH(IF(Report!O$493="6M",0.5,LEFT(Report!O$493,LEN(Report!O$493)-1)*1),OFFSET(cr01_by_issuer,0,0,1,50),0)),0))</f>
        <v>2210.1027185237399</v>
      </c>
      <c r="P518" s="280">
        <f ca="1">IF(NOT(ISTEXT($G518)),"",IFERROR(INDEX(cr01_by_issuer,MATCH($G518,OFFSET(cr01_by_issuer,0,0,100,1),0),MATCH(IF(Report!P$493="6M",0.5,LEFT(Report!P$493,LEN(Report!P$493)-1)*1),OFFSET(cr01_by_issuer,0,0,1,50),0)),0))</f>
        <v>0</v>
      </c>
      <c r="Q518" s="365">
        <f t="shared" ca="1" si="129"/>
        <v>1.9449989909585013</v>
      </c>
      <c r="R518" s="278">
        <f t="shared" ca="1" si="130"/>
        <v>780.23957576960163</v>
      </c>
      <c r="S518" s="243">
        <f t="shared" ca="1" si="131"/>
        <v>-35950.630596361123</v>
      </c>
      <c r="T518" s="290">
        <f t="shared" ca="1" si="132"/>
        <v>-1.2460468386999904E-4</v>
      </c>
      <c r="AA518"/>
    </row>
    <row r="519" spans="5:27" s="311" customFormat="1" x14ac:dyDescent="0.25">
      <c r="E519" s="2"/>
      <c r="F519" s="3"/>
      <c r="G519" s="313" t="str">
        <f ca="1"/>
        <v>Hartford Financial Services Gr</v>
      </c>
      <c r="H519" s="278">
        <f t="shared" ca="1" si="128"/>
        <v>852.98661508554005</v>
      </c>
      <c r="I519" s="278">
        <f ca="1">IF(NOT(ISTEXT($G519)),"",IFERROR(INDEX(cr01_by_issuer,MATCH($G519,OFFSET(cr01_by_issuer,0,0,100,1),0),MATCH(IF(Report!I$493="6M",0.5,LEFT(Report!I$493,LEN(Report!I$493)-1)*1),OFFSET(cr01_by_issuer,0,0,1,50),0)),0))</f>
        <v>0</v>
      </c>
      <c r="J519" s="279">
        <f ca="1">IF(NOT(ISTEXT($G519)),"",IFERROR(INDEX(cr01_by_issuer,MATCH($G519,OFFSET(cr01_by_issuer,0,0,100,1),0),MATCH(IF(Report!J$493="6M",0.5,LEFT(Report!J$493,LEN(Report!J$493)-1)*1),OFFSET(cr01_by_issuer,0,0,1,50),0)),0))</f>
        <v>0</v>
      </c>
      <c r="K519" s="279">
        <f ca="1">IF(NOT(ISTEXT($G519)),"",IFERROR(INDEX(cr01_by_issuer,MATCH($G519,OFFSET(cr01_by_issuer,0,0,100,1),0),MATCH(IF(Report!K$493="6M",0.5,LEFT(Report!K$493,LEN(Report!K$493)-1)*1),OFFSET(cr01_by_issuer,0,0,1,50),0)),0))</f>
        <v>0</v>
      </c>
      <c r="L519" s="279">
        <f ca="1">IF(NOT(ISTEXT($G519)),"",IFERROR(INDEX(cr01_by_issuer,MATCH($G519,OFFSET(cr01_by_issuer,0,0,100,1),0),MATCH(IF(Report!L$493="6M",0.5,LEFT(Report!L$493,LEN(Report!L$493)-1)*1),OFFSET(cr01_by_issuer,0,0,1,50),0)),0))</f>
        <v>0</v>
      </c>
      <c r="M519" s="279">
        <f ca="1">IF(NOT(ISTEXT($G519)),"",IFERROR(INDEX(cr01_by_issuer,MATCH($G519,OFFSET(cr01_by_issuer,0,0,100,1),0),MATCH(IF(Report!M$493="6M",0.5,LEFT(Report!M$493,LEN(Report!M$493)-1)*1),OFFSET(cr01_by_issuer,0,0,1,50),0)),0))</f>
        <v>0</v>
      </c>
      <c r="N519" s="279">
        <f ca="1">IF(NOT(ISTEXT($G519)),"",IFERROR(INDEX(cr01_by_issuer,MATCH($G519,OFFSET(cr01_by_issuer,0,0,100,1),0),MATCH(IF(Report!N$493="6M",0.5,LEFT(Report!N$493,LEN(Report!N$493)-1)*1),OFFSET(cr01_by_issuer,0,0,1,50),0)),0))</f>
        <v>852.98661508554005</v>
      </c>
      <c r="O519" s="279">
        <f ca="1">IF(NOT(ISTEXT($G519)),"",IFERROR(INDEX(cr01_by_issuer,MATCH($G519,OFFSET(cr01_by_issuer,0,0,100,1),0),MATCH(IF(Report!O$493="6M",0.5,LEFT(Report!O$493,LEN(Report!O$493)-1)*1),OFFSET(cr01_by_issuer,0,0,1,50),0)),0))</f>
        <v>0</v>
      </c>
      <c r="P519" s="280">
        <f ca="1">IF(NOT(ISTEXT($G519)),"",IFERROR(INDEX(cr01_by_issuer,MATCH($G519,OFFSET(cr01_by_issuer,0,0,100,1),0),MATCH(IF(Report!P$493="6M",0.5,LEFT(Report!P$493,LEN(Report!P$493)-1)*1),OFFSET(cr01_by_issuer,0,0,1,50),0)),0))</f>
        <v>0</v>
      </c>
      <c r="Q519" s="365">
        <f t="shared" ca="1" si="129"/>
        <v>1.3817681917343552</v>
      </c>
      <c r="R519" s="278">
        <f t="shared" ca="1" si="130"/>
        <v>1178.629772700355</v>
      </c>
      <c r="S519" s="243">
        <f t="shared" ca="1" si="131"/>
        <v>1083301.2144335324</v>
      </c>
      <c r="T519" s="290">
        <f t="shared" ca="1" si="132"/>
        <v>3.7547159290757838E-3</v>
      </c>
      <c r="AA519"/>
    </row>
    <row r="520" spans="5:27" s="311" customFormat="1" x14ac:dyDescent="0.25">
      <c r="E520" s="2"/>
      <c r="F520" s="3"/>
      <c r="G520" s="313" t="str">
        <f ca="1"/>
        <v>Honeywell International Inc</v>
      </c>
      <c r="H520" s="278">
        <f t="shared" ca="1" si="128"/>
        <v>6834.7805897088201</v>
      </c>
      <c r="I520" s="278">
        <f ca="1">IF(NOT(ISTEXT($G520)),"",IFERROR(INDEX(cr01_by_issuer,MATCH($G520,OFFSET(cr01_by_issuer,0,0,100,1),0),MATCH(IF(Report!I$493="6M",0.5,LEFT(Report!I$493,LEN(Report!I$493)-1)*1),OFFSET(cr01_by_issuer,0,0,1,50),0)),0))</f>
        <v>0</v>
      </c>
      <c r="J520" s="279">
        <f ca="1">IF(NOT(ISTEXT($G520)),"",IFERROR(INDEX(cr01_by_issuer,MATCH($G520,OFFSET(cr01_by_issuer,0,0,100,1),0),MATCH(IF(Report!J$493="6M",0.5,LEFT(Report!J$493,LEN(Report!J$493)-1)*1),OFFSET(cr01_by_issuer,0,0,1,50),0)),0))</f>
        <v>0</v>
      </c>
      <c r="K520" s="279">
        <f ca="1">IF(NOT(ISTEXT($G520)),"",IFERROR(INDEX(cr01_by_issuer,MATCH($G520,OFFSET(cr01_by_issuer,0,0,100,1),0),MATCH(IF(Report!K$493="6M",0.5,LEFT(Report!K$493,LEN(Report!K$493)-1)*1),OFFSET(cr01_by_issuer,0,0,1,50),0)),0))</f>
        <v>0</v>
      </c>
      <c r="L520" s="279">
        <f ca="1">IF(NOT(ISTEXT($G520)),"",IFERROR(INDEX(cr01_by_issuer,MATCH($G520,OFFSET(cr01_by_issuer,0,0,100,1),0),MATCH(IF(Report!L$493="6M",0.5,LEFT(Report!L$493,LEN(Report!L$493)-1)*1),OFFSET(cr01_by_issuer,0,0,1,50),0)),0))</f>
        <v>0</v>
      </c>
      <c r="M520" s="279">
        <f ca="1">IF(NOT(ISTEXT($G520)),"",IFERROR(INDEX(cr01_by_issuer,MATCH($G520,OFFSET(cr01_by_issuer,0,0,100,1),0),MATCH(IF(Report!M$493="6M",0.5,LEFT(Report!M$493,LEN(Report!M$493)-1)*1),OFFSET(cr01_by_issuer,0,0,1,50),0)),0))</f>
        <v>0</v>
      </c>
      <c r="N520" s="279">
        <f ca="1">IF(NOT(ISTEXT($G520)),"",IFERROR(INDEX(cr01_by_issuer,MATCH($G520,OFFSET(cr01_by_issuer,0,0,100,1),0),MATCH(IF(Report!N$493="6M",0.5,LEFT(Report!N$493,LEN(Report!N$493)-1)*1),OFFSET(cr01_by_issuer,0,0,1,50),0)),0))</f>
        <v>0</v>
      </c>
      <c r="O520" s="279">
        <f ca="1">IF(NOT(ISTEXT($G520)),"",IFERROR(INDEX(cr01_by_issuer,MATCH($G520,OFFSET(cr01_by_issuer,0,0,100,1),0),MATCH(IF(Report!O$493="6M",0.5,LEFT(Report!O$493,LEN(Report!O$493)-1)*1),OFFSET(cr01_by_issuer,0,0,1,50),0)),0))</f>
        <v>6834.7805897088201</v>
      </c>
      <c r="P520" s="280">
        <f ca="1">IF(NOT(ISTEXT($G520)),"",IFERROR(INDEX(cr01_by_issuer,MATCH($G520,OFFSET(cr01_by_issuer,0,0,100,1),0),MATCH(IF(Report!P$493="6M",0.5,LEFT(Report!P$493,LEN(Report!P$493)-1)*1),OFFSET(cr01_by_issuer,0,0,1,50),0)),0))</f>
        <v>0</v>
      </c>
      <c r="Q520" s="365">
        <f t="shared" ca="1" si="129"/>
        <v>1.0329250933245568</v>
      </c>
      <c r="R520" s="278">
        <f t="shared" ca="1" si="130"/>
        <v>7059.8163784778526</v>
      </c>
      <c r="S520" s="243">
        <f t="shared" ca="1" si="131"/>
        <v>6966747.0429570423</v>
      </c>
      <c r="T520" s="290">
        <f t="shared" ca="1" si="132"/>
        <v>2.414670614923177E-2</v>
      </c>
      <c r="AA520"/>
    </row>
    <row r="521" spans="5:27" s="311" customFormat="1" x14ac:dyDescent="0.25">
      <c r="E521" s="2"/>
      <c r="F521" s="3"/>
      <c r="G521" s="313" t="str">
        <f ca="1"/>
        <v>Host Hotels &amp; Resorts LP</v>
      </c>
      <c r="H521" s="278">
        <f t="shared" ca="1" si="128"/>
        <v>6503.2462689252898</v>
      </c>
      <c r="I521" s="278">
        <f ca="1">IF(NOT(ISTEXT($G521)),"",IFERROR(INDEX(cr01_by_issuer,MATCH($G521,OFFSET(cr01_by_issuer,0,0,100,1),0),MATCH(IF(Report!I$493="6M",0.5,LEFT(Report!I$493,LEN(Report!I$493)-1)*1),OFFSET(cr01_by_issuer,0,0,1,50),0)),0))</f>
        <v>0</v>
      </c>
      <c r="J521" s="279">
        <f ca="1">IF(NOT(ISTEXT($G521)),"",IFERROR(INDEX(cr01_by_issuer,MATCH($G521,OFFSET(cr01_by_issuer,0,0,100,1),0),MATCH(IF(Report!J$493="6M",0.5,LEFT(Report!J$493,LEN(Report!J$493)-1)*1),OFFSET(cr01_by_issuer,0,0,1,50),0)),0))</f>
        <v>0</v>
      </c>
      <c r="K521" s="279">
        <f ca="1">IF(NOT(ISTEXT($G521)),"",IFERROR(INDEX(cr01_by_issuer,MATCH($G521,OFFSET(cr01_by_issuer,0,0,100,1),0),MATCH(IF(Report!K$493="6M",0.5,LEFT(Report!K$493,LEN(Report!K$493)-1)*1),OFFSET(cr01_by_issuer,0,0,1,50),0)),0))</f>
        <v>0</v>
      </c>
      <c r="L521" s="279">
        <f ca="1">IF(NOT(ISTEXT($G521)),"",IFERROR(INDEX(cr01_by_issuer,MATCH($G521,OFFSET(cr01_by_issuer,0,0,100,1),0),MATCH(IF(Report!L$493="6M",0.5,LEFT(Report!L$493,LEN(Report!L$493)-1)*1),OFFSET(cr01_by_issuer,0,0,1,50),0)),0))</f>
        <v>0</v>
      </c>
      <c r="M521" s="279">
        <f ca="1">IF(NOT(ISTEXT($G521)),"",IFERROR(INDEX(cr01_by_issuer,MATCH($G521,OFFSET(cr01_by_issuer,0,0,100,1),0),MATCH(IF(Report!M$493="6M",0.5,LEFT(Report!M$493,LEN(Report!M$493)-1)*1),OFFSET(cr01_by_issuer,0,0,1,50),0)),0))</f>
        <v>0</v>
      </c>
      <c r="N521" s="279">
        <f ca="1">IF(NOT(ISTEXT($G521)),"",IFERROR(INDEX(cr01_by_issuer,MATCH($G521,OFFSET(cr01_by_issuer,0,0,100,1),0),MATCH(IF(Report!N$493="6M",0.5,LEFT(Report!N$493,LEN(Report!N$493)-1)*1),OFFSET(cr01_by_issuer,0,0,1,50),0)),0))</f>
        <v>-2427.3983977262401</v>
      </c>
      <c r="O521" s="279">
        <f ca="1">IF(NOT(ISTEXT($G521)),"",IFERROR(INDEX(cr01_by_issuer,MATCH($G521,OFFSET(cr01_by_issuer,0,0,100,1),0),MATCH(IF(Report!O$493="6M",0.5,LEFT(Report!O$493,LEN(Report!O$493)-1)*1),OFFSET(cr01_by_issuer,0,0,1,50),0)),0))</f>
        <v>8930.6446666515294</v>
      </c>
      <c r="P521" s="280">
        <f ca="1">IF(NOT(ISTEXT($G521)),"",IFERROR(INDEX(cr01_by_issuer,MATCH($G521,OFFSET(cr01_by_issuer,0,0,100,1),0),MATCH(IF(Report!P$493="6M",0.5,LEFT(Report!P$493,LEN(Report!P$493)-1)*1),OFFSET(cr01_by_issuer,0,0,1,50),0)),0))</f>
        <v>0</v>
      </c>
      <c r="Q521" s="365">
        <f t="shared" ca="1" si="129"/>
        <v>1.7206657910519856</v>
      </c>
      <c r="R521" s="278">
        <f t="shared" ca="1" si="130"/>
        <v>11189.913385726208</v>
      </c>
      <c r="S521" s="243">
        <f t="shared" ca="1" si="131"/>
        <v>6052571.5376580544</v>
      </c>
      <c r="T521" s="290">
        <f t="shared" ca="1" si="132"/>
        <v>2.0978178978779106E-2</v>
      </c>
      <c r="AA521"/>
    </row>
    <row r="522" spans="5:27" s="311" customFormat="1" x14ac:dyDescent="0.25">
      <c r="E522" s="2"/>
      <c r="F522" s="3"/>
      <c r="G522" s="313" t="str">
        <f ca="1"/>
        <v>International Business Machine</v>
      </c>
      <c r="H522" s="278">
        <f t="shared" ca="1" si="128"/>
        <v>3972.3894724246393</v>
      </c>
      <c r="I522" s="278">
        <f ca="1">IF(NOT(ISTEXT($G522)),"",IFERROR(INDEX(cr01_by_issuer,MATCH($G522,OFFSET(cr01_by_issuer,0,0,100,1),0),MATCH(IF(Report!I$493="6M",0.5,LEFT(Report!I$493,LEN(Report!I$493)-1)*1),OFFSET(cr01_by_issuer,0,0,1,50),0)),0))</f>
        <v>0</v>
      </c>
      <c r="J522" s="279">
        <f ca="1">IF(NOT(ISTEXT($G522)),"",IFERROR(INDEX(cr01_by_issuer,MATCH($G522,OFFSET(cr01_by_issuer,0,0,100,1),0),MATCH(IF(Report!J$493="6M",0.5,LEFT(Report!J$493,LEN(Report!J$493)-1)*1),OFFSET(cr01_by_issuer,0,0,1,50),0)),0))</f>
        <v>0</v>
      </c>
      <c r="K522" s="279">
        <f ca="1">IF(NOT(ISTEXT($G522)),"",IFERROR(INDEX(cr01_by_issuer,MATCH($G522,OFFSET(cr01_by_issuer,0,0,100,1),0),MATCH(IF(Report!K$493="6M",0.5,LEFT(Report!K$493,LEN(Report!K$493)-1)*1),OFFSET(cr01_by_issuer,0,0,1,50),0)),0))</f>
        <v>0</v>
      </c>
      <c r="L522" s="279">
        <f ca="1">IF(NOT(ISTEXT($G522)),"",IFERROR(INDEX(cr01_by_issuer,MATCH($G522,OFFSET(cr01_by_issuer,0,0,100,1),0),MATCH(IF(Report!L$493="6M",0.5,LEFT(Report!L$493,LEN(Report!L$493)-1)*1),OFFSET(cr01_by_issuer,0,0,1,50),0)),0))</f>
        <v>0</v>
      </c>
      <c r="M522" s="279">
        <f ca="1">IF(NOT(ISTEXT($G522)),"",IFERROR(INDEX(cr01_by_issuer,MATCH($G522,OFFSET(cr01_by_issuer,0,0,100,1),0),MATCH(IF(Report!M$493="6M",0.5,LEFT(Report!M$493,LEN(Report!M$493)-1)*1),OFFSET(cr01_by_issuer,0,0,1,50),0)),0))</f>
        <v>0</v>
      </c>
      <c r="N522" s="279">
        <f ca="1">IF(NOT(ISTEXT($G522)),"",IFERROR(INDEX(cr01_by_issuer,MATCH($G522,OFFSET(cr01_by_issuer,0,0,100,1),0),MATCH(IF(Report!N$493="6M",0.5,LEFT(Report!N$493,LEN(Report!N$493)-1)*1),OFFSET(cr01_by_issuer,0,0,1,50),0)),0))</f>
        <v>-4949.9228980272701</v>
      </c>
      <c r="O522" s="279">
        <f ca="1">IF(NOT(ISTEXT($G522)),"",IFERROR(INDEX(cr01_by_issuer,MATCH($G522,OFFSET(cr01_by_issuer,0,0,100,1),0),MATCH(IF(Report!O$493="6M",0.5,LEFT(Report!O$493,LEN(Report!O$493)-1)*1),OFFSET(cr01_by_issuer,0,0,1,50),0)),0))</f>
        <v>8922.3123704519094</v>
      </c>
      <c r="P522" s="280">
        <f ca="1">IF(NOT(ISTEXT($G522)),"",IFERROR(INDEX(cr01_by_issuer,MATCH($G522,OFFSET(cr01_by_issuer,0,0,100,1),0),MATCH(IF(Report!P$493="6M",0.5,LEFT(Report!P$493,LEN(Report!P$493)-1)*1),OFFSET(cr01_by_issuer,0,0,1,50),0)),0))</f>
        <v>0</v>
      </c>
      <c r="Q522" s="365">
        <f t="shared" ca="1" si="129"/>
        <v>1.2780985733315691</v>
      </c>
      <c r="R522" s="278">
        <f t="shared" ca="1" si="130"/>
        <v>5077.1053174232757</v>
      </c>
      <c r="S522" s="243">
        <f t="shared" ca="1" si="131"/>
        <v>2821678.5878886282</v>
      </c>
      <c r="T522" s="290">
        <f t="shared" ca="1" si="132"/>
        <v>9.779922148631123E-3</v>
      </c>
      <c r="AA522"/>
    </row>
    <row r="523" spans="5:27" s="311" customFormat="1" x14ac:dyDescent="0.25">
      <c r="E523" s="2"/>
      <c r="F523" s="3"/>
      <c r="G523" s="313" t="str">
        <f ca="1"/>
        <v>International Paper Co</v>
      </c>
      <c r="H523" s="278">
        <f t="shared" ca="1" si="128"/>
        <v>1632.2322160560707</v>
      </c>
      <c r="I523" s="278">
        <f ca="1">IF(NOT(ISTEXT($G523)),"",IFERROR(INDEX(cr01_by_issuer,MATCH($G523,OFFSET(cr01_by_issuer,0,0,100,1),0),MATCH(IF(Report!I$493="6M",0.5,LEFT(Report!I$493,LEN(Report!I$493)-1)*1),OFFSET(cr01_by_issuer,0,0,1,50),0)),0))</f>
        <v>0</v>
      </c>
      <c r="J523" s="279">
        <f ca="1">IF(NOT(ISTEXT($G523)),"",IFERROR(INDEX(cr01_by_issuer,MATCH($G523,OFFSET(cr01_by_issuer,0,0,100,1),0),MATCH(IF(Report!J$493="6M",0.5,LEFT(Report!J$493,LEN(Report!J$493)-1)*1),OFFSET(cr01_by_issuer,0,0,1,50),0)),0))</f>
        <v>0</v>
      </c>
      <c r="K523" s="279">
        <f ca="1">IF(NOT(ISTEXT($G523)),"",IFERROR(INDEX(cr01_by_issuer,MATCH($G523,OFFSET(cr01_by_issuer,0,0,100,1),0),MATCH(IF(Report!K$493="6M",0.5,LEFT(Report!K$493,LEN(Report!K$493)-1)*1),OFFSET(cr01_by_issuer,0,0,1,50),0)),0))</f>
        <v>0</v>
      </c>
      <c r="L523" s="279">
        <f ca="1">IF(NOT(ISTEXT($G523)),"",IFERROR(INDEX(cr01_by_issuer,MATCH($G523,OFFSET(cr01_by_issuer,0,0,100,1),0),MATCH(IF(Report!L$493="6M",0.5,LEFT(Report!L$493,LEN(Report!L$493)-1)*1),OFFSET(cr01_by_issuer,0,0,1,50),0)),0))</f>
        <v>0</v>
      </c>
      <c r="M523" s="279">
        <f ca="1">IF(NOT(ISTEXT($G523)),"",IFERROR(INDEX(cr01_by_issuer,MATCH($G523,OFFSET(cr01_by_issuer,0,0,100,1),0),MATCH(IF(Report!M$493="6M",0.5,LEFT(Report!M$493,LEN(Report!M$493)-1)*1),OFFSET(cr01_by_issuer,0,0,1,50),0)),0))</f>
        <v>0</v>
      </c>
      <c r="N523" s="279">
        <f ca="1">IF(NOT(ISTEXT($G523)),"",IFERROR(INDEX(cr01_by_issuer,MATCH($G523,OFFSET(cr01_by_issuer,0,0,100,1),0),MATCH(IF(Report!N$493="6M",0.5,LEFT(Report!N$493,LEN(Report!N$493)-1)*1),OFFSET(cr01_by_issuer,0,0,1,50),0)),0))</f>
        <v>-7805.3893119003897</v>
      </c>
      <c r="O523" s="279">
        <f ca="1">IF(NOT(ISTEXT($G523)),"",IFERROR(INDEX(cr01_by_issuer,MATCH($G523,OFFSET(cr01_by_issuer,0,0,100,1),0),MATCH(IF(Report!O$493="6M",0.5,LEFT(Report!O$493,LEN(Report!O$493)-1)*1),OFFSET(cr01_by_issuer,0,0,1,50),0)),0))</f>
        <v>9437.6215279564603</v>
      </c>
      <c r="P523" s="280">
        <f ca="1">IF(NOT(ISTEXT($G523)),"",IFERROR(INDEX(cr01_by_issuer,MATCH($G523,OFFSET(cr01_by_issuer,0,0,100,1),0),MATCH(IF(Report!P$493="6M",0.5,LEFT(Report!P$493,LEN(Report!P$493)-1)*1),OFFSET(cr01_by_issuer,0,0,1,50),0)),0))</f>
        <v>0</v>
      </c>
      <c r="Q523" s="365">
        <f t="shared" ca="1" si="129"/>
        <v>2.8340782878424902</v>
      </c>
      <c r="R523" s="278">
        <f t="shared" ca="1" si="130"/>
        <v>4625.8738842415423</v>
      </c>
      <c r="S523" s="243">
        <f t="shared" ca="1" si="131"/>
        <v>-243226.9908807762</v>
      </c>
      <c r="T523" s="290">
        <f t="shared" ca="1" si="132"/>
        <v>-8.4302338525371839E-4</v>
      </c>
      <c r="AA523"/>
    </row>
    <row r="524" spans="5:27" s="311" customFormat="1" x14ac:dyDescent="0.25">
      <c r="E524" s="2"/>
      <c r="F524" s="3"/>
      <c r="G524" s="313" t="str">
        <f ca="1"/>
        <v>Kohl's Corp</v>
      </c>
      <c r="H524" s="278">
        <f t="shared" ca="1" si="128"/>
        <v>477.70530612274888</v>
      </c>
      <c r="I524" s="278">
        <f ca="1">IF(NOT(ISTEXT($G524)),"",IFERROR(INDEX(cr01_by_issuer,MATCH($G524,OFFSET(cr01_by_issuer,0,0,100,1),0),MATCH(IF(Report!I$493="6M",0.5,LEFT(Report!I$493,LEN(Report!I$493)-1)*1),OFFSET(cr01_by_issuer,0,0,1,50),0)),0))</f>
        <v>0</v>
      </c>
      <c r="J524" s="279">
        <f ca="1">IF(NOT(ISTEXT($G524)),"",IFERROR(INDEX(cr01_by_issuer,MATCH($G524,OFFSET(cr01_by_issuer,0,0,100,1),0),MATCH(IF(Report!J$493="6M",0.5,LEFT(Report!J$493,LEN(Report!J$493)-1)*1),OFFSET(cr01_by_issuer,0,0,1,50),0)),0))</f>
        <v>0</v>
      </c>
      <c r="K524" s="279">
        <f ca="1">IF(NOT(ISTEXT($G524)),"",IFERROR(INDEX(cr01_by_issuer,MATCH($G524,OFFSET(cr01_by_issuer,0,0,100,1),0),MATCH(IF(Report!K$493="6M",0.5,LEFT(Report!K$493,LEN(Report!K$493)-1)*1),OFFSET(cr01_by_issuer,0,0,1,50),0)),0))</f>
        <v>0</v>
      </c>
      <c r="L524" s="279">
        <f ca="1">IF(NOT(ISTEXT($G524)),"",IFERROR(INDEX(cr01_by_issuer,MATCH($G524,OFFSET(cr01_by_issuer,0,0,100,1),0),MATCH(IF(Report!L$493="6M",0.5,LEFT(Report!L$493,LEN(Report!L$493)-1)*1),OFFSET(cr01_by_issuer,0,0,1,50),0)),0))</f>
        <v>0</v>
      </c>
      <c r="M524" s="279">
        <f ca="1">IF(NOT(ISTEXT($G524)),"",IFERROR(INDEX(cr01_by_issuer,MATCH($G524,OFFSET(cr01_by_issuer,0,0,100,1),0),MATCH(IF(Report!M$493="6M",0.5,LEFT(Report!M$493,LEN(Report!M$493)-1)*1),OFFSET(cr01_by_issuer,0,0,1,50),0)),0))</f>
        <v>0</v>
      </c>
      <c r="N524" s="279">
        <f ca="1">IF(NOT(ISTEXT($G524)),"",IFERROR(INDEX(cr01_by_issuer,MATCH($G524,OFFSET(cr01_by_issuer,0,0,100,1),0),MATCH(IF(Report!N$493="6M",0.5,LEFT(Report!N$493,LEN(Report!N$493)-1)*1),OFFSET(cr01_by_issuer,0,0,1,50),0)),0))</f>
        <v>477.70530612274888</v>
      </c>
      <c r="O524" s="279">
        <f ca="1">IF(NOT(ISTEXT($G524)),"",IFERROR(INDEX(cr01_by_issuer,MATCH($G524,OFFSET(cr01_by_issuer,0,0,100,1),0),MATCH(IF(Report!O$493="6M",0.5,LEFT(Report!O$493,LEN(Report!O$493)-1)*1),OFFSET(cr01_by_issuer,0,0,1,50),0)),0))</f>
        <v>0</v>
      </c>
      <c r="P524" s="280">
        <f ca="1">IF(NOT(ISTEXT($G524)),"",IFERROR(INDEX(cr01_by_issuer,MATCH($G524,OFFSET(cr01_by_issuer,0,0,100,1),0),MATCH(IF(Report!P$493="6M",0.5,LEFT(Report!P$493,LEN(Report!P$493)-1)*1),OFFSET(cr01_by_issuer,0,0,1,50),0)),0))</f>
        <v>0</v>
      </c>
      <c r="Q524" s="365">
        <f t="shared" ca="1" si="129"/>
        <v>6.0191377304863769</v>
      </c>
      <c r="R524" s="278">
        <f t="shared" ca="1" si="130"/>
        <v>2875.3740321369828</v>
      </c>
      <c r="S524" s="243">
        <f t="shared" ca="1" si="131"/>
        <v>-318033.36755435914</v>
      </c>
      <c r="T524" s="290">
        <f t="shared" ca="1" si="132"/>
        <v>-1.1023018669450897E-3</v>
      </c>
      <c r="AA524"/>
    </row>
    <row r="525" spans="5:27" s="311" customFormat="1" x14ac:dyDescent="0.25">
      <c r="E525" s="2"/>
      <c r="F525" s="3"/>
      <c r="G525" s="313" t="str">
        <f ca="1"/>
        <v>Lamb Weston Holdings Inc</v>
      </c>
      <c r="H525" s="278">
        <f t="shared" ca="1" si="128"/>
        <v>9787.0539398758101</v>
      </c>
      <c r="I525" s="278">
        <f ca="1">IF(NOT(ISTEXT($G525)),"",IFERROR(INDEX(cr01_by_issuer,MATCH($G525,OFFSET(cr01_by_issuer,0,0,100,1),0),MATCH(IF(Report!I$493="6M",0.5,LEFT(Report!I$493,LEN(Report!I$493)-1)*1),OFFSET(cr01_by_issuer,0,0,1,50),0)),0))</f>
        <v>0</v>
      </c>
      <c r="J525" s="279">
        <f ca="1">IF(NOT(ISTEXT($G525)),"",IFERROR(INDEX(cr01_by_issuer,MATCH($G525,OFFSET(cr01_by_issuer,0,0,100,1),0),MATCH(IF(Report!J$493="6M",0.5,LEFT(Report!J$493,LEN(Report!J$493)-1)*1),OFFSET(cr01_by_issuer,0,0,1,50),0)),0))</f>
        <v>0</v>
      </c>
      <c r="K525" s="279">
        <f ca="1">IF(NOT(ISTEXT($G525)),"",IFERROR(INDEX(cr01_by_issuer,MATCH($G525,OFFSET(cr01_by_issuer,0,0,100,1),0),MATCH(IF(Report!K$493="6M",0.5,LEFT(Report!K$493,LEN(Report!K$493)-1)*1),OFFSET(cr01_by_issuer,0,0,1,50),0)),0))</f>
        <v>0</v>
      </c>
      <c r="L525" s="279">
        <f ca="1">IF(NOT(ISTEXT($G525)),"",IFERROR(INDEX(cr01_by_issuer,MATCH($G525,OFFSET(cr01_by_issuer,0,0,100,1),0),MATCH(IF(Report!L$493="6M",0.5,LEFT(Report!L$493,LEN(Report!L$493)-1)*1),OFFSET(cr01_by_issuer,0,0,1,50),0)),0))</f>
        <v>0</v>
      </c>
      <c r="M525" s="279">
        <f ca="1">IF(NOT(ISTEXT($G525)),"",IFERROR(INDEX(cr01_by_issuer,MATCH($G525,OFFSET(cr01_by_issuer,0,0,100,1),0),MATCH(IF(Report!M$493="6M",0.5,LEFT(Report!M$493,LEN(Report!M$493)-1)*1),OFFSET(cr01_by_issuer,0,0,1,50),0)),0))</f>
        <v>0</v>
      </c>
      <c r="N525" s="279">
        <f ca="1">IF(NOT(ISTEXT($G525)),"",IFERROR(INDEX(cr01_by_issuer,MATCH($G525,OFFSET(cr01_by_issuer,0,0,100,1),0),MATCH(IF(Report!N$493="6M",0.5,LEFT(Report!N$493,LEN(Report!N$493)-1)*1),OFFSET(cr01_by_issuer,0,0,1,50),0)),0))</f>
        <v>0</v>
      </c>
      <c r="O525" s="279">
        <f ca="1">IF(NOT(ISTEXT($G525)),"",IFERROR(INDEX(cr01_by_issuer,MATCH($G525,OFFSET(cr01_by_issuer,0,0,100,1),0),MATCH(IF(Report!O$493="6M",0.5,LEFT(Report!O$493,LEN(Report!O$493)-1)*1),OFFSET(cr01_by_issuer,0,0,1,50),0)),0))</f>
        <v>9787.0539398758101</v>
      </c>
      <c r="P525" s="280">
        <f ca="1">IF(NOT(ISTEXT($G525)),"",IFERROR(INDEX(cr01_by_issuer,MATCH($G525,OFFSET(cr01_by_issuer,0,0,100,1),0),MATCH(IF(Report!P$493="6M",0.5,LEFT(Report!P$493,LEN(Report!P$493)-1)*1),OFFSET(cr01_by_issuer,0,0,1,50),0)),0))</f>
        <v>0</v>
      </c>
      <c r="Q525" s="365">
        <f t="shared" ca="1" si="129"/>
        <v>2.7369527595743954</v>
      </c>
      <c r="R525" s="278">
        <f t="shared" ca="1" si="130"/>
        <v>26786.704288846558</v>
      </c>
      <c r="S525" s="243">
        <f t="shared" ca="1" si="131"/>
        <v>10041689.312337523</v>
      </c>
      <c r="T525" s="290">
        <f t="shared" ca="1" si="132"/>
        <v>3.4804438796442537E-2</v>
      </c>
      <c r="AA525"/>
    </row>
    <row r="526" spans="5:27" s="311" customFormat="1" x14ac:dyDescent="0.25">
      <c r="E526" s="2"/>
      <c r="F526" s="3"/>
      <c r="G526" s="313" t="str">
        <f ca="1"/>
        <v>Lincoln National Corp</v>
      </c>
      <c r="H526" s="278">
        <f t="shared" ca="1" si="128"/>
        <v>2615.5720544331298</v>
      </c>
      <c r="I526" s="278">
        <f ca="1">IF(NOT(ISTEXT($G526)),"",IFERROR(INDEX(cr01_by_issuer,MATCH($G526,OFFSET(cr01_by_issuer,0,0,100,1),0),MATCH(IF(Report!I$493="6M",0.5,LEFT(Report!I$493,LEN(Report!I$493)-1)*1),OFFSET(cr01_by_issuer,0,0,1,50),0)),0))</f>
        <v>0</v>
      </c>
      <c r="J526" s="279">
        <f ca="1">IF(NOT(ISTEXT($G526)),"",IFERROR(INDEX(cr01_by_issuer,MATCH($G526,OFFSET(cr01_by_issuer,0,0,100,1),0),MATCH(IF(Report!J$493="6M",0.5,LEFT(Report!J$493,LEN(Report!J$493)-1)*1),OFFSET(cr01_by_issuer,0,0,1,50),0)),0))</f>
        <v>0</v>
      </c>
      <c r="K526" s="279">
        <f ca="1">IF(NOT(ISTEXT($G526)),"",IFERROR(INDEX(cr01_by_issuer,MATCH($G526,OFFSET(cr01_by_issuer,0,0,100,1),0),MATCH(IF(Report!K$493="6M",0.5,LEFT(Report!K$493,LEN(Report!K$493)-1)*1),OFFSET(cr01_by_issuer,0,0,1,50),0)),0))</f>
        <v>0</v>
      </c>
      <c r="L526" s="279">
        <f ca="1">IF(NOT(ISTEXT($G526)),"",IFERROR(INDEX(cr01_by_issuer,MATCH($G526,OFFSET(cr01_by_issuer,0,0,100,1),0),MATCH(IF(Report!L$493="6M",0.5,LEFT(Report!L$493,LEN(Report!L$493)-1)*1),OFFSET(cr01_by_issuer,0,0,1,50),0)),0))</f>
        <v>0</v>
      </c>
      <c r="M526" s="279">
        <f ca="1">IF(NOT(ISTEXT($G526)),"",IFERROR(INDEX(cr01_by_issuer,MATCH($G526,OFFSET(cr01_by_issuer,0,0,100,1),0),MATCH(IF(Report!M$493="6M",0.5,LEFT(Report!M$493,LEN(Report!M$493)-1)*1),OFFSET(cr01_by_issuer,0,0,1,50),0)),0))</f>
        <v>0</v>
      </c>
      <c r="N526" s="279">
        <f ca="1">IF(NOT(ISTEXT($G526)),"",IFERROR(INDEX(cr01_by_issuer,MATCH($G526,OFFSET(cr01_by_issuer,0,0,100,1),0),MATCH(IF(Report!N$493="6M",0.5,LEFT(Report!N$493,LEN(Report!N$493)-1)*1),OFFSET(cr01_by_issuer,0,0,1,50),0)),0))</f>
        <v>2615.5720544331298</v>
      </c>
      <c r="O526" s="279">
        <f ca="1">IF(NOT(ISTEXT($G526)),"",IFERROR(INDEX(cr01_by_issuer,MATCH($G526,OFFSET(cr01_by_issuer,0,0,100,1),0),MATCH(IF(Report!O$493="6M",0.5,LEFT(Report!O$493,LEN(Report!O$493)-1)*1),OFFSET(cr01_by_issuer,0,0,1,50),0)),0))</f>
        <v>0</v>
      </c>
      <c r="P526" s="280">
        <f ca="1">IF(NOT(ISTEXT($G526)),"",IFERROR(INDEX(cr01_by_issuer,MATCH($G526,OFFSET(cr01_by_issuer,0,0,100,1),0),MATCH(IF(Report!P$493="6M",0.5,LEFT(Report!P$493,LEN(Report!P$493)-1)*1),OFFSET(cr01_by_issuer,0,0,1,50),0)),0))</f>
        <v>0</v>
      </c>
      <c r="Q526" s="365">
        <f t="shared" ca="1" si="129"/>
        <v>1.8283253030176292</v>
      </c>
      <c r="R526" s="278">
        <f t="shared" ca="1" si="130"/>
        <v>4782.1165689858954</v>
      </c>
      <c r="S526" s="243">
        <f t="shared" ca="1" si="131"/>
        <v>3327046.6673115976</v>
      </c>
      <c r="T526" s="290">
        <f t="shared" ca="1" si="132"/>
        <v>1.1531525075475514E-2</v>
      </c>
      <c r="AA526"/>
    </row>
    <row r="527" spans="5:27" s="311" customFormat="1" x14ac:dyDescent="0.25">
      <c r="E527" s="2"/>
      <c r="F527" s="3"/>
      <c r="G527" s="313" t="str">
        <f ca="1"/>
        <v>Loews Corp</v>
      </c>
      <c r="H527" s="278">
        <f t="shared" ca="1" si="128"/>
        <v>6002.5488445360897</v>
      </c>
      <c r="I527" s="278">
        <f ca="1">IF(NOT(ISTEXT($G527)),"",IFERROR(INDEX(cr01_by_issuer,MATCH($G527,OFFSET(cr01_by_issuer,0,0,100,1),0),MATCH(IF(Report!I$493="6M",0.5,LEFT(Report!I$493,LEN(Report!I$493)-1)*1),OFFSET(cr01_by_issuer,0,0,1,50),0)),0))</f>
        <v>0</v>
      </c>
      <c r="J527" s="279">
        <f ca="1">IF(NOT(ISTEXT($G527)),"",IFERROR(INDEX(cr01_by_issuer,MATCH($G527,OFFSET(cr01_by_issuer,0,0,100,1),0),MATCH(IF(Report!J$493="6M",0.5,LEFT(Report!J$493,LEN(Report!J$493)-1)*1),OFFSET(cr01_by_issuer,0,0,1,50),0)),0))</f>
        <v>0</v>
      </c>
      <c r="K527" s="279">
        <f ca="1">IF(NOT(ISTEXT($G527)),"",IFERROR(INDEX(cr01_by_issuer,MATCH($G527,OFFSET(cr01_by_issuer,0,0,100,1),0),MATCH(IF(Report!K$493="6M",0.5,LEFT(Report!K$493,LEN(Report!K$493)-1)*1),OFFSET(cr01_by_issuer,0,0,1,50),0)),0))</f>
        <v>0</v>
      </c>
      <c r="L527" s="279">
        <f ca="1">IF(NOT(ISTEXT($G527)),"",IFERROR(INDEX(cr01_by_issuer,MATCH($G527,OFFSET(cr01_by_issuer,0,0,100,1),0),MATCH(IF(Report!L$493="6M",0.5,LEFT(Report!L$493,LEN(Report!L$493)-1)*1),OFFSET(cr01_by_issuer,0,0,1,50),0)),0))</f>
        <v>0</v>
      </c>
      <c r="M527" s="279">
        <f ca="1">IF(NOT(ISTEXT($G527)),"",IFERROR(INDEX(cr01_by_issuer,MATCH($G527,OFFSET(cr01_by_issuer,0,0,100,1),0),MATCH(IF(Report!M$493="6M",0.5,LEFT(Report!M$493,LEN(Report!M$493)-1)*1),OFFSET(cr01_by_issuer,0,0,1,50),0)),0))</f>
        <v>0</v>
      </c>
      <c r="N527" s="279">
        <f ca="1">IF(NOT(ISTEXT($G527)),"",IFERROR(INDEX(cr01_by_issuer,MATCH($G527,OFFSET(cr01_by_issuer,0,0,100,1),0),MATCH(IF(Report!N$493="6M",0.5,LEFT(Report!N$493,LEN(Report!N$493)-1)*1),OFFSET(cr01_by_issuer,0,0,1,50),0)),0))</f>
        <v>6002.5488445360897</v>
      </c>
      <c r="O527" s="279">
        <f ca="1">IF(NOT(ISTEXT($G527)),"",IFERROR(INDEX(cr01_by_issuer,MATCH($G527,OFFSET(cr01_by_issuer,0,0,100,1),0),MATCH(IF(Report!O$493="6M",0.5,LEFT(Report!O$493,LEN(Report!O$493)-1)*1),OFFSET(cr01_by_issuer,0,0,1,50),0)),0))</f>
        <v>0</v>
      </c>
      <c r="P527" s="280">
        <f ca="1">IF(NOT(ISTEXT($G527)),"",IFERROR(INDEX(cr01_by_issuer,MATCH($G527,OFFSET(cr01_by_issuer,0,0,100,1),0),MATCH(IF(Report!P$493="6M",0.5,LEFT(Report!P$493,LEN(Report!P$493)-1)*1),OFFSET(cr01_by_issuer,0,0,1,50),0)),0))</f>
        <v>0</v>
      </c>
      <c r="Q527" s="365">
        <f t="shared" ca="1" si="129"/>
        <v>0.96802207410932406</v>
      </c>
      <c r="R527" s="278">
        <f t="shared" ca="1" si="130"/>
        <v>5810.5997824303522</v>
      </c>
      <c r="S527" s="243">
        <f t="shared" ca="1" si="131"/>
        <v>7610896.414943452</v>
      </c>
      <c r="T527" s="290">
        <f t="shared" ca="1" si="132"/>
        <v>2.6379324257175311E-2</v>
      </c>
      <c r="AA527"/>
    </row>
    <row r="528" spans="5:27" s="311" customFormat="1" x14ac:dyDescent="0.25">
      <c r="E528" s="2"/>
      <c r="F528" s="3"/>
      <c r="G528" s="313" t="str">
        <f ca="1"/>
        <v>MGM Resorts International</v>
      </c>
      <c r="H528" s="278">
        <f t="shared" ca="1" si="128"/>
        <v>5305.2393485579305</v>
      </c>
      <c r="I528" s="278">
        <f ca="1">IF(NOT(ISTEXT($G528)),"",IFERROR(INDEX(cr01_by_issuer,MATCH($G528,OFFSET(cr01_by_issuer,0,0,100,1),0),MATCH(IF(Report!I$493="6M",0.5,LEFT(Report!I$493,LEN(Report!I$493)-1)*1),OFFSET(cr01_by_issuer,0,0,1,50),0)),0))</f>
        <v>0</v>
      </c>
      <c r="J528" s="279">
        <f ca="1">IF(NOT(ISTEXT($G528)),"",IFERROR(INDEX(cr01_by_issuer,MATCH($G528,OFFSET(cr01_by_issuer,0,0,100,1),0),MATCH(IF(Report!J$493="6M",0.5,LEFT(Report!J$493,LEN(Report!J$493)-1)*1),OFFSET(cr01_by_issuer,0,0,1,50),0)),0))</f>
        <v>0</v>
      </c>
      <c r="K528" s="279">
        <f ca="1">IF(NOT(ISTEXT($G528)),"",IFERROR(INDEX(cr01_by_issuer,MATCH($G528,OFFSET(cr01_by_issuer,0,0,100,1),0),MATCH(IF(Report!K$493="6M",0.5,LEFT(Report!K$493,LEN(Report!K$493)-1)*1),OFFSET(cr01_by_issuer,0,0,1,50),0)),0))</f>
        <v>0</v>
      </c>
      <c r="L528" s="279">
        <f ca="1">IF(NOT(ISTEXT($G528)),"",IFERROR(INDEX(cr01_by_issuer,MATCH($G528,OFFSET(cr01_by_issuer,0,0,100,1),0),MATCH(IF(Report!L$493="6M",0.5,LEFT(Report!L$493,LEN(Report!L$493)-1)*1),OFFSET(cr01_by_issuer,0,0,1,50),0)),0))</f>
        <v>0</v>
      </c>
      <c r="M528" s="279">
        <f ca="1">IF(NOT(ISTEXT($G528)),"",IFERROR(INDEX(cr01_by_issuer,MATCH($G528,OFFSET(cr01_by_issuer,0,0,100,1),0),MATCH(IF(Report!M$493="6M",0.5,LEFT(Report!M$493,LEN(Report!M$493)-1)*1),OFFSET(cr01_by_issuer,0,0,1,50),0)),0))</f>
        <v>2986.7244079461202</v>
      </c>
      <c r="N528" s="279">
        <f ca="1">IF(NOT(ISTEXT($G528)),"",IFERROR(INDEX(cr01_by_issuer,MATCH($G528,OFFSET(cr01_by_issuer,0,0,100,1),0),MATCH(IF(Report!N$493="6M",0.5,LEFT(Report!N$493,LEN(Report!N$493)-1)*1),OFFSET(cr01_by_issuer,0,0,1,50),0)),0))</f>
        <v>2318.5149406118098</v>
      </c>
      <c r="O528" s="279">
        <f ca="1">IF(NOT(ISTEXT($G528)),"",IFERROR(INDEX(cr01_by_issuer,MATCH($G528,OFFSET(cr01_by_issuer,0,0,100,1),0),MATCH(IF(Report!O$493="6M",0.5,LEFT(Report!O$493,LEN(Report!O$493)-1)*1),OFFSET(cr01_by_issuer,0,0,1,50),0)),0))</f>
        <v>0</v>
      </c>
      <c r="P528" s="280">
        <f ca="1">IF(NOT(ISTEXT($G528)),"",IFERROR(INDEX(cr01_by_issuer,MATCH($G528,OFFSET(cr01_by_issuer,0,0,100,1),0),MATCH(IF(Report!P$493="6M",0.5,LEFT(Report!P$493,LEN(Report!P$493)-1)*1),OFFSET(cr01_by_issuer,0,0,1,50),0)),0))</f>
        <v>0</v>
      </c>
      <c r="Q528" s="365">
        <f t="shared" ca="1" si="129"/>
        <v>3.225575083525277</v>
      </c>
      <c r="R528" s="278">
        <f t="shared" ca="1" si="130"/>
        <v>17112.447854846334</v>
      </c>
      <c r="S528" s="243">
        <f t="shared" ca="1" si="131"/>
        <v>8754993.0116383471</v>
      </c>
      <c r="T528" s="290">
        <f t="shared" ca="1" si="132"/>
        <v>3.0344756639948005E-2</v>
      </c>
      <c r="AA528"/>
    </row>
    <row r="529" spans="5:27" s="311" customFormat="1" x14ac:dyDescent="0.25">
      <c r="E529" s="2"/>
      <c r="F529" s="3"/>
      <c r="G529" s="313" t="str">
        <f ca="1"/>
        <v>Macy's Inc</v>
      </c>
      <c r="H529" s="278">
        <f t="shared" ca="1" si="128"/>
        <v>1989.51057814772</v>
      </c>
      <c r="I529" s="278">
        <f ca="1">IF(NOT(ISTEXT($G529)),"",IFERROR(INDEX(cr01_by_issuer,MATCH($G529,OFFSET(cr01_by_issuer,0,0,100,1),0),MATCH(IF(Report!I$493="6M",0.5,LEFT(Report!I$493,LEN(Report!I$493)-1)*1),OFFSET(cr01_by_issuer,0,0,1,50),0)),0))</f>
        <v>0</v>
      </c>
      <c r="J529" s="279">
        <f ca="1">IF(NOT(ISTEXT($G529)),"",IFERROR(INDEX(cr01_by_issuer,MATCH($G529,OFFSET(cr01_by_issuer,0,0,100,1),0),MATCH(IF(Report!J$493="6M",0.5,LEFT(Report!J$493,LEN(Report!J$493)-1)*1),OFFSET(cr01_by_issuer,0,0,1,50),0)),0))</f>
        <v>0</v>
      </c>
      <c r="K529" s="279">
        <f ca="1">IF(NOT(ISTEXT($G529)),"",IFERROR(INDEX(cr01_by_issuer,MATCH($G529,OFFSET(cr01_by_issuer,0,0,100,1),0),MATCH(IF(Report!K$493="6M",0.5,LEFT(Report!K$493,LEN(Report!K$493)-1)*1),OFFSET(cr01_by_issuer,0,0,1,50),0)),0))</f>
        <v>0</v>
      </c>
      <c r="L529" s="279">
        <f ca="1">IF(NOT(ISTEXT($G529)),"",IFERROR(INDEX(cr01_by_issuer,MATCH($G529,OFFSET(cr01_by_issuer,0,0,100,1),0),MATCH(IF(Report!L$493="6M",0.5,LEFT(Report!L$493,LEN(Report!L$493)-1)*1),OFFSET(cr01_by_issuer,0,0,1,50),0)),0))</f>
        <v>0</v>
      </c>
      <c r="M529" s="279">
        <f ca="1">IF(NOT(ISTEXT($G529)),"",IFERROR(INDEX(cr01_by_issuer,MATCH($G529,OFFSET(cr01_by_issuer,0,0,100,1),0),MATCH(IF(Report!M$493="6M",0.5,LEFT(Report!M$493,LEN(Report!M$493)-1)*1),OFFSET(cr01_by_issuer,0,0,1,50),0)),0))</f>
        <v>0</v>
      </c>
      <c r="N529" s="279">
        <f ca="1">IF(NOT(ISTEXT($G529)),"",IFERROR(INDEX(cr01_by_issuer,MATCH($G529,OFFSET(cr01_by_issuer,0,0,100,1),0),MATCH(IF(Report!N$493="6M",0.5,LEFT(Report!N$493,LEN(Report!N$493)-1)*1),OFFSET(cr01_by_issuer,0,0,1,50),0)),0))</f>
        <v>-2212.6549284376401</v>
      </c>
      <c r="O529" s="279">
        <f ca="1">IF(NOT(ISTEXT($G529)),"",IFERROR(INDEX(cr01_by_issuer,MATCH($G529,OFFSET(cr01_by_issuer,0,0,100,1),0),MATCH(IF(Report!O$493="6M",0.5,LEFT(Report!O$493,LEN(Report!O$493)-1)*1),OFFSET(cr01_by_issuer,0,0,1,50),0)),0))</f>
        <v>4202.1655065853602</v>
      </c>
      <c r="P529" s="280">
        <f ca="1">IF(NOT(ISTEXT($G529)),"",IFERROR(INDEX(cr01_by_issuer,MATCH($G529,OFFSET(cr01_by_issuer,0,0,100,1),0),MATCH(IF(Report!P$493="6M",0.5,LEFT(Report!P$493,LEN(Report!P$493)-1)*1),OFFSET(cr01_by_issuer,0,0,1,50),0)),0))</f>
        <v>0</v>
      </c>
      <c r="Q529" s="365">
        <f t="shared" ca="1" si="129"/>
        <v>8.5782531399074546</v>
      </c>
      <c r="R529" s="278">
        <f t="shared" ca="1" si="130"/>
        <v>17066.525363874774</v>
      </c>
      <c r="S529" s="243">
        <f t="shared" ca="1" si="131"/>
        <v>1532404.7093611783</v>
      </c>
      <c r="T529" s="290">
        <f t="shared" ca="1" si="132"/>
        <v>5.3113061218507413E-3</v>
      </c>
      <c r="AA529"/>
    </row>
    <row r="530" spans="5:27" s="311" customFormat="1" x14ac:dyDescent="0.25">
      <c r="E530" s="2"/>
      <c r="F530" s="3"/>
      <c r="G530" s="313" t="str">
        <f ca="1"/>
        <v>Motorola Solutions Inc</v>
      </c>
      <c r="H530" s="278">
        <f t="shared" ca="1" si="128"/>
        <v>6602.6942600096299</v>
      </c>
      <c r="I530" s="278">
        <f ca="1">IF(NOT(ISTEXT($G530)),"",IFERROR(INDEX(cr01_by_issuer,MATCH($G530,OFFSET(cr01_by_issuer,0,0,100,1),0),MATCH(IF(Report!I$493="6M",0.5,LEFT(Report!I$493,LEN(Report!I$493)-1)*1),OFFSET(cr01_by_issuer,0,0,1,50),0)),0))</f>
        <v>0</v>
      </c>
      <c r="J530" s="279">
        <f ca="1">IF(NOT(ISTEXT($G530)),"",IFERROR(INDEX(cr01_by_issuer,MATCH($G530,OFFSET(cr01_by_issuer,0,0,100,1),0),MATCH(IF(Report!J$493="6M",0.5,LEFT(Report!J$493,LEN(Report!J$493)-1)*1),OFFSET(cr01_by_issuer,0,0,1,50),0)),0))</f>
        <v>0</v>
      </c>
      <c r="K530" s="279">
        <f ca="1">IF(NOT(ISTEXT($G530)),"",IFERROR(INDEX(cr01_by_issuer,MATCH($G530,OFFSET(cr01_by_issuer,0,0,100,1),0),MATCH(IF(Report!K$493="6M",0.5,LEFT(Report!K$493,LEN(Report!K$493)-1)*1),OFFSET(cr01_by_issuer,0,0,1,50),0)),0))</f>
        <v>0</v>
      </c>
      <c r="L530" s="279">
        <f ca="1">IF(NOT(ISTEXT($G530)),"",IFERROR(INDEX(cr01_by_issuer,MATCH($G530,OFFSET(cr01_by_issuer,0,0,100,1),0),MATCH(IF(Report!L$493="6M",0.5,LEFT(Report!L$493,LEN(Report!L$493)-1)*1),OFFSET(cr01_by_issuer,0,0,1,50),0)),0))</f>
        <v>0</v>
      </c>
      <c r="M530" s="279">
        <f ca="1">IF(NOT(ISTEXT($G530)),"",IFERROR(INDEX(cr01_by_issuer,MATCH($G530,OFFSET(cr01_by_issuer,0,0,100,1),0),MATCH(IF(Report!M$493="6M",0.5,LEFT(Report!M$493,LEN(Report!M$493)-1)*1),OFFSET(cr01_by_issuer,0,0,1,50),0)),0))</f>
        <v>0</v>
      </c>
      <c r="N530" s="279">
        <f ca="1">IF(NOT(ISTEXT($G530)),"",IFERROR(INDEX(cr01_by_issuer,MATCH($G530,OFFSET(cr01_by_issuer,0,0,100,1),0),MATCH(IF(Report!N$493="6M",0.5,LEFT(Report!N$493,LEN(Report!N$493)-1)*1),OFFSET(cr01_by_issuer,0,0,1,50),0)),0))</f>
        <v>0</v>
      </c>
      <c r="O530" s="279">
        <f ca="1">IF(NOT(ISTEXT($G530)),"",IFERROR(INDEX(cr01_by_issuer,MATCH($G530,OFFSET(cr01_by_issuer,0,0,100,1),0),MATCH(IF(Report!O$493="6M",0.5,LEFT(Report!O$493,LEN(Report!O$493)-1)*1),OFFSET(cr01_by_issuer,0,0,1,50),0)),0))</f>
        <v>6602.6942600096299</v>
      </c>
      <c r="P530" s="280">
        <f ca="1">IF(NOT(ISTEXT($G530)),"",IFERROR(INDEX(cr01_by_issuer,MATCH($G530,OFFSET(cr01_by_issuer,0,0,100,1),0),MATCH(IF(Report!P$493="6M",0.5,LEFT(Report!P$493,LEN(Report!P$493)-1)*1),OFFSET(cr01_by_issuer,0,0,1,50),0)),0))</f>
        <v>0</v>
      </c>
      <c r="Q530" s="365">
        <f t="shared" ca="1" si="129"/>
        <v>2.3411717455162573</v>
      </c>
      <c r="R530" s="278">
        <f t="shared" ca="1" si="130"/>
        <v>15458.041245816918</v>
      </c>
      <c r="S530" s="243">
        <f t="shared" ca="1" si="131"/>
        <v>6763043.8183185104</v>
      </c>
      <c r="T530" s="290">
        <f t="shared" ca="1" si="132"/>
        <v>2.3440671915942051E-2</v>
      </c>
      <c r="AA530"/>
    </row>
    <row r="531" spans="5:27" s="311" customFormat="1" x14ac:dyDescent="0.25">
      <c r="E531" s="2"/>
      <c r="F531" s="3"/>
      <c r="G531" s="313" t="str">
        <f ca="1"/>
        <v>NiSource Inc</v>
      </c>
      <c r="H531" s="278">
        <f t="shared" ca="1" si="128"/>
        <v>2038.49119066044</v>
      </c>
      <c r="I531" s="278">
        <f ca="1">IF(NOT(ISTEXT($G531)),"",IFERROR(INDEX(cr01_by_issuer,MATCH($G531,OFFSET(cr01_by_issuer,0,0,100,1),0),MATCH(IF(Report!I$493="6M",0.5,LEFT(Report!I$493,LEN(Report!I$493)-1)*1),OFFSET(cr01_by_issuer,0,0,1,50),0)),0))</f>
        <v>0</v>
      </c>
      <c r="J531" s="279">
        <f ca="1">IF(NOT(ISTEXT($G531)),"",IFERROR(INDEX(cr01_by_issuer,MATCH($G531,OFFSET(cr01_by_issuer,0,0,100,1),0),MATCH(IF(Report!J$493="6M",0.5,LEFT(Report!J$493,LEN(Report!J$493)-1)*1),OFFSET(cr01_by_issuer,0,0,1,50),0)),0))</f>
        <v>0</v>
      </c>
      <c r="K531" s="279">
        <f ca="1">IF(NOT(ISTEXT($G531)),"",IFERROR(INDEX(cr01_by_issuer,MATCH($G531,OFFSET(cr01_by_issuer,0,0,100,1),0),MATCH(IF(Report!K$493="6M",0.5,LEFT(Report!K$493,LEN(Report!K$493)-1)*1),OFFSET(cr01_by_issuer,0,0,1,50),0)),0))</f>
        <v>0</v>
      </c>
      <c r="L531" s="279">
        <f ca="1">IF(NOT(ISTEXT($G531)),"",IFERROR(INDEX(cr01_by_issuer,MATCH($G531,OFFSET(cr01_by_issuer,0,0,100,1),0),MATCH(IF(Report!L$493="6M",0.5,LEFT(Report!L$493,LEN(Report!L$493)-1)*1),OFFSET(cr01_by_issuer,0,0,1,50),0)),0))</f>
        <v>0</v>
      </c>
      <c r="M531" s="279">
        <f ca="1">IF(NOT(ISTEXT($G531)),"",IFERROR(INDEX(cr01_by_issuer,MATCH($G531,OFFSET(cr01_by_issuer,0,0,100,1),0),MATCH(IF(Report!M$493="6M",0.5,LEFT(Report!M$493,LEN(Report!M$493)-1)*1),OFFSET(cr01_by_issuer,0,0,1,50),0)),0))</f>
        <v>2038.49119066044</v>
      </c>
      <c r="N531" s="279">
        <f ca="1">IF(NOT(ISTEXT($G531)),"",IFERROR(INDEX(cr01_by_issuer,MATCH($G531,OFFSET(cr01_by_issuer,0,0,100,1),0),MATCH(IF(Report!N$493="6M",0.5,LEFT(Report!N$493,LEN(Report!N$493)-1)*1),OFFSET(cr01_by_issuer,0,0,1,50),0)),0))</f>
        <v>0</v>
      </c>
      <c r="O531" s="279">
        <f ca="1">IF(NOT(ISTEXT($G531)),"",IFERROR(INDEX(cr01_by_issuer,MATCH($G531,OFFSET(cr01_by_issuer,0,0,100,1),0),MATCH(IF(Report!O$493="6M",0.5,LEFT(Report!O$493,LEN(Report!O$493)-1)*1),OFFSET(cr01_by_issuer,0,0,1,50),0)),0))</f>
        <v>0</v>
      </c>
      <c r="P531" s="280">
        <f ca="1">IF(NOT(ISTEXT($G531)),"",IFERROR(INDEX(cr01_by_issuer,MATCH($G531,OFFSET(cr01_by_issuer,0,0,100,1),0),MATCH(IF(Report!P$493="6M",0.5,LEFT(Report!P$493,LEN(Report!P$493)-1)*1),OFFSET(cr01_by_issuer,0,0,1,50),0)),0))</f>
        <v>0</v>
      </c>
      <c r="Q531" s="365">
        <f t="shared" ca="1" si="129"/>
        <v>3.0130890706074944</v>
      </c>
      <c r="R531" s="278">
        <f t="shared" ca="1" si="130"/>
        <v>6142.1555271086299</v>
      </c>
      <c r="S531" s="243">
        <f t="shared" ca="1" si="131"/>
        <v>3124782.534041997</v>
      </c>
      <c r="T531" s="290">
        <f t="shared" ca="1" si="132"/>
        <v>1.0830478724793449E-2</v>
      </c>
      <c r="AA531"/>
    </row>
    <row r="532" spans="5:27" s="311" customFormat="1" x14ac:dyDescent="0.25">
      <c r="E532" s="2"/>
      <c r="F532" s="3"/>
      <c r="G532" s="313" t="str">
        <f ca="1"/>
        <v>Nordstrom Inc</v>
      </c>
      <c r="H532" s="278">
        <f t="shared" ca="1" si="128"/>
        <v>9172.4345860329995</v>
      </c>
      <c r="I532" s="278">
        <f ca="1">IF(NOT(ISTEXT($G532)),"",IFERROR(INDEX(cr01_by_issuer,MATCH($G532,OFFSET(cr01_by_issuer,0,0,100,1),0),MATCH(IF(Report!I$493="6M",0.5,LEFT(Report!I$493,LEN(Report!I$493)-1)*1),OFFSET(cr01_by_issuer,0,0,1,50),0)),0))</f>
        <v>0</v>
      </c>
      <c r="J532" s="279">
        <f ca="1">IF(NOT(ISTEXT($G532)),"",IFERROR(INDEX(cr01_by_issuer,MATCH($G532,OFFSET(cr01_by_issuer,0,0,100,1),0),MATCH(IF(Report!J$493="6M",0.5,LEFT(Report!J$493,LEN(Report!J$493)-1)*1),OFFSET(cr01_by_issuer,0,0,1,50),0)),0))</f>
        <v>0</v>
      </c>
      <c r="K532" s="279">
        <f ca="1">IF(NOT(ISTEXT($G532)),"",IFERROR(INDEX(cr01_by_issuer,MATCH($G532,OFFSET(cr01_by_issuer,0,0,100,1),0),MATCH(IF(Report!K$493="6M",0.5,LEFT(Report!K$493,LEN(Report!K$493)-1)*1),OFFSET(cr01_by_issuer,0,0,1,50),0)),0))</f>
        <v>0</v>
      </c>
      <c r="L532" s="279">
        <f ca="1">IF(NOT(ISTEXT($G532)),"",IFERROR(INDEX(cr01_by_issuer,MATCH($G532,OFFSET(cr01_by_issuer,0,0,100,1),0),MATCH(IF(Report!L$493="6M",0.5,LEFT(Report!L$493,LEN(Report!L$493)-1)*1),OFFSET(cr01_by_issuer,0,0,1,50),0)),0))</f>
        <v>0</v>
      </c>
      <c r="M532" s="279">
        <f ca="1">IF(NOT(ISTEXT($G532)),"",IFERROR(INDEX(cr01_by_issuer,MATCH($G532,OFFSET(cr01_by_issuer,0,0,100,1),0),MATCH(IF(Report!M$493="6M",0.5,LEFT(Report!M$493,LEN(Report!M$493)-1)*1),OFFSET(cr01_by_issuer,0,0,1,50),0)),0))</f>
        <v>0</v>
      </c>
      <c r="N532" s="279">
        <f ca="1">IF(NOT(ISTEXT($G532)),"",IFERROR(INDEX(cr01_by_issuer,MATCH($G532,OFFSET(cr01_by_issuer,0,0,100,1),0),MATCH(IF(Report!N$493="6M",0.5,LEFT(Report!N$493,LEN(Report!N$493)-1)*1),OFFSET(cr01_by_issuer,0,0,1,50),0)),0))</f>
        <v>9172.4345860329995</v>
      </c>
      <c r="O532" s="279">
        <f ca="1">IF(NOT(ISTEXT($G532)),"",IFERROR(INDEX(cr01_by_issuer,MATCH($G532,OFFSET(cr01_by_issuer,0,0,100,1),0),MATCH(IF(Report!O$493="6M",0.5,LEFT(Report!O$493,LEN(Report!O$493)-1)*1),OFFSET(cr01_by_issuer,0,0,1,50),0)),0))</f>
        <v>0</v>
      </c>
      <c r="P532" s="280">
        <f ca="1">IF(NOT(ISTEXT($G532)),"",IFERROR(INDEX(cr01_by_issuer,MATCH($G532,OFFSET(cr01_by_issuer,0,0,100,1),0),MATCH(IF(Report!P$493="6M",0.5,LEFT(Report!P$493,LEN(Report!P$493)-1)*1),OFFSET(cr01_by_issuer,0,0,1,50),0)),0))</f>
        <v>0</v>
      </c>
      <c r="Q532" s="365">
        <f t="shared" ca="1" si="129"/>
        <v>11.278987480492017</v>
      </c>
      <c r="R532" s="278">
        <f t="shared" ca="1" si="130"/>
        <v>103455.77486149817</v>
      </c>
      <c r="S532" s="243">
        <f t="shared" ca="1" si="131"/>
        <v>11695225.561556058</v>
      </c>
      <c r="T532" s="290">
        <f t="shared" ca="1" si="132"/>
        <v>4.0535586155574378E-2</v>
      </c>
      <c r="AA532"/>
    </row>
    <row r="533" spans="5:27" s="311" customFormat="1" x14ac:dyDescent="0.25">
      <c r="E533" s="2"/>
      <c r="F533" s="3"/>
      <c r="G533" s="313" t="str">
        <f ca="1"/>
        <v>Omnicom Group Inc</v>
      </c>
      <c r="H533" s="278">
        <f t="shared" ca="1" si="128"/>
        <v>4864.0423746013903</v>
      </c>
      <c r="I533" s="278">
        <f ca="1">IF(NOT(ISTEXT($G533)),"",IFERROR(INDEX(cr01_by_issuer,MATCH($G533,OFFSET(cr01_by_issuer,0,0,100,1),0),MATCH(IF(Report!I$493="6M",0.5,LEFT(Report!I$493,LEN(Report!I$493)-1)*1),OFFSET(cr01_by_issuer,0,0,1,50),0)),0))</f>
        <v>0</v>
      </c>
      <c r="J533" s="279">
        <f ca="1">IF(NOT(ISTEXT($G533)),"",IFERROR(INDEX(cr01_by_issuer,MATCH($G533,OFFSET(cr01_by_issuer,0,0,100,1),0),MATCH(IF(Report!J$493="6M",0.5,LEFT(Report!J$493,LEN(Report!J$493)-1)*1),OFFSET(cr01_by_issuer,0,0,1,50),0)),0))</f>
        <v>0</v>
      </c>
      <c r="K533" s="279">
        <f ca="1">IF(NOT(ISTEXT($G533)),"",IFERROR(INDEX(cr01_by_issuer,MATCH($G533,OFFSET(cr01_by_issuer,0,0,100,1),0),MATCH(IF(Report!K$493="6M",0.5,LEFT(Report!K$493,LEN(Report!K$493)-1)*1),OFFSET(cr01_by_issuer,0,0,1,50),0)),0))</f>
        <v>0</v>
      </c>
      <c r="L533" s="279">
        <f ca="1">IF(NOT(ISTEXT($G533)),"",IFERROR(INDEX(cr01_by_issuer,MATCH($G533,OFFSET(cr01_by_issuer,0,0,100,1),0),MATCH(IF(Report!L$493="6M",0.5,LEFT(Report!L$493,LEN(Report!L$493)-1)*1),OFFSET(cr01_by_issuer,0,0,1,50),0)),0))</f>
        <v>0</v>
      </c>
      <c r="M533" s="279">
        <f ca="1">IF(NOT(ISTEXT($G533)),"",IFERROR(INDEX(cr01_by_issuer,MATCH($G533,OFFSET(cr01_by_issuer,0,0,100,1),0),MATCH(IF(Report!M$493="6M",0.5,LEFT(Report!M$493,LEN(Report!M$493)-1)*1),OFFSET(cr01_by_issuer,0,0,1,50),0)),0))</f>
        <v>0</v>
      </c>
      <c r="N533" s="279">
        <f ca="1">IF(NOT(ISTEXT($G533)),"",IFERROR(INDEX(cr01_by_issuer,MATCH($G533,OFFSET(cr01_by_issuer,0,0,100,1),0),MATCH(IF(Report!N$493="6M",0.5,LEFT(Report!N$493,LEN(Report!N$493)-1)*1),OFFSET(cr01_by_issuer,0,0,1,50),0)),0))</f>
        <v>4864.0423746013903</v>
      </c>
      <c r="O533" s="279">
        <f ca="1">IF(NOT(ISTEXT($G533)),"",IFERROR(INDEX(cr01_by_issuer,MATCH($G533,OFFSET(cr01_by_issuer,0,0,100,1),0),MATCH(IF(Report!O$493="6M",0.5,LEFT(Report!O$493,LEN(Report!O$493)-1)*1),OFFSET(cr01_by_issuer,0,0,1,50),0)),0))</f>
        <v>0</v>
      </c>
      <c r="P533" s="280">
        <f ca="1">IF(NOT(ISTEXT($G533)),"",IFERROR(INDEX(cr01_by_issuer,MATCH($G533,OFFSET(cr01_by_issuer,0,0,100,1),0),MATCH(IF(Report!P$493="6M",0.5,LEFT(Report!P$493,LEN(Report!P$493)-1)*1),OFFSET(cr01_by_issuer,0,0,1,50),0)),0))</f>
        <v>0</v>
      </c>
      <c r="Q533" s="365">
        <f t="shared" ca="1" si="129"/>
        <v>1.2254089390011187</v>
      </c>
      <c r="R533" s="278">
        <f t="shared" ca="1" si="130"/>
        <v>5960.4410055167718</v>
      </c>
      <c r="S533" s="243">
        <f t="shared" ca="1" si="131"/>
        <v>6178199.7116324324</v>
      </c>
      <c r="T533" s="290">
        <f t="shared" ca="1" si="132"/>
        <v>2.1413605524671937E-2</v>
      </c>
      <c r="AA533"/>
    </row>
    <row r="534" spans="5:27" s="311" customFormat="1" x14ac:dyDescent="0.25">
      <c r="E534" s="2"/>
      <c r="F534" s="3"/>
      <c r="G534" s="313" t="str">
        <f ca="1"/>
        <v>Prudential Financial Inc</v>
      </c>
      <c r="H534" s="278">
        <f t="shared" ca="1" si="128"/>
        <v>5461.5933613102206</v>
      </c>
      <c r="I534" s="278">
        <f ca="1">IF(NOT(ISTEXT($G534)),"",IFERROR(INDEX(cr01_by_issuer,MATCH($G534,OFFSET(cr01_by_issuer,0,0,100,1),0),MATCH(IF(Report!I$493="6M",0.5,LEFT(Report!I$493,LEN(Report!I$493)-1)*1),OFFSET(cr01_by_issuer,0,0,1,50),0)),0))</f>
        <v>0</v>
      </c>
      <c r="J534" s="279">
        <f ca="1">IF(NOT(ISTEXT($G534)),"",IFERROR(INDEX(cr01_by_issuer,MATCH($G534,OFFSET(cr01_by_issuer,0,0,100,1),0),MATCH(IF(Report!J$493="6M",0.5,LEFT(Report!J$493,LEN(Report!J$493)-1)*1),OFFSET(cr01_by_issuer,0,0,1,50),0)),0))</f>
        <v>0</v>
      </c>
      <c r="K534" s="279">
        <f ca="1">IF(NOT(ISTEXT($G534)),"",IFERROR(INDEX(cr01_by_issuer,MATCH($G534,OFFSET(cr01_by_issuer,0,0,100,1),0),MATCH(IF(Report!K$493="6M",0.5,LEFT(Report!K$493,LEN(Report!K$493)-1)*1),OFFSET(cr01_by_issuer,0,0,1,50),0)),0))</f>
        <v>0</v>
      </c>
      <c r="L534" s="279">
        <f ca="1">IF(NOT(ISTEXT($G534)),"",IFERROR(INDEX(cr01_by_issuer,MATCH($G534,OFFSET(cr01_by_issuer,0,0,100,1),0),MATCH(IF(Report!L$493="6M",0.5,LEFT(Report!L$493,LEN(Report!L$493)-1)*1),OFFSET(cr01_by_issuer,0,0,1,50),0)),0))</f>
        <v>0</v>
      </c>
      <c r="M534" s="279">
        <f ca="1">IF(NOT(ISTEXT($G534)),"",IFERROR(INDEX(cr01_by_issuer,MATCH($G534,OFFSET(cr01_by_issuer,0,0,100,1),0),MATCH(IF(Report!M$493="6M",0.5,LEFT(Report!M$493,LEN(Report!M$493)-1)*1),OFFSET(cr01_by_issuer,0,0,1,50),0)),0))</f>
        <v>0</v>
      </c>
      <c r="N534" s="279">
        <f ca="1">IF(NOT(ISTEXT($G534)),"",IFERROR(INDEX(cr01_by_issuer,MATCH($G534,OFFSET(cr01_by_issuer,0,0,100,1),0),MATCH(IF(Report!N$493="6M",0.5,LEFT(Report!N$493,LEN(Report!N$493)-1)*1),OFFSET(cr01_by_issuer,0,0,1,50),0)),0))</f>
        <v>-1209.29402960024</v>
      </c>
      <c r="O534" s="279">
        <f ca="1">IF(NOT(ISTEXT($G534)),"",IFERROR(INDEX(cr01_by_issuer,MATCH($G534,OFFSET(cr01_by_issuer,0,0,100,1),0),MATCH(IF(Report!O$493="6M",0.5,LEFT(Report!O$493,LEN(Report!O$493)-1)*1),OFFSET(cr01_by_issuer,0,0,1,50),0)),0))</f>
        <v>6670.8873909104605</v>
      </c>
      <c r="P534" s="280">
        <f ca="1">IF(NOT(ISTEXT($G534)),"",IFERROR(INDEX(cr01_by_issuer,MATCH($G534,OFFSET(cr01_by_issuer,0,0,100,1),0),MATCH(IF(Report!P$493="6M",0.5,LEFT(Report!P$493,LEN(Report!P$493)-1)*1),OFFSET(cr01_by_issuer,0,0,1,50),0)),0))</f>
        <v>0</v>
      </c>
      <c r="Q534" s="365">
        <f t="shared" ca="1" si="129"/>
        <v>1.7574583150941745</v>
      </c>
      <c r="R534" s="278">
        <f t="shared" ca="1" si="130"/>
        <v>9598.522666497789</v>
      </c>
      <c r="S534" s="243">
        <f t="shared" ca="1" si="131"/>
        <v>5290239.5983293904</v>
      </c>
      <c r="T534" s="290">
        <f t="shared" ca="1" si="132"/>
        <v>1.8335940755740365E-2</v>
      </c>
      <c r="AA534"/>
    </row>
    <row r="535" spans="5:27" s="311" customFormat="1" x14ac:dyDescent="0.25">
      <c r="E535" s="2"/>
      <c r="F535" s="3"/>
      <c r="G535" s="313" t="str">
        <f ca="1"/>
        <v>Royal Caribbean Cruises Ltd</v>
      </c>
      <c r="H535" s="278">
        <f t="shared" ca="1" si="128"/>
        <v>2757.7542719738199</v>
      </c>
      <c r="I535" s="278">
        <f ca="1">IF(NOT(ISTEXT($G535)),"",IFERROR(INDEX(cr01_by_issuer,MATCH($G535,OFFSET(cr01_by_issuer,0,0,100,1),0),MATCH(IF(Report!I$493="6M",0.5,LEFT(Report!I$493,LEN(Report!I$493)-1)*1),OFFSET(cr01_by_issuer,0,0,1,50),0)),0))</f>
        <v>0</v>
      </c>
      <c r="J535" s="279">
        <f ca="1">IF(NOT(ISTEXT($G535)),"",IFERROR(INDEX(cr01_by_issuer,MATCH($G535,OFFSET(cr01_by_issuer,0,0,100,1),0),MATCH(IF(Report!J$493="6M",0.5,LEFT(Report!J$493,LEN(Report!J$493)-1)*1),OFFSET(cr01_by_issuer,0,0,1,50),0)),0))</f>
        <v>0</v>
      </c>
      <c r="K535" s="279">
        <f ca="1">IF(NOT(ISTEXT($G535)),"",IFERROR(INDEX(cr01_by_issuer,MATCH($G535,OFFSET(cr01_by_issuer,0,0,100,1),0),MATCH(IF(Report!K$493="6M",0.5,LEFT(Report!K$493,LEN(Report!K$493)-1)*1),OFFSET(cr01_by_issuer,0,0,1,50),0)),0))</f>
        <v>0</v>
      </c>
      <c r="L535" s="279">
        <f ca="1">IF(NOT(ISTEXT($G535)),"",IFERROR(INDEX(cr01_by_issuer,MATCH($G535,OFFSET(cr01_by_issuer,0,0,100,1),0),MATCH(IF(Report!L$493="6M",0.5,LEFT(Report!L$493,LEN(Report!L$493)-1)*1),OFFSET(cr01_by_issuer,0,0,1,50),0)),0))</f>
        <v>0</v>
      </c>
      <c r="M535" s="279">
        <f ca="1">IF(NOT(ISTEXT($G535)),"",IFERROR(INDEX(cr01_by_issuer,MATCH($G535,OFFSET(cr01_by_issuer,0,0,100,1),0),MATCH(IF(Report!M$493="6M",0.5,LEFT(Report!M$493,LEN(Report!M$493)-1)*1),OFFSET(cr01_by_issuer,0,0,1,50),0)),0))</f>
        <v>0</v>
      </c>
      <c r="N535" s="279">
        <f ca="1">IF(NOT(ISTEXT($G535)),"",IFERROR(INDEX(cr01_by_issuer,MATCH($G535,OFFSET(cr01_by_issuer,0,0,100,1),0),MATCH(IF(Report!N$493="6M",0.5,LEFT(Report!N$493,LEN(Report!N$493)-1)*1),OFFSET(cr01_by_issuer,0,0,1,50),0)),0))</f>
        <v>2757.7542719738199</v>
      </c>
      <c r="O535" s="279">
        <f ca="1">IF(NOT(ISTEXT($G535)),"",IFERROR(INDEX(cr01_by_issuer,MATCH($G535,OFFSET(cr01_by_issuer,0,0,100,1),0),MATCH(IF(Report!O$493="6M",0.5,LEFT(Report!O$493,LEN(Report!O$493)-1)*1),OFFSET(cr01_by_issuer,0,0,1,50),0)),0))</f>
        <v>0</v>
      </c>
      <c r="P535" s="280">
        <f ca="1">IF(NOT(ISTEXT($G535)),"",IFERROR(INDEX(cr01_by_issuer,MATCH($G535,OFFSET(cr01_by_issuer,0,0,100,1),0),MATCH(IF(Report!P$493="6M",0.5,LEFT(Report!P$493,LEN(Report!P$493)-1)*1),OFFSET(cr01_by_issuer,0,0,1,50),0)),0))</f>
        <v>0</v>
      </c>
      <c r="Q535" s="365">
        <f t="shared" ca="1" si="129"/>
        <v>2.4998719026680325</v>
      </c>
      <c r="R535" s="278">
        <f t="shared" ca="1" si="130"/>
        <v>6894.0324189700877</v>
      </c>
      <c r="S535" s="243">
        <f t="shared" ca="1" si="131"/>
        <v>3954083.591729139</v>
      </c>
      <c r="T535" s="290">
        <f t="shared" ca="1" si="132"/>
        <v>1.370483153619091E-2</v>
      </c>
      <c r="AA535"/>
    </row>
    <row r="536" spans="5:27" s="311" customFormat="1" x14ac:dyDescent="0.25">
      <c r="E536" s="2"/>
      <c r="F536" s="3"/>
      <c r="G536" s="313" t="str">
        <f ca="1"/>
        <v>Ryder System Inc</v>
      </c>
      <c r="H536" s="278">
        <f t="shared" ca="1" si="128"/>
        <v>7501.5306310404003</v>
      </c>
      <c r="I536" s="278">
        <f ca="1">IF(NOT(ISTEXT($G536)),"",IFERROR(INDEX(cr01_by_issuer,MATCH($G536,OFFSET(cr01_by_issuer,0,0,100,1),0),MATCH(IF(Report!I$493="6M",0.5,LEFT(Report!I$493,LEN(Report!I$493)-1)*1),OFFSET(cr01_by_issuer,0,0,1,50),0)),0))</f>
        <v>0</v>
      </c>
      <c r="J536" s="279">
        <f ca="1">IF(NOT(ISTEXT($G536)),"",IFERROR(INDEX(cr01_by_issuer,MATCH($G536,OFFSET(cr01_by_issuer,0,0,100,1),0),MATCH(IF(Report!J$493="6M",0.5,LEFT(Report!J$493,LEN(Report!J$493)-1)*1),OFFSET(cr01_by_issuer,0,0,1,50),0)),0))</f>
        <v>0</v>
      </c>
      <c r="K536" s="279">
        <f ca="1">IF(NOT(ISTEXT($G536)),"",IFERROR(INDEX(cr01_by_issuer,MATCH($G536,OFFSET(cr01_by_issuer,0,0,100,1),0),MATCH(IF(Report!K$493="6M",0.5,LEFT(Report!K$493,LEN(Report!K$493)-1)*1),OFFSET(cr01_by_issuer,0,0,1,50),0)),0))</f>
        <v>0</v>
      </c>
      <c r="L536" s="279">
        <f ca="1">IF(NOT(ISTEXT($G536)),"",IFERROR(INDEX(cr01_by_issuer,MATCH($G536,OFFSET(cr01_by_issuer,0,0,100,1),0),MATCH(IF(Report!L$493="6M",0.5,LEFT(Report!L$493,LEN(Report!L$493)-1)*1),OFFSET(cr01_by_issuer,0,0,1,50),0)),0))</f>
        <v>0</v>
      </c>
      <c r="M536" s="279">
        <f ca="1">IF(NOT(ISTEXT($G536)),"",IFERROR(INDEX(cr01_by_issuer,MATCH($G536,OFFSET(cr01_by_issuer,0,0,100,1),0),MATCH(IF(Report!M$493="6M",0.5,LEFT(Report!M$493,LEN(Report!M$493)-1)*1),OFFSET(cr01_by_issuer,0,0,1,50),0)),0))</f>
        <v>0</v>
      </c>
      <c r="N536" s="279">
        <f ca="1">IF(NOT(ISTEXT($G536)),"",IFERROR(INDEX(cr01_by_issuer,MATCH($G536,OFFSET(cr01_by_issuer,0,0,100,1),0),MATCH(IF(Report!N$493="6M",0.5,LEFT(Report!N$493,LEN(Report!N$493)-1)*1),OFFSET(cr01_by_issuer,0,0,1,50),0)),0))</f>
        <v>0</v>
      </c>
      <c r="O536" s="279">
        <f ca="1">IF(NOT(ISTEXT($G536)),"",IFERROR(INDEX(cr01_by_issuer,MATCH($G536,OFFSET(cr01_by_issuer,0,0,100,1),0),MATCH(IF(Report!O$493="6M",0.5,LEFT(Report!O$493,LEN(Report!O$493)-1)*1),OFFSET(cr01_by_issuer,0,0,1,50),0)),0))</f>
        <v>7501.5306310404003</v>
      </c>
      <c r="P536" s="280">
        <f ca="1">IF(NOT(ISTEXT($G536)),"",IFERROR(INDEX(cr01_by_issuer,MATCH($G536,OFFSET(cr01_by_issuer,0,0,100,1),0),MATCH(IF(Report!P$493="6M",0.5,LEFT(Report!P$493,LEN(Report!P$493)-1)*1),OFFSET(cr01_by_issuer,0,0,1,50),0)),0))</f>
        <v>0</v>
      </c>
      <c r="Q536" s="365">
        <f t="shared" ca="1" si="129"/>
        <v>1.6613982728863737</v>
      </c>
      <c r="R536" s="278">
        <f t="shared" ca="1" si="130"/>
        <v>12463.030034414749</v>
      </c>
      <c r="S536" s="243">
        <f t="shared" ca="1" si="131"/>
        <v>7682059.3799996376</v>
      </c>
      <c r="T536" s="290">
        <f t="shared" ca="1" si="132"/>
        <v>2.6625974694649845E-2</v>
      </c>
      <c r="AA536"/>
    </row>
    <row r="537" spans="5:27" s="311" customFormat="1" x14ac:dyDescent="0.25">
      <c r="E537" s="2"/>
      <c r="F537" s="3"/>
      <c r="G537" s="313" t="str">
        <f ca="1"/>
        <v>Simon Property Group LP</v>
      </c>
      <c r="H537" s="278">
        <f t="shared" ca="1" si="128"/>
        <v>1690.2254174110301</v>
      </c>
      <c r="I537" s="278">
        <f ca="1">IF(NOT(ISTEXT($G537)),"",IFERROR(INDEX(cr01_by_issuer,MATCH($G537,OFFSET(cr01_by_issuer,0,0,100,1),0),MATCH(IF(Report!I$493="6M",0.5,LEFT(Report!I$493,LEN(Report!I$493)-1)*1),OFFSET(cr01_by_issuer,0,0,1,50),0)),0))</f>
        <v>0</v>
      </c>
      <c r="J537" s="279">
        <f ca="1">IF(NOT(ISTEXT($G537)),"",IFERROR(INDEX(cr01_by_issuer,MATCH($G537,OFFSET(cr01_by_issuer,0,0,100,1),0),MATCH(IF(Report!J$493="6M",0.5,LEFT(Report!J$493,LEN(Report!J$493)-1)*1),OFFSET(cr01_by_issuer,0,0,1,50),0)),0))</f>
        <v>0</v>
      </c>
      <c r="K537" s="279">
        <f ca="1">IF(NOT(ISTEXT($G537)),"",IFERROR(INDEX(cr01_by_issuer,MATCH($G537,OFFSET(cr01_by_issuer,0,0,100,1),0),MATCH(IF(Report!K$493="6M",0.5,LEFT(Report!K$493,LEN(Report!K$493)-1)*1),OFFSET(cr01_by_issuer,0,0,1,50),0)),0))</f>
        <v>0</v>
      </c>
      <c r="L537" s="279">
        <f ca="1">IF(NOT(ISTEXT($G537)),"",IFERROR(INDEX(cr01_by_issuer,MATCH($G537,OFFSET(cr01_by_issuer,0,0,100,1),0),MATCH(IF(Report!L$493="6M",0.5,LEFT(Report!L$493,LEN(Report!L$493)-1)*1),OFFSET(cr01_by_issuer,0,0,1,50),0)),0))</f>
        <v>0</v>
      </c>
      <c r="M537" s="279">
        <f ca="1">IF(NOT(ISTEXT($G537)),"",IFERROR(INDEX(cr01_by_issuer,MATCH($G537,OFFSET(cr01_by_issuer,0,0,100,1),0),MATCH(IF(Report!M$493="6M",0.5,LEFT(Report!M$493,LEN(Report!M$493)-1)*1),OFFSET(cr01_by_issuer,0,0,1,50),0)),0))</f>
        <v>0</v>
      </c>
      <c r="N537" s="279">
        <f ca="1">IF(NOT(ISTEXT($G537)),"",IFERROR(INDEX(cr01_by_issuer,MATCH($G537,OFFSET(cr01_by_issuer,0,0,100,1),0),MATCH(IF(Report!N$493="6M",0.5,LEFT(Report!N$493,LEN(Report!N$493)-1)*1),OFFSET(cr01_by_issuer,0,0,1,50),0)),0))</f>
        <v>1690.2254174110301</v>
      </c>
      <c r="O537" s="279">
        <f ca="1">IF(NOT(ISTEXT($G537)),"",IFERROR(INDEX(cr01_by_issuer,MATCH($G537,OFFSET(cr01_by_issuer,0,0,100,1),0),MATCH(IF(Report!O$493="6M",0.5,LEFT(Report!O$493,LEN(Report!O$493)-1)*1),OFFSET(cr01_by_issuer,0,0,1,50),0)),0))</f>
        <v>0</v>
      </c>
      <c r="P537" s="280">
        <f ca="1">IF(NOT(ISTEXT($G537)),"",IFERROR(INDEX(cr01_by_issuer,MATCH($G537,OFFSET(cr01_by_issuer,0,0,100,1),0),MATCH(IF(Report!P$493="6M",0.5,LEFT(Report!P$493,LEN(Report!P$493)-1)*1),OFFSET(cr01_by_issuer,0,0,1,50),0)),0))</f>
        <v>0</v>
      </c>
      <c r="Q537" s="365">
        <f t="shared" ca="1" si="129"/>
        <v>1.8840891511825348</v>
      </c>
      <c r="R537" s="278">
        <f t="shared" ca="1" si="130"/>
        <v>3184.5353719970935</v>
      </c>
      <c r="S537" s="243">
        <f t="shared" ca="1" si="131"/>
        <v>2147870.373613013</v>
      </c>
      <c r="T537" s="290">
        <f t="shared" ca="1" si="132"/>
        <v>7.444506659776807E-3</v>
      </c>
      <c r="AA537"/>
    </row>
    <row r="538" spans="5:27" s="311" customFormat="1" x14ac:dyDescent="0.25">
      <c r="E538" s="2"/>
      <c r="F538" s="3"/>
      <c r="G538" s="313" t="str">
        <f ca="1"/>
        <v>Tyson Foods Inc</v>
      </c>
      <c r="H538" s="278">
        <f t="shared" ca="1" si="128"/>
        <v>9631.4659320909705</v>
      </c>
      <c r="I538" s="278">
        <f ca="1">IF(NOT(ISTEXT($G538)),"",IFERROR(INDEX(cr01_by_issuer,MATCH($G538,OFFSET(cr01_by_issuer,0,0,100,1),0),MATCH(IF(Report!I$493="6M",0.5,LEFT(Report!I$493,LEN(Report!I$493)-1)*1),OFFSET(cr01_by_issuer,0,0,1,50),0)),0))</f>
        <v>0</v>
      </c>
      <c r="J538" s="279">
        <f ca="1">IF(NOT(ISTEXT($G538)),"",IFERROR(INDEX(cr01_by_issuer,MATCH($G538,OFFSET(cr01_by_issuer,0,0,100,1),0),MATCH(IF(Report!J$493="6M",0.5,LEFT(Report!J$493,LEN(Report!J$493)-1)*1),OFFSET(cr01_by_issuer,0,0,1,50),0)),0))</f>
        <v>0</v>
      </c>
      <c r="K538" s="279">
        <f ca="1">IF(NOT(ISTEXT($G538)),"",IFERROR(INDEX(cr01_by_issuer,MATCH($G538,OFFSET(cr01_by_issuer,0,0,100,1),0),MATCH(IF(Report!K$493="6M",0.5,LEFT(Report!K$493,LEN(Report!K$493)-1)*1),OFFSET(cr01_by_issuer,0,0,1,50),0)),0))</f>
        <v>0</v>
      </c>
      <c r="L538" s="279">
        <f ca="1">IF(NOT(ISTEXT($G538)),"",IFERROR(INDEX(cr01_by_issuer,MATCH($G538,OFFSET(cr01_by_issuer,0,0,100,1),0),MATCH(IF(Report!L$493="6M",0.5,LEFT(Report!L$493,LEN(Report!L$493)-1)*1),OFFSET(cr01_by_issuer,0,0,1,50),0)),0))</f>
        <v>0</v>
      </c>
      <c r="M538" s="279">
        <f ca="1">IF(NOT(ISTEXT($G538)),"",IFERROR(INDEX(cr01_by_issuer,MATCH($G538,OFFSET(cr01_by_issuer,0,0,100,1),0),MATCH(IF(Report!M$493="6M",0.5,LEFT(Report!M$493,LEN(Report!M$493)-1)*1),OFFSET(cr01_by_issuer,0,0,1,50),0)),0))</f>
        <v>0</v>
      </c>
      <c r="N538" s="279">
        <f ca="1">IF(NOT(ISTEXT($G538)),"",IFERROR(INDEX(cr01_by_issuer,MATCH($G538,OFFSET(cr01_by_issuer,0,0,100,1),0),MATCH(IF(Report!N$493="6M",0.5,LEFT(Report!N$493,LEN(Report!N$493)-1)*1),OFFSET(cr01_by_issuer,0,0,1,50),0)),0))</f>
        <v>9631.4659320909705</v>
      </c>
      <c r="O538" s="279">
        <f ca="1">IF(NOT(ISTEXT($G538)),"",IFERROR(INDEX(cr01_by_issuer,MATCH($G538,OFFSET(cr01_by_issuer,0,0,100,1),0),MATCH(IF(Report!O$493="6M",0.5,LEFT(Report!O$493,LEN(Report!O$493)-1)*1),OFFSET(cr01_by_issuer,0,0,1,50),0)),0))</f>
        <v>0</v>
      </c>
      <c r="P538" s="280">
        <f ca="1">IF(NOT(ISTEXT($G538)),"",IFERROR(INDEX(cr01_by_issuer,MATCH($G538,OFFSET(cr01_by_issuer,0,0,100,1),0),MATCH(IF(Report!P$493="6M",0.5,LEFT(Report!P$493,LEN(Report!P$493)-1)*1),OFFSET(cr01_by_issuer,0,0,1,50),0)),0))</f>
        <v>0</v>
      </c>
      <c r="Q538" s="365">
        <f t="shared" ca="1" si="129"/>
        <v>1.4407426465392159</v>
      </c>
      <c r="R538" s="278">
        <f t="shared" ca="1" si="130"/>
        <v>13876.46371705304</v>
      </c>
      <c r="S538" s="243">
        <f t="shared" ca="1" si="131"/>
        <v>12241467.569034252</v>
      </c>
      <c r="T538" s="290">
        <f t="shared" ca="1" si="132"/>
        <v>4.2428857887648629E-2</v>
      </c>
      <c r="AA538"/>
    </row>
    <row r="539" spans="5:27" s="311" customFormat="1" x14ac:dyDescent="0.25">
      <c r="E539" s="2"/>
      <c r="F539" s="3"/>
      <c r="G539" s="313" t="str">
        <f ca="1"/>
        <v>United Rentals North America I</v>
      </c>
      <c r="H539" s="278">
        <f t="shared" ca="1" si="128"/>
        <v>559.29234918696056</v>
      </c>
      <c r="I539" s="278">
        <f ca="1">IF(NOT(ISTEXT($G539)),"",IFERROR(INDEX(cr01_by_issuer,MATCH($G539,OFFSET(cr01_by_issuer,0,0,100,1),0),MATCH(IF(Report!I$493="6M",0.5,LEFT(Report!I$493,LEN(Report!I$493)-1)*1),OFFSET(cr01_by_issuer,0,0,1,50),0)),0))</f>
        <v>0</v>
      </c>
      <c r="J539" s="279">
        <f ca="1">IF(NOT(ISTEXT($G539)),"",IFERROR(INDEX(cr01_by_issuer,MATCH($G539,OFFSET(cr01_by_issuer,0,0,100,1),0),MATCH(IF(Report!J$493="6M",0.5,LEFT(Report!J$493,LEN(Report!J$493)-1)*1),OFFSET(cr01_by_issuer,0,0,1,50),0)),0))</f>
        <v>0</v>
      </c>
      <c r="K539" s="279">
        <f ca="1">IF(NOT(ISTEXT($G539)),"",IFERROR(INDEX(cr01_by_issuer,MATCH($G539,OFFSET(cr01_by_issuer,0,0,100,1),0),MATCH(IF(Report!K$493="6M",0.5,LEFT(Report!K$493,LEN(Report!K$493)-1)*1),OFFSET(cr01_by_issuer,0,0,1,50),0)),0))</f>
        <v>0</v>
      </c>
      <c r="L539" s="279">
        <f ca="1">IF(NOT(ISTEXT($G539)),"",IFERROR(INDEX(cr01_by_issuer,MATCH($G539,OFFSET(cr01_by_issuer,0,0,100,1),0),MATCH(IF(Report!L$493="6M",0.5,LEFT(Report!L$493,LEN(Report!L$493)-1)*1),OFFSET(cr01_by_issuer,0,0,1,50),0)),0))</f>
        <v>0</v>
      </c>
      <c r="M539" s="279">
        <f ca="1">IF(NOT(ISTEXT($G539)),"",IFERROR(INDEX(cr01_by_issuer,MATCH($G539,OFFSET(cr01_by_issuer,0,0,100,1),0),MATCH(IF(Report!M$493="6M",0.5,LEFT(Report!M$493,LEN(Report!M$493)-1)*1),OFFSET(cr01_by_issuer,0,0,1,50),0)),0))</f>
        <v>0</v>
      </c>
      <c r="N539" s="279">
        <f ca="1">IF(NOT(ISTEXT($G539)),"",IFERROR(INDEX(cr01_by_issuer,MATCH($G539,OFFSET(cr01_by_issuer,0,0,100,1),0),MATCH(IF(Report!N$493="6M",0.5,LEFT(Report!N$493,LEN(Report!N$493)-1)*1),OFFSET(cr01_by_issuer,0,0,1,50),0)),0))</f>
        <v>559.29234918696056</v>
      </c>
      <c r="O539" s="279">
        <f ca="1">IF(NOT(ISTEXT($G539)),"",IFERROR(INDEX(cr01_by_issuer,MATCH($G539,OFFSET(cr01_by_issuer,0,0,100,1),0),MATCH(IF(Report!O$493="6M",0.5,LEFT(Report!O$493,LEN(Report!O$493)-1)*1),OFFSET(cr01_by_issuer,0,0,1,50),0)),0))</f>
        <v>0</v>
      </c>
      <c r="P539" s="280">
        <f ca="1">IF(NOT(ISTEXT($G539)),"",IFERROR(INDEX(cr01_by_issuer,MATCH($G539,OFFSET(cr01_by_issuer,0,0,100,1),0),MATCH(IF(Report!P$493="6M",0.5,LEFT(Report!P$493,LEN(Report!P$493)-1)*1),OFFSET(cr01_by_issuer,0,0,1,50),0)),0))</f>
        <v>0</v>
      </c>
      <c r="Q539" s="365">
        <f t="shared" ca="1" si="129"/>
        <v>4.9270035615022589</v>
      </c>
      <c r="R539" s="278">
        <f t="shared" ca="1" si="130"/>
        <v>2755.63539636512</v>
      </c>
      <c r="S539" s="243">
        <f t="shared" ca="1" si="131"/>
        <v>1559509.0924449209</v>
      </c>
      <c r="T539" s="290">
        <f t="shared" ca="1" si="132"/>
        <v>5.4052497614925712E-3</v>
      </c>
      <c r="AA539"/>
    </row>
    <row r="540" spans="5:27" s="311" customFormat="1" x14ac:dyDescent="0.25">
      <c r="E540" s="2"/>
      <c r="F540" s="3"/>
      <c r="G540" s="313" t="str">
        <f ca="1"/>
        <v>DISH DBS Corp</v>
      </c>
      <c r="H540" s="278">
        <f t="shared" ca="1" si="128"/>
        <v>0.37840884730940161</v>
      </c>
      <c r="I540" s="278">
        <f ca="1">IF(NOT(ISTEXT($G540)),"",IFERROR(INDEX(cr01_by_issuer,MATCH($G540,OFFSET(cr01_by_issuer,0,0,100,1),0),MATCH(IF(Report!I$493="6M",0.5,LEFT(Report!I$493,LEN(Report!I$493)-1)*1),OFFSET(cr01_by_issuer,0,0,1,50),0)),0))</f>
        <v>0</v>
      </c>
      <c r="J540" s="279">
        <f ca="1">IF(NOT(ISTEXT($G540)),"",IFERROR(INDEX(cr01_by_issuer,MATCH($G540,OFFSET(cr01_by_issuer,0,0,100,1),0),MATCH(IF(Report!J$493="6M",0.5,LEFT(Report!J$493,LEN(Report!J$493)-1)*1),OFFSET(cr01_by_issuer,0,0,1,50),0)),0))</f>
        <v>0</v>
      </c>
      <c r="K540" s="279">
        <f ca="1">IF(NOT(ISTEXT($G540)),"",IFERROR(INDEX(cr01_by_issuer,MATCH($G540,OFFSET(cr01_by_issuer,0,0,100,1),0),MATCH(IF(Report!K$493="6M",0.5,LEFT(Report!K$493,LEN(Report!K$493)-1)*1),OFFSET(cr01_by_issuer,0,0,1,50),0)),0))</f>
        <v>0</v>
      </c>
      <c r="L540" s="279">
        <f ca="1">IF(NOT(ISTEXT($G540)),"",IFERROR(INDEX(cr01_by_issuer,MATCH($G540,OFFSET(cr01_by_issuer,0,0,100,1),0),MATCH(IF(Report!L$493="6M",0.5,LEFT(Report!L$493,LEN(Report!L$493)-1)*1),OFFSET(cr01_by_issuer,0,0,1,50),0)),0))</f>
        <v>9264.0079030944598</v>
      </c>
      <c r="M540" s="279">
        <f ca="1">IF(NOT(ISTEXT($G540)),"",IFERROR(INDEX(cr01_by_issuer,MATCH($G540,OFFSET(cr01_by_issuer,0,0,100,1),0),MATCH(IF(Report!M$493="6M",0.5,LEFT(Report!M$493,LEN(Report!M$493)-1)*1),OFFSET(cr01_by_issuer,0,0,1,50),0)),0))</f>
        <v>0</v>
      </c>
      <c r="N540" s="279">
        <f ca="1">IF(NOT(ISTEXT($G540)),"",IFERROR(INDEX(cr01_by_issuer,MATCH($G540,OFFSET(cr01_by_issuer,0,0,100,1),0),MATCH(IF(Report!N$493="6M",0.5,LEFT(Report!N$493,LEN(Report!N$493)-1)*1),OFFSET(cr01_by_issuer,0,0,1,50),0)),0))</f>
        <v>-9263.6294942471504</v>
      </c>
      <c r="O540" s="279">
        <f ca="1">IF(NOT(ISTEXT($G540)),"",IFERROR(INDEX(cr01_by_issuer,MATCH($G540,OFFSET(cr01_by_issuer,0,0,100,1),0),MATCH(IF(Report!O$493="6M",0.5,LEFT(Report!O$493,LEN(Report!O$493)-1)*1),OFFSET(cr01_by_issuer,0,0,1,50),0)),0))</f>
        <v>0</v>
      </c>
      <c r="P540" s="280">
        <f ca="1">IF(NOT(ISTEXT($G540)),"",IFERROR(INDEX(cr01_by_issuer,MATCH($G540,OFFSET(cr01_by_issuer,0,0,100,1),0),MATCH(IF(Report!P$493="6M",0.5,LEFT(Report!P$493,LEN(Report!P$493)-1)*1),OFFSET(cr01_by_issuer,0,0,1,50),0)),0))</f>
        <v>0</v>
      </c>
      <c r="Q540" s="365">
        <f t="shared" ca="1" si="129"/>
        <v>9.6128211680561666</v>
      </c>
      <c r="R540" s="278">
        <f t="shared" ca="1" si="130"/>
        <v>3.6375765775955498</v>
      </c>
      <c r="S540" s="243">
        <f t="shared" ca="1" si="131"/>
        <v>8067400.0427789241</v>
      </c>
      <c r="T540" s="290">
        <f t="shared" ca="1" si="132"/>
        <v>2.7961563269074709E-2</v>
      </c>
      <c r="AA540"/>
    </row>
    <row r="541" spans="5:27" s="311" customFormat="1" x14ac:dyDescent="0.25">
      <c r="E541" s="2"/>
      <c r="F541" s="3"/>
      <c r="G541" s="313" t="str">
        <f ca="1"/>
        <v>Kawasaki Heavy Industries Ltd</v>
      </c>
      <c r="H541" s="278">
        <f t="shared" ca="1" si="128"/>
        <v>6434.60786933895</v>
      </c>
      <c r="I541" s="278">
        <f ca="1">IF(NOT(ISTEXT($G541)),"",IFERROR(INDEX(cr01_by_issuer,MATCH($G541,OFFSET(cr01_by_issuer,0,0,100,1),0),MATCH(IF(Report!I$493="6M",0.5,LEFT(Report!I$493,LEN(Report!I$493)-1)*1),OFFSET(cr01_by_issuer,0,0,1,50),0)),0))</f>
        <v>0</v>
      </c>
      <c r="J541" s="279">
        <f ca="1">IF(NOT(ISTEXT($G541)),"",IFERROR(INDEX(cr01_by_issuer,MATCH($G541,OFFSET(cr01_by_issuer,0,0,100,1),0),MATCH(IF(Report!J$493="6M",0.5,LEFT(Report!J$493,LEN(Report!J$493)-1)*1),OFFSET(cr01_by_issuer,0,0,1,50),0)),0))</f>
        <v>0</v>
      </c>
      <c r="K541" s="279">
        <f ca="1">IF(NOT(ISTEXT($G541)),"",IFERROR(INDEX(cr01_by_issuer,MATCH($G541,OFFSET(cr01_by_issuer,0,0,100,1),0),MATCH(IF(Report!K$493="6M",0.5,LEFT(Report!K$493,LEN(Report!K$493)-1)*1),OFFSET(cr01_by_issuer,0,0,1,50),0)),0))</f>
        <v>0</v>
      </c>
      <c r="L541" s="279">
        <f ca="1">IF(NOT(ISTEXT($G541)),"",IFERROR(INDEX(cr01_by_issuer,MATCH($G541,OFFSET(cr01_by_issuer,0,0,100,1),0),MATCH(IF(Report!L$493="6M",0.5,LEFT(Report!L$493,LEN(Report!L$493)-1)*1),OFFSET(cr01_by_issuer,0,0,1,50),0)),0))</f>
        <v>0</v>
      </c>
      <c r="M541" s="279">
        <f ca="1">IF(NOT(ISTEXT($G541)),"",IFERROR(INDEX(cr01_by_issuer,MATCH($G541,OFFSET(cr01_by_issuer,0,0,100,1),0),MATCH(IF(Report!M$493="6M",0.5,LEFT(Report!M$493,LEN(Report!M$493)-1)*1),OFFSET(cr01_by_issuer,0,0,1,50),0)),0))</f>
        <v>0</v>
      </c>
      <c r="N541" s="279">
        <f ca="1">IF(NOT(ISTEXT($G541)),"",IFERROR(INDEX(cr01_by_issuer,MATCH($G541,OFFSET(cr01_by_issuer,0,0,100,1),0),MATCH(IF(Report!N$493="6M",0.5,LEFT(Report!N$493,LEN(Report!N$493)-1)*1),OFFSET(cr01_by_issuer,0,0,1,50),0)),0))</f>
        <v>6434.60786933895</v>
      </c>
      <c r="O541" s="279">
        <f ca="1">IF(NOT(ISTEXT($G541)),"",IFERROR(INDEX(cr01_by_issuer,MATCH($G541,OFFSET(cr01_by_issuer,0,0,100,1),0),MATCH(IF(Report!O$493="6M",0.5,LEFT(Report!O$493,LEN(Report!O$493)-1)*1),OFFSET(cr01_by_issuer,0,0,1,50),0)),0))</f>
        <v>0</v>
      </c>
      <c r="P541" s="280">
        <f ca="1">IF(NOT(ISTEXT($G541)),"",IFERROR(INDEX(cr01_by_issuer,MATCH($G541,OFFSET(cr01_by_issuer,0,0,100,1),0),MATCH(IF(Report!P$493="6M",0.5,LEFT(Report!P$493,LEN(Report!P$493)-1)*1),OFFSET(cr01_by_issuer,0,0,1,50),0)),0))</f>
        <v>0</v>
      </c>
      <c r="Q541" s="365">
        <f t="shared" ca="1" si="129"/>
        <v>0.93496117204677109</v>
      </c>
      <c r="R541" s="278">
        <f t="shared" ca="1" si="130"/>
        <v>6016.108515178521</v>
      </c>
      <c r="S541" s="243">
        <f t="shared" ca="1" si="131"/>
        <v>8019624.1803403301</v>
      </c>
      <c r="T541" s="290">
        <f t="shared" ca="1" si="132"/>
        <v>2.7795972398009985E-2</v>
      </c>
      <c r="AA541"/>
    </row>
    <row r="542" spans="5:27" s="311" customFormat="1" x14ac:dyDescent="0.25">
      <c r="E542" s="2"/>
      <c r="F542" s="3"/>
      <c r="G542" s="313" t="str">
        <f ca="1"/>
        <v>Marubeni Corp</v>
      </c>
      <c r="H542" s="278">
        <f t="shared" ca="1" si="128"/>
        <v>16693.801147021732</v>
      </c>
      <c r="I542" s="278">
        <f ca="1">IF(NOT(ISTEXT($G542)),"",IFERROR(INDEX(cr01_by_issuer,MATCH($G542,OFFSET(cr01_by_issuer,0,0,100,1),0),MATCH(IF(Report!I$493="6M",0.5,LEFT(Report!I$493,LEN(Report!I$493)-1)*1),OFFSET(cr01_by_issuer,0,0,1,50),0)),0))</f>
        <v>0</v>
      </c>
      <c r="J542" s="279">
        <f ca="1">IF(NOT(ISTEXT($G542)),"",IFERROR(INDEX(cr01_by_issuer,MATCH($G542,OFFSET(cr01_by_issuer,0,0,100,1),0),MATCH(IF(Report!J$493="6M",0.5,LEFT(Report!J$493,LEN(Report!J$493)-1)*1),OFFSET(cr01_by_issuer,0,0,1,50),0)),0))</f>
        <v>0</v>
      </c>
      <c r="K542" s="279">
        <f ca="1">IF(NOT(ISTEXT($G542)),"",IFERROR(INDEX(cr01_by_issuer,MATCH($G542,OFFSET(cr01_by_issuer,0,0,100,1),0),MATCH(IF(Report!K$493="6M",0.5,LEFT(Report!K$493,LEN(Report!K$493)-1)*1),OFFSET(cr01_by_issuer,0,0,1,50),0)),0))</f>
        <v>0</v>
      </c>
      <c r="L542" s="279">
        <f ca="1">IF(NOT(ISTEXT($G542)),"",IFERROR(INDEX(cr01_by_issuer,MATCH($G542,OFFSET(cr01_by_issuer,0,0,100,1),0),MATCH(IF(Report!L$493="6M",0.5,LEFT(Report!L$493,LEN(Report!L$493)-1)*1),OFFSET(cr01_by_issuer,0,0,1,50),0)),0))</f>
        <v>0</v>
      </c>
      <c r="M542" s="279">
        <f ca="1">IF(NOT(ISTEXT($G542)),"",IFERROR(INDEX(cr01_by_issuer,MATCH($G542,OFFSET(cr01_by_issuer,0,0,100,1),0),MATCH(IF(Report!M$493="6M",0.5,LEFT(Report!M$493,LEN(Report!M$493)-1)*1),OFFSET(cr01_by_issuer,0,0,1,50),0)),0))</f>
        <v>0</v>
      </c>
      <c r="N542" s="279">
        <f ca="1">IF(NOT(ISTEXT($G542)),"",IFERROR(INDEX(cr01_by_issuer,MATCH($G542,OFFSET(cr01_by_issuer,0,0,100,1),0),MATCH(IF(Report!N$493="6M",0.5,LEFT(Report!N$493,LEN(Report!N$493)-1)*1),OFFSET(cr01_by_issuer,0,0,1,50),0)),0))</f>
        <v>10718.104748890852</v>
      </c>
      <c r="O542" s="279">
        <f ca="1">IF(NOT(ISTEXT($G542)),"",IFERROR(INDEX(cr01_by_issuer,MATCH($G542,OFFSET(cr01_by_issuer,0,0,100,1),0),MATCH(IF(Report!O$493="6M",0.5,LEFT(Report!O$493,LEN(Report!O$493)-1)*1),OFFSET(cr01_by_issuer,0,0,1,50),0)),0))</f>
        <v>5975.69639813088</v>
      </c>
      <c r="P542" s="280">
        <f ca="1">IF(NOT(ISTEXT($G542)),"",IFERROR(INDEX(cr01_by_issuer,MATCH($G542,OFFSET(cr01_by_issuer,0,0,100,1),0),MATCH(IF(Report!P$493="6M",0.5,LEFT(Report!P$493,LEN(Report!P$493)-1)*1),OFFSET(cr01_by_issuer,0,0,1,50),0)),0))</f>
        <v>0</v>
      </c>
      <c r="Q542" s="365">
        <f t="shared" ca="1" si="129"/>
        <v>1.1572938743329755</v>
      </c>
      <c r="R542" s="278">
        <f t="shared" ca="1" si="130"/>
        <v>19319.63380678105</v>
      </c>
      <c r="S542" s="243">
        <f t="shared" ca="1" si="131"/>
        <v>18712214.02949591</v>
      </c>
      <c r="T542" s="290">
        <f t="shared" ca="1" si="132"/>
        <v>6.4856428801810875E-2</v>
      </c>
      <c r="AA542"/>
    </row>
    <row r="543" spans="5:27" s="311" customFormat="1" x14ac:dyDescent="0.25">
      <c r="E543" s="2"/>
      <c r="F543" s="3"/>
      <c r="G543" s="313" t="str">
        <f ca="1"/>
        <v>Mitsui OSK Lines Ltd</v>
      </c>
      <c r="H543" s="278">
        <f t="shared" ca="1" si="128"/>
        <v>12910.86804356386</v>
      </c>
      <c r="I543" s="278">
        <f ca="1">IF(NOT(ISTEXT($G543)),"",IFERROR(INDEX(cr01_by_issuer,MATCH($G543,OFFSET(cr01_by_issuer,0,0,100,1),0),MATCH(IF(Report!I$493="6M",0.5,LEFT(Report!I$493,LEN(Report!I$493)-1)*1),OFFSET(cr01_by_issuer,0,0,1,50),0)),0))</f>
        <v>0</v>
      </c>
      <c r="J543" s="279">
        <f ca="1">IF(NOT(ISTEXT($G543)),"",IFERROR(INDEX(cr01_by_issuer,MATCH($G543,OFFSET(cr01_by_issuer,0,0,100,1),0),MATCH(IF(Report!J$493="6M",0.5,LEFT(Report!J$493,LEN(Report!J$493)-1)*1),OFFSET(cr01_by_issuer,0,0,1,50),0)),0))</f>
        <v>0</v>
      </c>
      <c r="K543" s="279">
        <f ca="1">IF(NOT(ISTEXT($G543)),"",IFERROR(INDEX(cr01_by_issuer,MATCH($G543,OFFSET(cr01_by_issuer,0,0,100,1),0),MATCH(IF(Report!K$493="6M",0.5,LEFT(Report!K$493,LEN(Report!K$493)-1)*1),OFFSET(cr01_by_issuer,0,0,1,50),0)),0))</f>
        <v>0</v>
      </c>
      <c r="L543" s="279">
        <f ca="1">IF(NOT(ISTEXT($G543)),"",IFERROR(INDEX(cr01_by_issuer,MATCH($G543,OFFSET(cr01_by_issuer,0,0,100,1),0),MATCH(IF(Report!L$493="6M",0.5,LEFT(Report!L$493,LEN(Report!L$493)-1)*1),OFFSET(cr01_by_issuer,0,0,1,50),0)),0))</f>
        <v>0</v>
      </c>
      <c r="M543" s="279">
        <f ca="1">IF(NOT(ISTEXT($G543)),"",IFERROR(INDEX(cr01_by_issuer,MATCH($G543,OFFSET(cr01_by_issuer,0,0,100,1),0),MATCH(IF(Report!M$493="6M",0.5,LEFT(Report!M$493,LEN(Report!M$493)-1)*1),OFFSET(cr01_by_issuer,0,0,1,50),0)),0))</f>
        <v>0</v>
      </c>
      <c r="N543" s="279">
        <f ca="1">IF(NOT(ISTEXT($G543)),"",IFERROR(INDEX(cr01_by_issuer,MATCH($G543,OFFSET(cr01_by_issuer,0,0,100,1),0),MATCH(IF(Report!N$493="6M",0.5,LEFT(Report!N$493,LEN(Report!N$493)-1)*1),OFFSET(cr01_by_issuer,0,0,1,50),0)),0))</f>
        <v>0</v>
      </c>
      <c r="O543" s="279">
        <f ca="1">IF(NOT(ISTEXT($G543)),"",IFERROR(INDEX(cr01_by_issuer,MATCH($G543,OFFSET(cr01_by_issuer,0,0,100,1),0),MATCH(IF(Report!O$493="6M",0.5,LEFT(Report!O$493,LEN(Report!O$493)-1)*1),OFFSET(cr01_by_issuer,0,0,1,50),0)),0))</f>
        <v>12910.86804356386</v>
      </c>
      <c r="P543" s="280">
        <f ca="1">IF(NOT(ISTEXT($G543)),"",IFERROR(INDEX(cr01_by_issuer,MATCH($G543,OFFSET(cr01_by_issuer,0,0,100,1),0),MATCH(IF(Report!P$493="6M",0.5,LEFT(Report!P$493,LEN(Report!P$493)-1)*1),OFFSET(cr01_by_issuer,0,0,1,50),0)),0))</f>
        <v>0</v>
      </c>
      <c r="Q543" s="365">
        <f t="shared" ca="1" si="129"/>
        <v>2.3780644052612767</v>
      </c>
      <c r="R543" s="278">
        <f t="shared" ca="1" si="130"/>
        <v>30702.875735424514</v>
      </c>
      <c r="S543" s="243">
        <f t="shared" ca="1" si="131"/>
        <v>12553856.128455099</v>
      </c>
      <c r="T543" s="290">
        <f t="shared" ca="1" si="132"/>
        <v>4.3511594881285087E-2</v>
      </c>
      <c r="AA543"/>
    </row>
    <row r="544" spans="5:27" s="311" customFormat="1" x14ac:dyDescent="0.25">
      <c r="E544" s="2"/>
      <c r="F544" s="3"/>
      <c r="G544" s="313" t="str">
        <f ca="1"/>
        <v>Nippon Paper Industries Co Ltd</v>
      </c>
      <c r="H544" s="278">
        <f t="shared" ca="1" si="128"/>
        <v>15664.244035344329</v>
      </c>
      <c r="I544" s="278">
        <f ca="1">IF(NOT(ISTEXT($G544)),"",IFERROR(INDEX(cr01_by_issuer,MATCH($G544,OFFSET(cr01_by_issuer,0,0,100,1),0),MATCH(IF(Report!I$493="6M",0.5,LEFT(Report!I$493,LEN(Report!I$493)-1)*1),OFFSET(cr01_by_issuer,0,0,1,50),0)),0))</f>
        <v>0</v>
      </c>
      <c r="J544" s="279">
        <f ca="1">IF(NOT(ISTEXT($G544)),"",IFERROR(INDEX(cr01_by_issuer,MATCH($G544,OFFSET(cr01_by_issuer,0,0,100,1),0),MATCH(IF(Report!J$493="6M",0.5,LEFT(Report!J$493,LEN(Report!J$493)-1)*1),OFFSET(cr01_by_issuer,0,0,1,50),0)),0))</f>
        <v>0</v>
      </c>
      <c r="K544" s="279">
        <f ca="1">IF(NOT(ISTEXT($G544)),"",IFERROR(INDEX(cr01_by_issuer,MATCH($G544,OFFSET(cr01_by_issuer,0,0,100,1),0),MATCH(IF(Report!K$493="6M",0.5,LEFT(Report!K$493,LEN(Report!K$493)-1)*1),OFFSET(cr01_by_issuer,0,0,1,50),0)),0))</f>
        <v>0</v>
      </c>
      <c r="L544" s="279">
        <f ca="1">IF(NOT(ISTEXT($G544)),"",IFERROR(INDEX(cr01_by_issuer,MATCH($G544,OFFSET(cr01_by_issuer,0,0,100,1),0),MATCH(IF(Report!L$493="6M",0.5,LEFT(Report!L$493,LEN(Report!L$493)-1)*1),OFFSET(cr01_by_issuer,0,0,1,50),0)),0))</f>
        <v>0</v>
      </c>
      <c r="M544" s="279">
        <f ca="1">IF(NOT(ISTEXT($G544)),"",IFERROR(INDEX(cr01_by_issuer,MATCH($G544,OFFSET(cr01_by_issuer,0,0,100,1),0),MATCH(IF(Report!M$493="6M",0.5,LEFT(Report!M$493,LEN(Report!M$493)-1)*1),OFFSET(cr01_by_issuer,0,0,1,50),0)),0))</f>
        <v>0</v>
      </c>
      <c r="N544" s="279">
        <f ca="1">IF(NOT(ISTEXT($G544)),"",IFERROR(INDEX(cr01_by_issuer,MATCH($G544,OFFSET(cr01_by_issuer,0,0,100,1),0),MATCH(IF(Report!N$493="6M",0.5,LEFT(Report!N$493,LEN(Report!N$493)-1)*1),OFFSET(cr01_by_issuer,0,0,1,50),0)),0))</f>
        <v>12732.26535062642</v>
      </c>
      <c r="O544" s="279">
        <f ca="1">IF(NOT(ISTEXT($G544)),"",IFERROR(INDEX(cr01_by_issuer,MATCH($G544,OFFSET(cr01_by_issuer,0,0,100,1),0),MATCH(IF(Report!O$493="6M",0.5,LEFT(Report!O$493,LEN(Report!O$493)-1)*1),OFFSET(cr01_by_issuer,0,0,1,50),0)),0))</f>
        <v>2931.9786847179098</v>
      </c>
      <c r="P544" s="280">
        <f ca="1">IF(NOT(ISTEXT($G544)),"",IFERROR(INDEX(cr01_by_issuer,MATCH($G544,OFFSET(cr01_by_issuer,0,0,100,1),0),MATCH(IF(Report!P$493="6M",0.5,LEFT(Report!P$493,LEN(Report!P$493)-1)*1),OFFSET(cr01_by_issuer,0,0,1,50),0)),0))</f>
        <v>0</v>
      </c>
      <c r="Q544" s="365">
        <f t="shared" ca="1" si="129"/>
        <v>1.3974882443810501</v>
      </c>
      <c r="R544" s="278">
        <f t="shared" ca="1" si="130"/>
        <v>21890.596896509684</v>
      </c>
      <c r="S544" s="243">
        <f t="shared" ca="1" si="131"/>
        <v>18710202.877807643</v>
      </c>
      <c r="T544" s="290">
        <f t="shared" ca="1" si="132"/>
        <v>6.4849458161347157E-2</v>
      </c>
      <c r="AA544"/>
    </row>
    <row r="545" spans="5:27" s="311" customFormat="1" x14ac:dyDescent="0.25">
      <c r="E545" s="2"/>
      <c r="F545" s="3"/>
      <c r="G545" s="313" t="str">
        <f ca="1"/>
        <v>Nippon Steel &amp; Sumitomo Metal</v>
      </c>
      <c r="H545" s="278">
        <f t="shared" ca="1" si="128"/>
        <v>20144.224728459878</v>
      </c>
      <c r="I545" s="278">
        <f ca="1">IF(NOT(ISTEXT($G545)),"",IFERROR(INDEX(cr01_by_issuer,MATCH($G545,OFFSET(cr01_by_issuer,0,0,100,1),0),MATCH(IF(Report!I$493="6M",0.5,LEFT(Report!I$493,LEN(Report!I$493)-1)*1),OFFSET(cr01_by_issuer,0,0,1,50),0)),0))</f>
        <v>0</v>
      </c>
      <c r="J545" s="279">
        <f ca="1">IF(NOT(ISTEXT($G545)),"",IFERROR(INDEX(cr01_by_issuer,MATCH($G545,OFFSET(cr01_by_issuer,0,0,100,1),0),MATCH(IF(Report!J$493="6M",0.5,LEFT(Report!J$493,LEN(Report!J$493)-1)*1),OFFSET(cr01_by_issuer,0,0,1,50),0)),0))</f>
        <v>0</v>
      </c>
      <c r="K545" s="279">
        <f ca="1">IF(NOT(ISTEXT($G545)),"",IFERROR(INDEX(cr01_by_issuer,MATCH($G545,OFFSET(cr01_by_issuer,0,0,100,1),0),MATCH(IF(Report!K$493="6M",0.5,LEFT(Report!K$493,LEN(Report!K$493)-1)*1),OFFSET(cr01_by_issuer,0,0,1,50),0)),0))</f>
        <v>0</v>
      </c>
      <c r="L545" s="279">
        <f ca="1">IF(NOT(ISTEXT($G545)),"",IFERROR(INDEX(cr01_by_issuer,MATCH($G545,OFFSET(cr01_by_issuer,0,0,100,1),0),MATCH(IF(Report!L$493="6M",0.5,LEFT(Report!L$493,LEN(Report!L$493)-1)*1),OFFSET(cr01_by_issuer,0,0,1,50),0)),0))</f>
        <v>0</v>
      </c>
      <c r="M545" s="279">
        <f ca="1">IF(NOT(ISTEXT($G545)),"",IFERROR(INDEX(cr01_by_issuer,MATCH($G545,OFFSET(cr01_by_issuer,0,0,100,1),0),MATCH(IF(Report!M$493="6M",0.5,LEFT(Report!M$493,LEN(Report!M$493)-1)*1),OFFSET(cr01_by_issuer,0,0,1,50),0)),0))</f>
        <v>0</v>
      </c>
      <c r="N545" s="279">
        <f ca="1">IF(NOT(ISTEXT($G545)),"",IFERROR(INDEX(cr01_by_issuer,MATCH($G545,OFFSET(cr01_by_issuer,0,0,100,1),0),MATCH(IF(Report!N$493="6M",0.5,LEFT(Report!N$493,LEN(Report!N$493)-1)*1),OFFSET(cr01_by_issuer,0,0,1,50),0)),0))</f>
        <v>10887.85262522111</v>
      </c>
      <c r="O545" s="279">
        <f ca="1">IF(NOT(ISTEXT($G545)),"",IFERROR(INDEX(cr01_by_issuer,MATCH($G545,OFFSET(cr01_by_issuer,0,0,100,1),0),MATCH(IF(Report!O$493="6M",0.5,LEFT(Report!O$493,LEN(Report!O$493)-1)*1),OFFSET(cr01_by_issuer,0,0,1,50),0)),0))</f>
        <v>9256.3721032387693</v>
      </c>
      <c r="P545" s="280">
        <f ca="1">IF(NOT(ISTEXT($G545)),"",IFERROR(INDEX(cr01_by_issuer,MATCH($G545,OFFSET(cr01_by_issuer,0,0,100,1),0),MATCH(IF(Report!P$493="6M",0.5,LEFT(Report!P$493,LEN(Report!P$493)-1)*1),OFFSET(cr01_by_issuer,0,0,1,50),0)),0))</f>
        <v>0</v>
      </c>
      <c r="Q545" s="365">
        <f t="shared" ca="1" si="129"/>
        <v>1.2020626372101881</v>
      </c>
      <c r="R545" s="278">
        <f t="shared" ca="1" si="130"/>
        <v>24214.619901647173</v>
      </c>
      <c r="S545" s="243">
        <f t="shared" ca="1" si="131"/>
        <v>21389971.54145455</v>
      </c>
      <c r="T545" s="290">
        <f t="shared" ca="1" si="132"/>
        <v>7.4137521309042012E-2</v>
      </c>
      <c r="AA545"/>
    </row>
    <row r="546" spans="5:27" s="311" customFormat="1" x14ac:dyDescent="0.25">
      <c r="E546" s="2"/>
      <c r="F546" s="3"/>
      <c r="G546" s="313" t="str">
        <f ca="1"/>
        <v>Nippon Yusen KK</v>
      </c>
      <c r="H546" s="278">
        <f t="shared" ca="1" si="128"/>
        <v>13337.586584679349</v>
      </c>
      <c r="I546" s="278">
        <f ca="1">IF(NOT(ISTEXT($G546)),"",IFERROR(INDEX(cr01_by_issuer,MATCH($G546,OFFSET(cr01_by_issuer,0,0,100,1),0),MATCH(IF(Report!I$493="6M",0.5,LEFT(Report!I$493,LEN(Report!I$493)-1)*1),OFFSET(cr01_by_issuer,0,0,1,50),0)),0))</f>
        <v>0</v>
      </c>
      <c r="J546" s="279">
        <f ca="1">IF(NOT(ISTEXT($G546)),"",IFERROR(INDEX(cr01_by_issuer,MATCH($G546,OFFSET(cr01_by_issuer,0,0,100,1),0),MATCH(IF(Report!J$493="6M",0.5,LEFT(Report!J$493,LEN(Report!J$493)-1)*1),OFFSET(cr01_by_issuer,0,0,1,50),0)),0))</f>
        <v>0</v>
      </c>
      <c r="K546" s="279">
        <f ca="1">IF(NOT(ISTEXT($G546)),"",IFERROR(INDEX(cr01_by_issuer,MATCH($G546,OFFSET(cr01_by_issuer,0,0,100,1),0),MATCH(IF(Report!K$493="6M",0.5,LEFT(Report!K$493,LEN(Report!K$493)-1)*1),OFFSET(cr01_by_issuer,0,0,1,50),0)),0))</f>
        <v>0</v>
      </c>
      <c r="L546" s="279">
        <f ca="1">IF(NOT(ISTEXT($G546)),"",IFERROR(INDEX(cr01_by_issuer,MATCH($G546,OFFSET(cr01_by_issuer,0,0,100,1),0),MATCH(IF(Report!L$493="6M",0.5,LEFT(Report!L$493,LEN(Report!L$493)-1)*1),OFFSET(cr01_by_issuer,0,0,1,50),0)),0))</f>
        <v>0</v>
      </c>
      <c r="M546" s="279">
        <f ca="1">IF(NOT(ISTEXT($G546)),"",IFERROR(INDEX(cr01_by_issuer,MATCH($G546,OFFSET(cr01_by_issuer,0,0,100,1),0),MATCH(IF(Report!M$493="6M",0.5,LEFT(Report!M$493,LEN(Report!M$493)-1)*1),OFFSET(cr01_by_issuer,0,0,1,50),0)),0))</f>
        <v>0</v>
      </c>
      <c r="N546" s="279">
        <f ca="1">IF(NOT(ISTEXT($G546)),"",IFERROR(INDEX(cr01_by_issuer,MATCH($G546,OFFSET(cr01_by_issuer,0,0,100,1),0),MATCH(IF(Report!N$493="6M",0.5,LEFT(Report!N$493,LEN(Report!N$493)-1)*1),OFFSET(cr01_by_issuer,0,0,1,50),0)),0))</f>
        <v>10463.1343203536</v>
      </c>
      <c r="O546" s="279">
        <f ca="1">IF(NOT(ISTEXT($G546)),"",IFERROR(INDEX(cr01_by_issuer,MATCH($G546,OFFSET(cr01_by_issuer,0,0,100,1),0),MATCH(IF(Report!O$493="6M",0.5,LEFT(Report!O$493,LEN(Report!O$493)-1)*1),OFFSET(cr01_by_issuer,0,0,1,50),0)),0))</f>
        <v>2874.4522643257501</v>
      </c>
      <c r="P546" s="280">
        <f ca="1">IF(NOT(ISTEXT($G546)),"",IFERROR(INDEX(cr01_by_issuer,MATCH($G546,OFFSET(cr01_by_issuer,0,0,100,1),0),MATCH(IF(Report!P$493="6M",0.5,LEFT(Report!P$493,LEN(Report!P$493)-1)*1),OFFSET(cr01_by_issuer,0,0,1,50),0)),0))</f>
        <v>0</v>
      </c>
      <c r="Q546" s="365">
        <f t="shared" ca="1" si="129"/>
        <v>1.3110850181957432</v>
      </c>
      <c r="R546" s="278">
        <f t="shared" ca="1" si="130"/>
        <v>17486.709950061624</v>
      </c>
      <c r="S546" s="243">
        <f t="shared" ca="1" si="131"/>
        <v>16034965.850659775</v>
      </c>
      <c r="T546" s="290">
        <f t="shared" ca="1" si="132"/>
        <v>5.5577101640323652E-2</v>
      </c>
      <c r="AA546"/>
    </row>
    <row r="547" spans="5:27" s="311" customFormat="1" x14ac:dyDescent="0.25">
      <c r="E547" s="2"/>
      <c r="F547" s="3"/>
      <c r="G547" s="313" t="str">
        <f ca="1"/>
        <v>Nissan Motor Co Ltd</v>
      </c>
      <c r="H547" s="278">
        <f t="shared" ca="1" si="128"/>
        <v>8665.3152328372398</v>
      </c>
      <c r="I547" s="278">
        <f ca="1">IF(NOT(ISTEXT($G547)),"",IFERROR(INDEX(cr01_by_issuer,MATCH($G547,OFFSET(cr01_by_issuer,0,0,100,1),0),MATCH(IF(Report!I$493="6M",0.5,LEFT(Report!I$493,LEN(Report!I$493)-1)*1),OFFSET(cr01_by_issuer,0,0,1,50),0)),0))</f>
        <v>0</v>
      </c>
      <c r="J547" s="279">
        <f ca="1">IF(NOT(ISTEXT($G547)),"",IFERROR(INDEX(cr01_by_issuer,MATCH($G547,OFFSET(cr01_by_issuer,0,0,100,1),0),MATCH(IF(Report!J$493="6M",0.5,LEFT(Report!J$493,LEN(Report!J$493)-1)*1),OFFSET(cr01_by_issuer,0,0,1,50),0)),0))</f>
        <v>0</v>
      </c>
      <c r="K547" s="279">
        <f ca="1">IF(NOT(ISTEXT($G547)),"",IFERROR(INDEX(cr01_by_issuer,MATCH($G547,OFFSET(cr01_by_issuer,0,0,100,1),0),MATCH(IF(Report!K$493="6M",0.5,LEFT(Report!K$493,LEN(Report!K$493)-1)*1),OFFSET(cr01_by_issuer,0,0,1,50),0)),0))</f>
        <v>0</v>
      </c>
      <c r="L547" s="279">
        <f ca="1">IF(NOT(ISTEXT($G547)),"",IFERROR(INDEX(cr01_by_issuer,MATCH($G547,OFFSET(cr01_by_issuer,0,0,100,1),0),MATCH(IF(Report!L$493="6M",0.5,LEFT(Report!L$493,LEN(Report!L$493)-1)*1),OFFSET(cr01_by_issuer,0,0,1,50),0)),0))</f>
        <v>0</v>
      </c>
      <c r="M547" s="279">
        <f ca="1">IF(NOT(ISTEXT($G547)),"",IFERROR(INDEX(cr01_by_issuer,MATCH($G547,OFFSET(cr01_by_issuer,0,0,100,1),0),MATCH(IF(Report!M$493="6M",0.5,LEFT(Report!M$493,LEN(Report!M$493)-1)*1),OFFSET(cr01_by_issuer,0,0,1,50),0)),0))</f>
        <v>0</v>
      </c>
      <c r="N547" s="279">
        <f ca="1">IF(NOT(ISTEXT($G547)),"",IFERROR(INDEX(cr01_by_issuer,MATCH($G547,OFFSET(cr01_by_issuer,0,0,100,1),0),MATCH(IF(Report!N$493="6M",0.5,LEFT(Report!N$493,LEN(Report!N$493)-1)*1),OFFSET(cr01_by_issuer,0,0,1,50),0)),0))</f>
        <v>8665.3152328372398</v>
      </c>
      <c r="O547" s="279">
        <f ca="1">IF(NOT(ISTEXT($G547)),"",IFERROR(INDEX(cr01_by_issuer,MATCH($G547,OFFSET(cr01_by_issuer,0,0,100,1),0),MATCH(IF(Report!O$493="6M",0.5,LEFT(Report!O$493,LEN(Report!O$493)-1)*1),OFFSET(cr01_by_issuer,0,0,1,50),0)),0))</f>
        <v>0</v>
      </c>
      <c r="P547" s="280">
        <f ca="1">IF(NOT(ISTEXT($G547)),"",IFERROR(INDEX(cr01_by_issuer,MATCH($G547,OFFSET(cr01_by_issuer,0,0,100,1),0),MATCH(IF(Report!P$493="6M",0.5,LEFT(Report!P$493,LEN(Report!P$493)-1)*1),OFFSET(cr01_by_issuer,0,0,1,50),0)),0))</f>
        <v>0</v>
      </c>
      <c r="Q547" s="365">
        <f t="shared" ca="1" si="129"/>
        <v>0.9696641948600816</v>
      </c>
      <c r="R547" s="278">
        <f t="shared" ca="1" si="130"/>
        <v>8402.4459184579227</v>
      </c>
      <c r="S547" s="243">
        <f t="shared" ca="1" si="131"/>
        <v>10693888.724635229</v>
      </c>
      <c r="T547" s="290">
        <f t="shared" ca="1" si="132"/>
        <v>3.706495829892327E-2</v>
      </c>
      <c r="AA547"/>
    </row>
    <row r="548" spans="5:27" s="311" customFormat="1" x14ac:dyDescent="0.25">
      <c r="E548" s="2"/>
      <c r="F548" s="3"/>
      <c r="G548" s="313" t="str">
        <f ca="1"/>
        <v>Oji Holdings Corp</v>
      </c>
      <c r="H548" s="278">
        <f t="shared" ca="1" si="128"/>
        <v>16951.086170787821</v>
      </c>
      <c r="I548" s="278">
        <f ca="1">IF(NOT(ISTEXT($G548)),"",IFERROR(INDEX(cr01_by_issuer,MATCH($G548,OFFSET(cr01_by_issuer,0,0,100,1),0),MATCH(IF(Report!I$493="6M",0.5,LEFT(Report!I$493,LEN(Report!I$493)-1)*1),OFFSET(cr01_by_issuer,0,0,1,50),0)),0))</f>
        <v>0</v>
      </c>
      <c r="J548" s="279">
        <f ca="1">IF(NOT(ISTEXT($G548)),"",IFERROR(INDEX(cr01_by_issuer,MATCH($G548,OFFSET(cr01_by_issuer,0,0,100,1),0),MATCH(IF(Report!J$493="6M",0.5,LEFT(Report!J$493,LEN(Report!J$493)-1)*1),OFFSET(cr01_by_issuer,0,0,1,50),0)),0))</f>
        <v>0</v>
      </c>
      <c r="K548" s="279">
        <f ca="1">IF(NOT(ISTEXT($G548)),"",IFERROR(INDEX(cr01_by_issuer,MATCH($G548,OFFSET(cr01_by_issuer,0,0,100,1),0),MATCH(IF(Report!K$493="6M",0.5,LEFT(Report!K$493,LEN(Report!K$493)-1)*1),OFFSET(cr01_by_issuer,0,0,1,50),0)),0))</f>
        <v>0</v>
      </c>
      <c r="L548" s="279">
        <f ca="1">IF(NOT(ISTEXT($G548)),"",IFERROR(INDEX(cr01_by_issuer,MATCH($G548,OFFSET(cr01_by_issuer,0,0,100,1),0),MATCH(IF(Report!L$493="6M",0.5,LEFT(Report!L$493,LEN(Report!L$493)-1)*1),OFFSET(cr01_by_issuer,0,0,1,50),0)),0))</f>
        <v>0</v>
      </c>
      <c r="M548" s="279">
        <f ca="1">IF(NOT(ISTEXT($G548)),"",IFERROR(INDEX(cr01_by_issuer,MATCH($G548,OFFSET(cr01_by_issuer,0,0,100,1),0),MATCH(IF(Report!M$493="6M",0.5,LEFT(Report!M$493,LEN(Report!M$493)-1)*1),OFFSET(cr01_by_issuer,0,0,1,50),0)),0))</f>
        <v>0</v>
      </c>
      <c r="N548" s="279">
        <f ca="1">IF(NOT(ISTEXT($G548)),"",IFERROR(INDEX(cr01_by_issuer,MATCH($G548,OFFSET(cr01_by_issuer,0,0,100,1),0),MATCH(IF(Report!N$493="6M",0.5,LEFT(Report!N$493,LEN(Report!N$493)-1)*1),OFFSET(cr01_by_issuer,0,0,1,50),0)),0))</f>
        <v>10845.095203201719</v>
      </c>
      <c r="O548" s="279">
        <f ca="1">IF(NOT(ISTEXT($G548)),"",IFERROR(INDEX(cr01_by_issuer,MATCH($G548,OFFSET(cr01_by_issuer,0,0,100,1),0),MATCH(IF(Report!O$493="6M",0.5,LEFT(Report!O$493,LEN(Report!O$493)-1)*1),OFFSET(cr01_by_issuer,0,0,1,50),0)),0))</f>
        <v>6105.9909675860999</v>
      </c>
      <c r="P548" s="280">
        <f ca="1">IF(NOT(ISTEXT($G548)),"",IFERROR(INDEX(cr01_by_issuer,MATCH($G548,OFFSET(cr01_by_issuer,0,0,100,1),0),MATCH(IF(Report!P$493="6M",0.5,LEFT(Report!P$493,LEN(Report!P$493)-1)*1),OFFSET(cr01_by_issuer,0,0,1,50),0)),0))</f>
        <v>0</v>
      </c>
      <c r="Q548" s="365">
        <f t="shared" ca="1" si="129"/>
        <v>0.78284302704128694</v>
      </c>
      <c r="R548" s="278">
        <f t="shared" ca="1" si="130"/>
        <v>13270.039609577236</v>
      </c>
      <c r="S548" s="243">
        <f t="shared" ca="1" si="131"/>
        <v>18714908.545190234</v>
      </c>
      <c r="T548" s="290">
        <f t="shared" ca="1" si="132"/>
        <v>6.4865767978084132E-2</v>
      </c>
      <c r="AA548"/>
    </row>
    <row r="549" spans="5:27" s="311" customFormat="1" x14ac:dyDescent="0.25">
      <c r="E549" s="2"/>
      <c r="F549" s="3"/>
      <c r="G549" s="313">
        <f ca="1"/>
        <v>0</v>
      </c>
      <c r="H549" s="278" t="str">
        <f t="shared" ca="1" si="128"/>
        <v/>
      </c>
      <c r="I549" s="278" t="str">
        <f ca="1">IF(NOT(ISTEXT($G549)),"",IFERROR(INDEX(cr01_by_issuer,MATCH($G549,OFFSET(cr01_by_issuer,0,0,100,1),0),MATCH(IF(Report!I$493="6M",0.5,LEFT(Report!I$493,LEN(Report!I$493)-1)*1),OFFSET(cr01_by_issuer,0,0,1,50),0)),0))</f>
        <v/>
      </c>
      <c r="J549" s="279" t="str">
        <f ca="1">IF(NOT(ISTEXT($G549)),"",IFERROR(INDEX(cr01_by_issuer,MATCH($G549,OFFSET(cr01_by_issuer,0,0,100,1),0),MATCH(IF(Report!J$493="6M",0.5,LEFT(Report!J$493,LEN(Report!J$493)-1)*1),OFFSET(cr01_by_issuer,0,0,1,50),0)),0))</f>
        <v/>
      </c>
      <c r="K549" s="279" t="str">
        <f ca="1">IF(NOT(ISTEXT($G549)),"",IFERROR(INDEX(cr01_by_issuer,MATCH($G549,OFFSET(cr01_by_issuer,0,0,100,1),0),MATCH(IF(Report!K$493="6M",0.5,LEFT(Report!K$493,LEN(Report!K$493)-1)*1),OFFSET(cr01_by_issuer,0,0,1,50),0)),0))</f>
        <v/>
      </c>
      <c r="L549" s="279" t="str">
        <f ca="1">IF(NOT(ISTEXT($G549)),"",IFERROR(INDEX(cr01_by_issuer,MATCH($G549,OFFSET(cr01_by_issuer,0,0,100,1),0),MATCH(IF(Report!L$493="6M",0.5,LEFT(Report!L$493,LEN(Report!L$493)-1)*1),OFFSET(cr01_by_issuer,0,0,1,50),0)),0))</f>
        <v/>
      </c>
      <c r="M549" s="279" t="str">
        <f ca="1">IF(NOT(ISTEXT($G549)),"",IFERROR(INDEX(cr01_by_issuer,MATCH($G549,OFFSET(cr01_by_issuer,0,0,100,1),0),MATCH(IF(Report!M$493="6M",0.5,LEFT(Report!M$493,LEN(Report!M$493)-1)*1),OFFSET(cr01_by_issuer,0,0,1,50),0)),0))</f>
        <v/>
      </c>
      <c r="N549" s="279" t="str">
        <f ca="1">IF(NOT(ISTEXT($G549)),"",IFERROR(INDEX(cr01_by_issuer,MATCH($G549,OFFSET(cr01_by_issuer,0,0,100,1),0),MATCH(IF(Report!N$493="6M",0.5,LEFT(Report!N$493,LEN(Report!N$493)-1)*1),OFFSET(cr01_by_issuer,0,0,1,50),0)),0))</f>
        <v/>
      </c>
      <c r="O549" s="279" t="str">
        <f ca="1">IF(NOT(ISTEXT($G549)),"",IFERROR(INDEX(cr01_by_issuer,MATCH($G549,OFFSET(cr01_by_issuer,0,0,100,1),0),MATCH(IF(Report!O$493="6M",0.5,LEFT(Report!O$493,LEN(Report!O$493)-1)*1),OFFSET(cr01_by_issuer,0,0,1,50),0)),0))</f>
        <v/>
      </c>
      <c r="P549" s="280" t="str">
        <f ca="1">IF(NOT(ISTEXT($G549)),"",IFERROR(INDEX(cr01_by_issuer,MATCH($G549,OFFSET(cr01_by_issuer,0,0,100,1),0),MATCH(IF(Report!P$493="6M",0.5,LEFT(Report!P$493,LEN(Report!P$493)-1)*1),OFFSET(cr01_by_issuer,0,0,1,50),0)),0))</f>
        <v/>
      </c>
      <c r="Q549" s="365" t="str">
        <f t="shared" ca="1" si="129"/>
        <v/>
      </c>
      <c r="R549" s="278" t="str">
        <f t="shared" ca="1" si="130"/>
        <v/>
      </c>
      <c r="S549" s="243" t="str">
        <f t="shared" ca="1" si="131"/>
        <v/>
      </c>
      <c r="T549" s="290" t="str">
        <f t="shared" ca="1" si="132"/>
        <v/>
      </c>
      <c r="AA549"/>
    </row>
    <row r="550" spans="5:27" s="311" customFormat="1" x14ac:dyDescent="0.25">
      <c r="E550" s="2"/>
      <c r="F550" s="3"/>
      <c r="G550" s="313">
        <f ca="1"/>
        <v>0</v>
      </c>
      <c r="H550" s="278" t="str">
        <f t="shared" ca="1" si="128"/>
        <v/>
      </c>
      <c r="I550" s="278" t="str">
        <f ca="1">IF(NOT(ISTEXT($G550)),"",IFERROR(INDEX(cr01_by_issuer,MATCH($G550,OFFSET(cr01_by_issuer,0,0,100,1),0),MATCH(IF(Report!I$493="6M",0.5,LEFT(Report!I$493,LEN(Report!I$493)-1)*1),OFFSET(cr01_by_issuer,0,0,1,50),0)),0))</f>
        <v/>
      </c>
      <c r="J550" s="279" t="str">
        <f ca="1">IF(NOT(ISTEXT($G550)),"",IFERROR(INDEX(cr01_by_issuer,MATCH($G550,OFFSET(cr01_by_issuer,0,0,100,1),0),MATCH(IF(Report!J$493="6M",0.5,LEFT(Report!J$493,LEN(Report!J$493)-1)*1),OFFSET(cr01_by_issuer,0,0,1,50),0)),0))</f>
        <v/>
      </c>
      <c r="K550" s="279" t="str">
        <f ca="1">IF(NOT(ISTEXT($G550)),"",IFERROR(INDEX(cr01_by_issuer,MATCH($G550,OFFSET(cr01_by_issuer,0,0,100,1),0),MATCH(IF(Report!K$493="6M",0.5,LEFT(Report!K$493,LEN(Report!K$493)-1)*1),OFFSET(cr01_by_issuer,0,0,1,50),0)),0))</f>
        <v/>
      </c>
      <c r="L550" s="279" t="str">
        <f ca="1">IF(NOT(ISTEXT($G550)),"",IFERROR(INDEX(cr01_by_issuer,MATCH($G550,OFFSET(cr01_by_issuer,0,0,100,1),0),MATCH(IF(Report!L$493="6M",0.5,LEFT(Report!L$493,LEN(Report!L$493)-1)*1),OFFSET(cr01_by_issuer,0,0,1,50),0)),0))</f>
        <v/>
      </c>
      <c r="M550" s="279" t="str">
        <f ca="1">IF(NOT(ISTEXT($G550)),"",IFERROR(INDEX(cr01_by_issuer,MATCH($G550,OFFSET(cr01_by_issuer,0,0,100,1),0),MATCH(IF(Report!M$493="6M",0.5,LEFT(Report!M$493,LEN(Report!M$493)-1)*1),OFFSET(cr01_by_issuer,0,0,1,50),0)),0))</f>
        <v/>
      </c>
      <c r="N550" s="279" t="str">
        <f ca="1">IF(NOT(ISTEXT($G550)),"",IFERROR(INDEX(cr01_by_issuer,MATCH($G550,OFFSET(cr01_by_issuer,0,0,100,1),0),MATCH(IF(Report!N$493="6M",0.5,LEFT(Report!N$493,LEN(Report!N$493)-1)*1),OFFSET(cr01_by_issuer,0,0,1,50),0)),0))</f>
        <v/>
      </c>
      <c r="O550" s="279" t="str">
        <f ca="1">IF(NOT(ISTEXT($G550)),"",IFERROR(INDEX(cr01_by_issuer,MATCH($G550,OFFSET(cr01_by_issuer,0,0,100,1),0),MATCH(IF(Report!O$493="6M",0.5,LEFT(Report!O$493,LEN(Report!O$493)-1)*1),OFFSET(cr01_by_issuer,0,0,1,50),0)),0))</f>
        <v/>
      </c>
      <c r="P550" s="280" t="str">
        <f ca="1">IF(NOT(ISTEXT($G550)),"",IFERROR(INDEX(cr01_by_issuer,MATCH($G550,OFFSET(cr01_by_issuer,0,0,100,1),0),MATCH(IF(Report!P$493="6M",0.5,LEFT(Report!P$493,LEN(Report!P$493)-1)*1),OFFSET(cr01_by_issuer,0,0,1,50),0)),0))</f>
        <v/>
      </c>
      <c r="Q550" s="365" t="str">
        <f t="shared" ca="1" si="129"/>
        <v/>
      </c>
      <c r="R550" s="278" t="str">
        <f t="shared" ca="1" si="130"/>
        <v/>
      </c>
      <c r="S550" s="243" t="str">
        <f t="shared" ca="1" si="131"/>
        <v/>
      </c>
      <c r="T550" s="290" t="str">
        <f t="shared" ca="1" si="132"/>
        <v/>
      </c>
      <c r="AA550"/>
    </row>
    <row r="551" spans="5:27" s="311" customFormat="1" x14ac:dyDescent="0.25">
      <c r="E551" s="2"/>
      <c r="F551" s="3"/>
      <c r="G551" s="313">
        <f ca="1"/>
        <v>0</v>
      </c>
      <c r="H551" s="278" t="str">
        <f t="shared" ca="1" si="128"/>
        <v/>
      </c>
      <c r="I551" s="278" t="str">
        <f ca="1">IF(NOT(ISTEXT($G551)),"",IFERROR(INDEX(cr01_by_issuer,MATCH($G551,OFFSET(cr01_by_issuer,0,0,100,1),0),MATCH(IF(Report!I$493="6M",0.5,LEFT(Report!I$493,LEN(Report!I$493)-1)*1),OFFSET(cr01_by_issuer,0,0,1,50),0)),0))</f>
        <v/>
      </c>
      <c r="J551" s="279" t="str">
        <f ca="1">IF(NOT(ISTEXT($G551)),"",IFERROR(INDEX(cr01_by_issuer,MATCH($G551,OFFSET(cr01_by_issuer,0,0,100,1),0),MATCH(IF(Report!J$493="6M",0.5,LEFT(Report!J$493,LEN(Report!J$493)-1)*1),OFFSET(cr01_by_issuer,0,0,1,50),0)),0))</f>
        <v/>
      </c>
      <c r="K551" s="279" t="str">
        <f ca="1">IF(NOT(ISTEXT($G551)),"",IFERROR(INDEX(cr01_by_issuer,MATCH($G551,OFFSET(cr01_by_issuer,0,0,100,1),0),MATCH(IF(Report!K$493="6M",0.5,LEFT(Report!K$493,LEN(Report!K$493)-1)*1),OFFSET(cr01_by_issuer,0,0,1,50),0)),0))</f>
        <v/>
      </c>
      <c r="L551" s="279" t="str">
        <f ca="1">IF(NOT(ISTEXT($G551)),"",IFERROR(INDEX(cr01_by_issuer,MATCH($G551,OFFSET(cr01_by_issuer,0,0,100,1),0),MATCH(IF(Report!L$493="6M",0.5,LEFT(Report!L$493,LEN(Report!L$493)-1)*1),OFFSET(cr01_by_issuer,0,0,1,50),0)),0))</f>
        <v/>
      </c>
      <c r="M551" s="279" t="str">
        <f ca="1">IF(NOT(ISTEXT($G551)),"",IFERROR(INDEX(cr01_by_issuer,MATCH($G551,OFFSET(cr01_by_issuer,0,0,100,1),0),MATCH(IF(Report!M$493="6M",0.5,LEFT(Report!M$493,LEN(Report!M$493)-1)*1),OFFSET(cr01_by_issuer,0,0,1,50),0)),0))</f>
        <v/>
      </c>
      <c r="N551" s="279" t="str">
        <f ca="1">IF(NOT(ISTEXT($G551)),"",IFERROR(INDEX(cr01_by_issuer,MATCH($G551,OFFSET(cr01_by_issuer,0,0,100,1),0),MATCH(IF(Report!N$493="6M",0.5,LEFT(Report!N$493,LEN(Report!N$493)-1)*1),OFFSET(cr01_by_issuer,0,0,1,50),0)),0))</f>
        <v/>
      </c>
      <c r="O551" s="279" t="str">
        <f ca="1">IF(NOT(ISTEXT($G551)),"",IFERROR(INDEX(cr01_by_issuer,MATCH($G551,OFFSET(cr01_by_issuer,0,0,100,1),0),MATCH(IF(Report!O$493="6M",0.5,LEFT(Report!O$493,LEN(Report!O$493)-1)*1),OFFSET(cr01_by_issuer,0,0,1,50),0)),0))</f>
        <v/>
      </c>
      <c r="P551" s="280" t="str">
        <f ca="1">IF(NOT(ISTEXT($G551)),"",IFERROR(INDEX(cr01_by_issuer,MATCH($G551,OFFSET(cr01_by_issuer,0,0,100,1),0),MATCH(IF(Report!P$493="6M",0.5,LEFT(Report!P$493,LEN(Report!P$493)-1)*1),OFFSET(cr01_by_issuer,0,0,1,50),0)),0))</f>
        <v/>
      </c>
      <c r="Q551" s="365" t="str">
        <f t="shared" ca="1" si="129"/>
        <v/>
      </c>
      <c r="R551" s="278" t="str">
        <f t="shared" ca="1" si="130"/>
        <v/>
      </c>
      <c r="S551" s="243" t="str">
        <f t="shared" ca="1" si="131"/>
        <v/>
      </c>
      <c r="T551" s="290" t="str">
        <f t="shared" ca="1" si="132"/>
        <v/>
      </c>
      <c r="AA551"/>
    </row>
    <row r="552" spans="5:27" s="311" customFormat="1" x14ac:dyDescent="0.25">
      <c r="E552" s="2"/>
      <c r="F552" s="3"/>
      <c r="G552" s="313">
        <f ca="1"/>
        <v>0</v>
      </c>
      <c r="H552" s="278" t="str">
        <f t="shared" ca="1" si="128"/>
        <v/>
      </c>
      <c r="I552" s="278" t="str">
        <f ca="1">IF(NOT(ISTEXT($G552)),"",IFERROR(INDEX(cr01_by_issuer,MATCH($G552,OFFSET(cr01_by_issuer,0,0,100,1),0),MATCH(IF(Report!I$493="6M",0.5,LEFT(Report!I$493,LEN(Report!I$493)-1)*1),OFFSET(cr01_by_issuer,0,0,1,50),0)),0))</f>
        <v/>
      </c>
      <c r="J552" s="279" t="str">
        <f ca="1">IF(NOT(ISTEXT($G552)),"",IFERROR(INDEX(cr01_by_issuer,MATCH($G552,OFFSET(cr01_by_issuer,0,0,100,1),0),MATCH(IF(Report!J$493="6M",0.5,LEFT(Report!J$493,LEN(Report!J$493)-1)*1),OFFSET(cr01_by_issuer,0,0,1,50),0)),0))</f>
        <v/>
      </c>
      <c r="K552" s="279" t="str">
        <f ca="1">IF(NOT(ISTEXT($G552)),"",IFERROR(INDEX(cr01_by_issuer,MATCH($G552,OFFSET(cr01_by_issuer,0,0,100,1),0),MATCH(IF(Report!K$493="6M",0.5,LEFT(Report!K$493,LEN(Report!K$493)-1)*1),OFFSET(cr01_by_issuer,0,0,1,50),0)),0))</f>
        <v/>
      </c>
      <c r="L552" s="279" t="str">
        <f ca="1">IF(NOT(ISTEXT($G552)),"",IFERROR(INDEX(cr01_by_issuer,MATCH($G552,OFFSET(cr01_by_issuer,0,0,100,1),0),MATCH(IF(Report!L$493="6M",0.5,LEFT(Report!L$493,LEN(Report!L$493)-1)*1),OFFSET(cr01_by_issuer,0,0,1,50),0)),0))</f>
        <v/>
      </c>
      <c r="M552" s="279" t="str">
        <f ca="1">IF(NOT(ISTEXT($G552)),"",IFERROR(INDEX(cr01_by_issuer,MATCH($G552,OFFSET(cr01_by_issuer,0,0,100,1),0),MATCH(IF(Report!M$493="6M",0.5,LEFT(Report!M$493,LEN(Report!M$493)-1)*1),OFFSET(cr01_by_issuer,0,0,1,50),0)),0))</f>
        <v/>
      </c>
      <c r="N552" s="279" t="str">
        <f ca="1">IF(NOT(ISTEXT($G552)),"",IFERROR(INDEX(cr01_by_issuer,MATCH($G552,OFFSET(cr01_by_issuer,0,0,100,1),0),MATCH(IF(Report!N$493="6M",0.5,LEFT(Report!N$493,LEN(Report!N$493)-1)*1),OFFSET(cr01_by_issuer,0,0,1,50),0)),0))</f>
        <v/>
      </c>
      <c r="O552" s="279" t="str">
        <f ca="1">IF(NOT(ISTEXT($G552)),"",IFERROR(INDEX(cr01_by_issuer,MATCH($G552,OFFSET(cr01_by_issuer,0,0,100,1),0),MATCH(IF(Report!O$493="6M",0.5,LEFT(Report!O$493,LEN(Report!O$493)-1)*1),OFFSET(cr01_by_issuer,0,0,1,50),0)),0))</f>
        <v/>
      </c>
      <c r="P552" s="280" t="str">
        <f ca="1">IF(NOT(ISTEXT($G552)),"",IFERROR(INDEX(cr01_by_issuer,MATCH($G552,OFFSET(cr01_by_issuer,0,0,100,1),0),MATCH(IF(Report!P$493="6M",0.5,LEFT(Report!P$493,LEN(Report!P$493)-1)*1),OFFSET(cr01_by_issuer,0,0,1,50),0)),0))</f>
        <v/>
      </c>
      <c r="Q552" s="365" t="str">
        <f t="shared" ca="1" si="129"/>
        <v/>
      </c>
      <c r="R552" s="278" t="str">
        <f t="shared" ca="1" si="130"/>
        <v/>
      </c>
      <c r="S552" s="243" t="str">
        <f t="shared" ca="1" si="131"/>
        <v/>
      </c>
      <c r="T552" s="290" t="str">
        <f t="shared" ca="1" si="132"/>
        <v/>
      </c>
      <c r="AA552"/>
    </row>
    <row r="553" spans="5:27" s="311" customFormat="1" x14ac:dyDescent="0.25">
      <c r="E553" s="2"/>
      <c r="F553" s="3"/>
      <c r="G553" s="313">
        <f ca="1"/>
        <v>0</v>
      </c>
      <c r="H553" s="278" t="str">
        <f t="shared" ca="1" si="128"/>
        <v/>
      </c>
      <c r="I553" s="278" t="str">
        <f ca="1">IF(NOT(ISTEXT($G553)),"",IFERROR(INDEX(cr01_by_issuer,MATCH($G553,OFFSET(cr01_by_issuer,0,0,100,1),0),MATCH(IF(Report!I$493="6M",0.5,LEFT(Report!I$493,LEN(Report!I$493)-1)*1),OFFSET(cr01_by_issuer,0,0,1,50),0)),0))</f>
        <v/>
      </c>
      <c r="J553" s="279" t="str">
        <f ca="1">IF(NOT(ISTEXT($G553)),"",IFERROR(INDEX(cr01_by_issuer,MATCH($G553,OFFSET(cr01_by_issuer,0,0,100,1),0),MATCH(IF(Report!J$493="6M",0.5,LEFT(Report!J$493,LEN(Report!J$493)-1)*1),OFFSET(cr01_by_issuer,0,0,1,50),0)),0))</f>
        <v/>
      </c>
      <c r="K553" s="279" t="str">
        <f ca="1">IF(NOT(ISTEXT($G553)),"",IFERROR(INDEX(cr01_by_issuer,MATCH($G553,OFFSET(cr01_by_issuer,0,0,100,1),0),MATCH(IF(Report!K$493="6M",0.5,LEFT(Report!K$493,LEN(Report!K$493)-1)*1),OFFSET(cr01_by_issuer,0,0,1,50),0)),0))</f>
        <v/>
      </c>
      <c r="L553" s="279" t="str">
        <f ca="1">IF(NOT(ISTEXT($G553)),"",IFERROR(INDEX(cr01_by_issuer,MATCH($G553,OFFSET(cr01_by_issuer,0,0,100,1),0),MATCH(IF(Report!L$493="6M",0.5,LEFT(Report!L$493,LEN(Report!L$493)-1)*1),OFFSET(cr01_by_issuer,0,0,1,50),0)),0))</f>
        <v/>
      </c>
      <c r="M553" s="279" t="str">
        <f ca="1">IF(NOT(ISTEXT($G553)),"",IFERROR(INDEX(cr01_by_issuer,MATCH($G553,OFFSET(cr01_by_issuer,0,0,100,1),0),MATCH(IF(Report!M$493="6M",0.5,LEFT(Report!M$493,LEN(Report!M$493)-1)*1),OFFSET(cr01_by_issuer,0,0,1,50),0)),0))</f>
        <v/>
      </c>
      <c r="N553" s="279" t="str">
        <f ca="1">IF(NOT(ISTEXT($G553)),"",IFERROR(INDEX(cr01_by_issuer,MATCH($G553,OFFSET(cr01_by_issuer,0,0,100,1),0),MATCH(IF(Report!N$493="6M",0.5,LEFT(Report!N$493,LEN(Report!N$493)-1)*1),OFFSET(cr01_by_issuer,0,0,1,50),0)),0))</f>
        <v/>
      </c>
      <c r="O553" s="279" t="str">
        <f ca="1">IF(NOT(ISTEXT($G553)),"",IFERROR(INDEX(cr01_by_issuer,MATCH($G553,OFFSET(cr01_by_issuer,0,0,100,1),0),MATCH(IF(Report!O$493="6M",0.5,LEFT(Report!O$493,LEN(Report!O$493)-1)*1),OFFSET(cr01_by_issuer,0,0,1,50),0)),0))</f>
        <v/>
      </c>
      <c r="P553" s="280" t="str">
        <f ca="1">IF(NOT(ISTEXT($G553)),"",IFERROR(INDEX(cr01_by_issuer,MATCH($G553,OFFSET(cr01_by_issuer,0,0,100,1),0),MATCH(IF(Report!P$493="6M",0.5,LEFT(Report!P$493,LEN(Report!P$493)-1)*1),OFFSET(cr01_by_issuer,0,0,1,50),0)),0))</f>
        <v/>
      </c>
      <c r="Q553" s="365" t="str">
        <f t="shared" ca="1" si="129"/>
        <v/>
      </c>
      <c r="R553" s="278" t="str">
        <f t="shared" ca="1" si="130"/>
        <v/>
      </c>
      <c r="S553" s="243" t="str">
        <f t="shared" ca="1" si="131"/>
        <v/>
      </c>
      <c r="T553" s="290" t="str">
        <f t="shared" ca="1" si="132"/>
        <v/>
      </c>
      <c r="AA553"/>
    </row>
    <row r="554" spans="5:27" s="311" customFormat="1" x14ac:dyDescent="0.25">
      <c r="E554" s="2"/>
      <c r="F554" s="3"/>
      <c r="G554" s="313">
        <f ca="1"/>
        <v>0</v>
      </c>
      <c r="H554" s="278" t="str">
        <f t="shared" ca="1" si="128"/>
        <v/>
      </c>
      <c r="I554" s="278" t="str">
        <f ca="1">IF(NOT(ISTEXT($G554)),"",IFERROR(INDEX(cr01_by_issuer,MATCH($G554,OFFSET(cr01_by_issuer,0,0,100,1),0),MATCH(IF(Report!I$493="6M",0.5,LEFT(Report!I$493,LEN(Report!I$493)-1)*1),OFFSET(cr01_by_issuer,0,0,1,50),0)),0))</f>
        <v/>
      </c>
      <c r="J554" s="279" t="str">
        <f ca="1">IF(NOT(ISTEXT($G554)),"",IFERROR(INDEX(cr01_by_issuer,MATCH($G554,OFFSET(cr01_by_issuer,0,0,100,1),0),MATCH(IF(Report!J$493="6M",0.5,LEFT(Report!J$493,LEN(Report!J$493)-1)*1),OFFSET(cr01_by_issuer,0,0,1,50),0)),0))</f>
        <v/>
      </c>
      <c r="K554" s="279" t="str">
        <f ca="1">IF(NOT(ISTEXT($G554)),"",IFERROR(INDEX(cr01_by_issuer,MATCH($G554,OFFSET(cr01_by_issuer,0,0,100,1),0),MATCH(IF(Report!K$493="6M",0.5,LEFT(Report!K$493,LEN(Report!K$493)-1)*1),OFFSET(cr01_by_issuer,0,0,1,50),0)),0))</f>
        <v/>
      </c>
      <c r="L554" s="279" t="str">
        <f ca="1">IF(NOT(ISTEXT($G554)),"",IFERROR(INDEX(cr01_by_issuer,MATCH($G554,OFFSET(cr01_by_issuer,0,0,100,1),0),MATCH(IF(Report!L$493="6M",0.5,LEFT(Report!L$493,LEN(Report!L$493)-1)*1),OFFSET(cr01_by_issuer,0,0,1,50),0)),0))</f>
        <v/>
      </c>
      <c r="M554" s="279" t="str">
        <f ca="1">IF(NOT(ISTEXT($G554)),"",IFERROR(INDEX(cr01_by_issuer,MATCH($G554,OFFSET(cr01_by_issuer,0,0,100,1),0),MATCH(IF(Report!M$493="6M",0.5,LEFT(Report!M$493,LEN(Report!M$493)-1)*1),OFFSET(cr01_by_issuer,0,0,1,50),0)),0))</f>
        <v/>
      </c>
      <c r="N554" s="279" t="str">
        <f ca="1">IF(NOT(ISTEXT($G554)),"",IFERROR(INDEX(cr01_by_issuer,MATCH($G554,OFFSET(cr01_by_issuer,0,0,100,1),0),MATCH(IF(Report!N$493="6M",0.5,LEFT(Report!N$493,LEN(Report!N$493)-1)*1),OFFSET(cr01_by_issuer,0,0,1,50),0)),0))</f>
        <v/>
      </c>
      <c r="O554" s="279" t="str">
        <f ca="1">IF(NOT(ISTEXT($G554)),"",IFERROR(INDEX(cr01_by_issuer,MATCH($G554,OFFSET(cr01_by_issuer,0,0,100,1),0),MATCH(IF(Report!O$493="6M",0.5,LEFT(Report!O$493,LEN(Report!O$493)-1)*1),OFFSET(cr01_by_issuer,0,0,1,50),0)),0))</f>
        <v/>
      </c>
      <c r="P554" s="280" t="str">
        <f ca="1">IF(NOT(ISTEXT($G554)),"",IFERROR(INDEX(cr01_by_issuer,MATCH($G554,OFFSET(cr01_by_issuer,0,0,100,1),0),MATCH(IF(Report!P$493="6M",0.5,LEFT(Report!P$493,LEN(Report!P$493)-1)*1),OFFSET(cr01_by_issuer,0,0,1,50),0)),0))</f>
        <v/>
      </c>
      <c r="Q554" s="365" t="str">
        <f t="shared" ca="1" si="129"/>
        <v/>
      </c>
      <c r="R554" s="278" t="str">
        <f t="shared" ca="1" si="130"/>
        <v/>
      </c>
      <c r="S554" s="243" t="str">
        <f t="shared" ca="1" si="131"/>
        <v/>
      </c>
      <c r="T554" s="290" t="str">
        <f t="shared" ca="1" si="132"/>
        <v/>
      </c>
    </row>
    <row r="555" spans="5:27" s="322" customFormat="1" x14ac:dyDescent="0.25">
      <c r="E555" s="2"/>
      <c r="F555" s="3"/>
      <c r="G555" s="313">
        <f ca="1"/>
        <v>0</v>
      </c>
      <c r="H555" s="278" t="str">
        <f t="shared" ca="1" si="128"/>
        <v/>
      </c>
      <c r="I555" s="278" t="str">
        <f ca="1">IF(NOT(ISTEXT($G555)),"",IFERROR(INDEX(cr01_by_issuer,MATCH($G555,OFFSET(cr01_by_issuer,0,0,100,1),0),MATCH(IF(Report!I$493="6M",0.5,LEFT(Report!I$493,LEN(Report!I$493)-1)*1),OFFSET(cr01_by_issuer,0,0,1,50),0)),0))</f>
        <v/>
      </c>
      <c r="J555" s="279" t="str">
        <f ca="1">IF(NOT(ISTEXT($G555)),"",IFERROR(INDEX(cr01_by_issuer,MATCH($G555,OFFSET(cr01_by_issuer,0,0,100,1),0),MATCH(IF(Report!J$493="6M",0.5,LEFT(Report!J$493,LEN(Report!J$493)-1)*1),OFFSET(cr01_by_issuer,0,0,1,50),0)),0))</f>
        <v/>
      </c>
      <c r="K555" s="279" t="str">
        <f ca="1">IF(NOT(ISTEXT($G555)),"",IFERROR(INDEX(cr01_by_issuer,MATCH($G555,OFFSET(cr01_by_issuer,0,0,100,1),0),MATCH(IF(Report!K$493="6M",0.5,LEFT(Report!K$493,LEN(Report!K$493)-1)*1),OFFSET(cr01_by_issuer,0,0,1,50),0)),0))</f>
        <v/>
      </c>
      <c r="L555" s="279" t="str">
        <f ca="1">IF(NOT(ISTEXT($G555)),"",IFERROR(INDEX(cr01_by_issuer,MATCH($G555,OFFSET(cr01_by_issuer,0,0,100,1),0),MATCH(IF(Report!L$493="6M",0.5,LEFT(Report!L$493,LEN(Report!L$493)-1)*1),OFFSET(cr01_by_issuer,0,0,1,50),0)),0))</f>
        <v/>
      </c>
      <c r="M555" s="279" t="str">
        <f ca="1">IF(NOT(ISTEXT($G555)),"",IFERROR(INDEX(cr01_by_issuer,MATCH($G555,OFFSET(cr01_by_issuer,0,0,100,1),0),MATCH(IF(Report!M$493="6M",0.5,LEFT(Report!M$493,LEN(Report!M$493)-1)*1),OFFSET(cr01_by_issuer,0,0,1,50),0)),0))</f>
        <v/>
      </c>
      <c r="N555" s="279" t="str">
        <f ca="1">IF(NOT(ISTEXT($G555)),"",IFERROR(INDEX(cr01_by_issuer,MATCH($G555,OFFSET(cr01_by_issuer,0,0,100,1),0),MATCH(IF(Report!N$493="6M",0.5,LEFT(Report!N$493,LEN(Report!N$493)-1)*1),OFFSET(cr01_by_issuer,0,0,1,50),0)),0))</f>
        <v/>
      </c>
      <c r="O555" s="279" t="str">
        <f ca="1">IF(NOT(ISTEXT($G555)),"",IFERROR(INDEX(cr01_by_issuer,MATCH($G555,OFFSET(cr01_by_issuer,0,0,100,1),0),MATCH(IF(Report!O$493="6M",0.5,LEFT(Report!O$493,LEN(Report!O$493)-1)*1),OFFSET(cr01_by_issuer,0,0,1,50),0)),0))</f>
        <v/>
      </c>
      <c r="P555" s="280" t="str">
        <f ca="1">IF(NOT(ISTEXT($G555)),"",IFERROR(INDEX(cr01_by_issuer,MATCH($G555,OFFSET(cr01_by_issuer,0,0,100,1),0),MATCH(IF(Report!P$493="6M",0.5,LEFT(Report!P$493,LEN(Report!P$493)-1)*1),OFFSET(cr01_by_issuer,0,0,1,50),0)),0))</f>
        <v/>
      </c>
      <c r="Q555" s="365" t="str">
        <f t="shared" ca="1" si="129"/>
        <v/>
      </c>
      <c r="R555" s="278" t="str">
        <f t="shared" ca="1" si="130"/>
        <v/>
      </c>
      <c r="S555" s="243" t="str">
        <f t="shared" ca="1" si="131"/>
        <v/>
      </c>
      <c r="T555" s="290" t="str">
        <f t="shared" ca="1" si="132"/>
        <v/>
      </c>
    </row>
    <row r="556" spans="5:27" s="322" customFormat="1" x14ac:dyDescent="0.25">
      <c r="E556" s="2"/>
      <c r="F556" s="3"/>
      <c r="G556" s="313">
        <f ca="1"/>
        <v>0</v>
      </c>
      <c r="H556" s="278" t="str">
        <f t="shared" ca="1" si="128"/>
        <v/>
      </c>
      <c r="I556" s="278" t="str">
        <f ca="1">IF(NOT(ISTEXT($G556)),"",IFERROR(INDEX(cr01_by_issuer,MATCH($G556,OFFSET(cr01_by_issuer,0,0,100,1),0),MATCH(IF(Report!I$493="6M",0.5,LEFT(Report!I$493,LEN(Report!I$493)-1)*1),OFFSET(cr01_by_issuer,0,0,1,50),0)),0))</f>
        <v/>
      </c>
      <c r="J556" s="279" t="str">
        <f ca="1">IF(NOT(ISTEXT($G556)),"",IFERROR(INDEX(cr01_by_issuer,MATCH($G556,OFFSET(cr01_by_issuer,0,0,100,1),0),MATCH(IF(Report!J$493="6M",0.5,LEFT(Report!J$493,LEN(Report!J$493)-1)*1),OFFSET(cr01_by_issuer,0,0,1,50),0)),0))</f>
        <v/>
      </c>
      <c r="K556" s="279" t="str">
        <f ca="1">IF(NOT(ISTEXT($G556)),"",IFERROR(INDEX(cr01_by_issuer,MATCH($G556,OFFSET(cr01_by_issuer,0,0,100,1),0),MATCH(IF(Report!K$493="6M",0.5,LEFT(Report!K$493,LEN(Report!K$493)-1)*1),OFFSET(cr01_by_issuer,0,0,1,50),0)),0))</f>
        <v/>
      </c>
      <c r="L556" s="279" t="str">
        <f ca="1">IF(NOT(ISTEXT($G556)),"",IFERROR(INDEX(cr01_by_issuer,MATCH($G556,OFFSET(cr01_by_issuer,0,0,100,1),0),MATCH(IF(Report!L$493="6M",0.5,LEFT(Report!L$493,LEN(Report!L$493)-1)*1),OFFSET(cr01_by_issuer,0,0,1,50),0)),0))</f>
        <v/>
      </c>
      <c r="M556" s="279" t="str">
        <f ca="1">IF(NOT(ISTEXT($G556)),"",IFERROR(INDEX(cr01_by_issuer,MATCH($G556,OFFSET(cr01_by_issuer,0,0,100,1),0),MATCH(IF(Report!M$493="6M",0.5,LEFT(Report!M$493,LEN(Report!M$493)-1)*1),OFFSET(cr01_by_issuer,0,0,1,50),0)),0))</f>
        <v/>
      </c>
      <c r="N556" s="279" t="str">
        <f ca="1">IF(NOT(ISTEXT($G556)),"",IFERROR(INDEX(cr01_by_issuer,MATCH($G556,OFFSET(cr01_by_issuer,0,0,100,1),0),MATCH(IF(Report!N$493="6M",0.5,LEFT(Report!N$493,LEN(Report!N$493)-1)*1),OFFSET(cr01_by_issuer,0,0,1,50),0)),0))</f>
        <v/>
      </c>
      <c r="O556" s="279" t="str">
        <f ca="1">IF(NOT(ISTEXT($G556)),"",IFERROR(INDEX(cr01_by_issuer,MATCH($G556,OFFSET(cr01_by_issuer,0,0,100,1),0),MATCH(IF(Report!O$493="6M",0.5,LEFT(Report!O$493,LEN(Report!O$493)-1)*1),OFFSET(cr01_by_issuer,0,0,1,50),0)),0))</f>
        <v/>
      </c>
      <c r="P556" s="280" t="str">
        <f ca="1">IF(NOT(ISTEXT($G556)),"",IFERROR(INDEX(cr01_by_issuer,MATCH($G556,OFFSET(cr01_by_issuer,0,0,100,1),0),MATCH(IF(Report!P$493="6M",0.5,LEFT(Report!P$493,LEN(Report!P$493)-1)*1),OFFSET(cr01_by_issuer,0,0,1,50),0)),0))</f>
        <v/>
      </c>
      <c r="Q556" s="365" t="str">
        <f t="shared" ca="1" si="129"/>
        <v/>
      </c>
      <c r="R556" s="278" t="str">
        <f t="shared" ca="1" si="130"/>
        <v/>
      </c>
      <c r="S556" s="243" t="str">
        <f t="shared" ca="1" si="131"/>
        <v/>
      </c>
      <c r="T556" s="290" t="str">
        <f t="shared" ca="1" si="132"/>
        <v/>
      </c>
    </row>
    <row r="557" spans="5:27" s="322" customFormat="1" x14ac:dyDescent="0.25">
      <c r="E557" s="2"/>
      <c r="F557" s="3"/>
      <c r="G557" s="313">
        <f ca="1"/>
        <v>0</v>
      </c>
      <c r="H557" s="278" t="str">
        <f t="shared" ca="1" si="128"/>
        <v/>
      </c>
      <c r="I557" s="278" t="str">
        <f ca="1">IF(NOT(ISTEXT($G557)),"",IFERROR(INDEX(cr01_by_issuer,MATCH($G557,OFFSET(cr01_by_issuer,0,0,100,1),0),MATCH(IF(Report!I$493="6M",0.5,LEFT(Report!I$493,LEN(Report!I$493)-1)*1),OFFSET(cr01_by_issuer,0,0,1,50),0)),0))</f>
        <v/>
      </c>
      <c r="J557" s="279" t="str">
        <f ca="1">IF(NOT(ISTEXT($G557)),"",IFERROR(INDEX(cr01_by_issuer,MATCH($G557,OFFSET(cr01_by_issuer,0,0,100,1),0),MATCH(IF(Report!J$493="6M",0.5,LEFT(Report!J$493,LEN(Report!J$493)-1)*1),OFFSET(cr01_by_issuer,0,0,1,50),0)),0))</f>
        <v/>
      </c>
      <c r="K557" s="279" t="str">
        <f ca="1">IF(NOT(ISTEXT($G557)),"",IFERROR(INDEX(cr01_by_issuer,MATCH($G557,OFFSET(cr01_by_issuer,0,0,100,1),0),MATCH(IF(Report!K$493="6M",0.5,LEFT(Report!K$493,LEN(Report!K$493)-1)*1),OFFSET(cr01_by_issuer,0,0,1,50),0)),0))</f>
        <v/>
      </c>
      <c r="L557" s="279" t="str">
        <f ca="1">IF(NOT(ISTEXT($G557)),"",IFERROR(INDEX(cr01_by_issuer,MATCH($G557,OFFSET(cr01_by_issuer,0,0,100,1),0),MATCH(IF(Report!L$493="6M",0.5,LEFT(Report!L$493,LEN(Report!L$493)-1)*1),OFFSET(cr01_by_issuer,0,0,1,50),0)),0))</f>
        <v/>
      </c>
      <c r="M557" s="279" t="str">
        <f ca="1">IF(NOT(ISTEXT($G557)),"",IFERROR(INDEX(cr01_by_issuer,MATCH($G557,OFFSET(cr01_by_issuer,0,0,100,1),0),MATCH(IF(Report!M$493="6M",0.5,LEFT(Report!M$493,LEN(Report!M$493)-1)*1),OFFSET(cr01_by_issuer,0,0,1,50),0)),0))</f>
        <v/>
      </c>
      <c r="N557" s="279" t="str">
        <f ca="1">IF(NOT(ISTEXT($G557)),"",IFERROR(INDEX(cr01_by_issuer,MATCH($G557,OFFSET(cr01_by_issuer,0,0,100,1),0),MATCH(IF(Report!N$493="6M",0.5,LEFT(Report!N$493,LEN(Report!N$493)-1)*1),OFFSET(cr01_by_issuer,0,0,1,50),0)),0))</f>
        <v/>
      </c>
      <c r="O557" s="279" t="str">
        <f ca="1">IF(NOT(ISTEXT($G557)),"",IFERROR(INDEX(cr01_by_issuer,MATCH($G557,OFFSET(cr01_by_issuer,0,0,100,1),0),MATCH(IF(Report!O$493="6M",0.5,LEFT(Report!O$493,LEN(Report!O$493)-1)*1),OFFSET(cr01_by_issuer,0,0,1,50),0)),0))</f>
        <v/>
      </c>
      <c r="P557" s="280" t="str">
        <f ca="1">IF(NOT(ISTEXT($G557)),"",IFERROR(INDEX(cr01_by_issuer,MATCH($G557,OFFSET(cr01_by_issuer,0,0,100,1),0),MATCH(IF(Report!P$493="6M",0.5,LEFT(Report!P$493,LEN(Report!P$493)-1)*1),OFFSET(cr01_by_issuer,0,0,1,50),0)),0))</f>
        <v/>
      </c>
      <c r="Q557" s="365" t="str">
        <f t="shared" ca="1" si="129"/>
        <v/>
      </c>
      <c r="R557" s="278" t="str">
        <f t="shared" ca="1" si="130"/>
        <v/>
      </c>
      <c r="S557" s="243" t="str">
        <f t="shared" ca="1" si="131"/>
        <v/>
      </c>
      <c r="T557" s="290" t="str">
        <f t="shared" ca="1" si="132"/>
        <v/>
      </c>
    </row>
    <row r="558" spans="5:27" s="322" customFormat="1" x14ac:dyDescent="0.25">
      <c r="E558" s="2"/>
      <c r="F558" s="3"/>
      <c r="G558" s="313">
        <f ca="1"/>
        <v>0</v>
      </c>
      <c r="H558" s="278" t="str">
        <f t="shared" ca="1" si="128"/>
        <v/>
      </c>
      <c r="I558" s="278" t="str">
        <f ca="1">IF(NOT(ISTEXT($G558)),"",IFERROR(INDEX(cr01_by_issuer,MATCH($G558,OFFSET(cr01_by_issuer,0,0,100,1),0),MATCH(IF(Report!I$493="6M",0.5,LEFT(Report!I$493,LEN(Report!I$493)-1)*1),OFFSET(cr01_by_issuer,0,0,1,50),0)),0))</f>
        <v/>
      </c>
      <c r="J558" s="279" t="str">
        <f ca="1">IF(NOT(ISTEXT($G558)),"",IFERROR(INDEX(cr01_by_issuer,MATCH($G558,OFFSET(cr01_by_issuer,0,0,100,1),0),MATCH(IF(Report!J$493="6M",0.5,LEFT(Report!J$493,LEN(Report!J$493)-1)*1),OFFSET(cr01_by_issuer,0,0,1,50),0)),0))</f>
        <v/>
      </c>
      <c r="K558" s="279" t="str">
        <f ca="1">IF(NOT(ISTEXT($G558)),"",IFERROR(INDEX(cr01_by_issuer,MATCH($G558,OFFSET(cr01_by_issuer,0,0,100,1),0),MATCH(IF(Report!K$493="6M",0.5,LEFT(Report!K$493,LEN(Report!K$493)-1)*1),OFFSET(cr01_by_issuer,0,0,1,50),0)),0))</f>
        <v/>
      </c>
      <c r="L558" s="279" t="str">
        <f ca="1">IF(NOT(ISTEXT($G558)),"",IFERROR(INDEX(cr01_by_issuer,MATCH($G558,OFFSET(cr01_by_issuer,0,0,100,1),0),MATCH(IF(Report!L$493="6M",0.5,LEFT(Report!L$493,LEN(Report!L$493)-1)*1),OFFSET(cr01_by_issuer,0,0,1,50),0)),0))</f>
        <v/>
      </c>
      <c r="M558" s="279" t="str">
        <f ca="1">IF(NOT(ISTEXT($G558)),"",IFERROR(INDEX(cr01_by_issuer,MATCH($G558,OFFSET(cr01_by_issuer,0,0,100,1),0),MATCH(IF(Report!M$493="6M",0.5,LEFT(Report!M$493,LEN(Report!M$493)-1)*1),OFFSET(cr01_by_issuer,0,0,1,50),0)),0))</f>
        <v/>
      </c>
      <c r="N558" s="279" t="str">
        <f ca="1">IF(NOT(ISTEXT($G558)),"",IFERROR(INDEX(cr01_by_issuer,MATCH($G558,OFFSET(cr01_by_issuer,0,0,100,1),0),MATCH(IF(Report!N$493="6M",0.5,LEFT(Report!N$493,LEN(Report!N$493)-1)*1),OFFSET(cr01_by_issuer,0,0,1,50),0)),0))</f>
        <v/>
      </c>
      <c r="O558" s="279" t="str">
        <f ca="1">IF(NOT(ISTEXT($G558)),"",IFERROR(INDEX(cr01_by_issuer,MATCH($G558,OFFSET(cr01_by_issuer,0,0,100,1),0),MATCH(IF(Report!O$493="6M",0.5,LEFT(Report!O$493,LEN(Report!O$493)-1)*1),OFFSET(cr01_by_issuer,0,0,1,50),0)),0))</f>
        <v/>
      </c>
      <c r="P558" s="280" t="str">
        <f ca="1">IF(NOT(ISTEXT($G558)),"",IFERROR(INDEX(cr01_by_issuer,MATCH($G558,OFFSET(cr01_by_issuer,0,0,100,1),0),MATCH(IF(Report!P$493="6M",0.5,LEFT(Report!P$493,LEN(Report!P$493)-1)*1),OFFSET(cr01_by_issuer,0,0,1,50),0)),0))</f>
        <v/>
      </c>
      <c r="Q558" s="365" t="str">
        <f t="shared" ca="1" si="129"/>
        <v/>
      </c>
      <c r="R558" s="278" t="str">
        <f t="shared" ca="1" si="130"/>
        <v/>
      </c>
      <c r="S558" s="243" t="str">
        <f t="shared" ca="1" si="131"/>
        <v/>
      </c>
      <c r="T558" s="290" t="str">
        <f t="shared" ca="1" si="132"/>
        <v/>
      </c>
    </row>
    <row r="559" spans="5:27" s="322" customFormat="1" x14ac:dyDescent="0.25">
      <c r="E559" s="2"/>
      <c r="F559" s="3"/>
      <c r="G559" s="313">
        <f ca="1"/>
        <v>0</v>
      </c>
      <c r="H559" s="278" t="str">
        <f t="shared" ca="1" si="128"/>
        <v/>
      </c>
      <c r="I559" s="278" t="str">
        <f ca="1">IF(NOT(ISTEXT($G559)),"",IFERROR(INDEX(cr01_by_issuer,MATCH($G559,OFFSET(cr01_by_issuer,0,0,100,1),0),MATCH(IF(Report!I$493="6M",0.5,LEFT(Report!I$493,LEN(Report!I$493)-1)*1),OFFSET(cr01_by_issuer,0,0,1,50),0)),0))</f>
        <v/>
      </c>
      <c r="J559" s="279" t="str">
        <f ca="1">IF(NOT(ISTEXT($G559)),"",IFERROR(INDEX(cr01_by_issuer,MATCH($G559,OFFSET(cr01_by_issuer,0,0,100,1),0),MATCH(IF(Report!J$493="6M",0.5,LEFT(Report!J$493,LEN(Report!J$493)-1)*1),OFFSET(cr01_by_issuer,0,0,1,50),0)),0))</f>
        <v/>
      </c>
      <c r="K559" s="279" t="str">
        <f ca="1">IF(NOT(ISTEXT($G559)),"",IFERROR(INDEX(cr01_by_issuer,MATCH($G559,OFFSET(cr01_by_issuer,0,0,100,1),0),MATCH(IF(Report!K$493="6M",0.5,LEFT(Report!K$493,LEN(Report!K$493)-1)*1),OFFSET(cr01_by_issuer,0,0,1,50),0)),0))</f>
        <v/>
      </c>
      <c r="L559" s="279" t="str">
        <f ca="1">IF(NOT(ISTEXT($G559)),"",IFERROR(INDEX(cr01_by_issuer,MATCH($G559,OFFSET(cr01_by_issuer,0,0,100,1),0),MATCH(IF(Report!L$493="6M",0.5,LEFT(Report!L$493,LEN(Report!L$493)-1)*1),OFFSET(cr01_by_issuer,0,0,1,50),0)),0))</f>
        <v/>
      </c>
      <c r="M559" s="279" t="str">
        <f ca="1">IF(NOT(ISTEXT($G559)),"",IFERROR(INDEX(cr01_by_issuer,MATCH($G559,OFFSET(cr01_by_issuer,0,0,100,1),0),MATCH(IF(Report!M$493="6M",0.5,LEFT(Report!M$493,LEN(Report!M$493)-1)*1),OFFSET(cr01_by_issuer,0,0,1,50),0)),0))</f>
        <v/>
      </c>
      <c r="N559" s="279" t="str">
        <f ca="1">IF(NOT(ISTEXT($G559)),"",IFERROR(INDEX(cr01_by_issuer,MATCH($G559,OFFSET(cr01_by_issuer,0,0,100,1),0),MATCH(IF(Report!N$493="6M",0.5,LEFT(Report!N$493,LEN(Report!N$493)-1)*1),OFFSET(cr01_by_issuer,0,0,1,50),0)),0))</f>
        <v/>
      </c>
      <c r="O559" s="279" t="str">
        <f ca="1">IF(NOT(ISTEXT($G559)),"",IFERROR(INDEX(cr01_by_issuer,MATCH($G559,OFFSET(cr01_by_issuer,0,0,100,1),0),MATCH(IF(Report!O$493="6M",0.5,LEFT(Report!O$493,LEN(Report!O$493)-1)*1),OFFSET(cr01_by_issuer,0,0,1,50),0)),0))</f>
        <v/>
      </c>
      <c r="P559" s="280" t="str">
        <f ca="1">IF(NOT(ISTEXT($G559)),"",IFERROR(INDEX(cr01_by_issuer,MATCH($G559,OFFSET(cr01_by_issuer,0,0,100,1),0),MATCH(IF(Report!P$493="6M",0.5,LEFT(Report!P$493,LEN(Report!P$493)-1)*1),OFFSET(cr01_by_issuer,0,0,1,50),0)),0))</f>
        <v/>
      </c>
      <c r="Q559" s="365" t="str">
        <f t="shared" ca="1" si="129"/>
        <v/>
      </c>
      <c r="R559" s="278" t="str">
        <f t="shared" ca="1" si="130"/>
        <v/>
      </c>
      <c r="S559" s="243" t="str">
        <f t="shared" ca="1" si="131"/>
        <v/>
      </c>
      <c r="T559" s="290" t="str">
        <f t="shared" ca="1" si="132"/>
        <v/>
      </c>
    </row>
    <row r="560" spans="5:27" s="322" customFormat="1" x14ac:dyDescent="0.25">
      <c r="E560" s="2"/>
      <c r="F560" s="3"/>
      <c r="G560" s="313">
        <f ca="1"/>
        <v>0</v>
      </c>
      <c r="H560" s="278" t="str">
        <f t="shared" ca="1" si="128"/>
        <v/>
      </c>
      <c r="I560" s="278" t="str">
        <f ca="1">IF(NOT(ISTEXT($G560)),"",IFERROR(INDEX(cr01_by_issuer,MATCH($G560,OFFSET(cr01_by_issuer,0,0,100,1),0),MATCH(IF(Report!I$493="6M",0.5,LEFT(Report!I$493,LEN(Report!I$493)-1)*1),OFFSET(cr01_by_issuer,0,0,1,50),0)),0))</f>
        <v/>
      </c>
      <c r="J560" s="279" t="str">
        <f ca="1">IF(NOT(ISTEXT($G560)),"",IFERROR(INDEX(cr01_by_issuer,MATCH($G560,OFFSET(cr01_by_issuer,0,0,100,1),0),MATCH(IF(Report!J$493="6M",0.5,LEFT(Report!J$493,LEN(Report!J$493)-1)*1),OFFSET(cr01_by_issuer,0,0,1,50),0)),0))</f>
        <v/>
      </c>
      <c r="K560" s="279" t="str">
        <f ca="1">IF(NOT(ISTEXT($G560)),"",IFERROR(INDEX(cr01_by_issuer,MATCH($G560,OFFSET(cr01_by_issuer,0,0,100,1),0),MATCH(IF(Report!K$493="6M",0.5,LEFT(Report!K$493,LEN(Report!K$493)-1)*1),OFFSET(cr01_by_issuer,0,0,1,50),0)),0))</f>
        <v/>
      </c>
      <c r="L560" s="279" t="str">
        <f ca="1">IF(NOT(ISTEXT($G560)),"",IFERROR(INDEX(cr01_by_issuer,MATCH($G560,OFFSET(cr01_by_issuer,0,0,100,1),0),MATCH(IF(Report!L$493="6M",0.5,LEFT(Report!L$493,LEN(Report!L$493)-1)*1),OFFSET(cr01_by_issuer,0,0,1,50),0)),0))</f>
        <v/>
      </c>
      <c r="M560" s="279" t="str">
        <f ca="1">IF(NOT(ISTEXT($G560)),"",IFERROR(INDEX(cr01_by_issuer,MATCH($G560,OFFSET(cr01_by_issuer,0,0,100,1),0),MATCH(IF(Report!M$493="6M",0.5,LEFT(Report!M$493,LEN(Report!M$493)-1)*1),OFFSET(cr01_by_issuer,0,0,1,50),0)),0))</f>
        <v/>
      </c>
      <c r="N560" s="279" t="str">
        <f ca="1">IF(NOT(ISTEXT($G560)),"",IFERROR(INDEX(cr01_by_issuer,MATCH($G560,OFFSET(cr01_by_issuer,0,0,100,1),0),MATCH(IF(Report!N$493="6M",0.5,LEFT(Report!N$493,LEN(Report!N$493)-1)*1),OFFSET(cr01_by_issuer,0,0,1,50),0)),0))</f>
        <v/>
      </c>
      <c r="O560" s="279" t="str">
        <f ca="1">IF(NOT(ISTEXT($G560)),"",IFERROR(INDEX(cr01_by_issuer,MATCH($G560,OFFSET(cr01_by_issuer,0,0,100,1),0),MATCH(IF(Report!O$493="6M",0.5,LEFT(Report!O$493,LEN(Report!O$493)-1)*1),OFFSET(cr01_by_issuer,0,0,1,50),0)),0))</f>
        <v/>
      </c>
      <c r="P560" s="280" t="str">
        <f ca="1">IF(NOT(ISTEXT($G560)),"",IFERROR(INDEX(cr01_by_issuer,MATCH($G560,OFFSET(cr01_by_issuer,0,0,100,1),0),MATCH(IF(Report!P$493="6M",0.5,LEFT(Report!P$493,LEN(Report!P$493)-1)*1),OFFSET(cr01_by_issuer,0,0,1,50),0)),0))</f>
        <v/>
      </c>
      <c r="Q560" s="365" t="str">
        <f t="shared" ca="1" si="129"/>
        <v/>
      </c>
      <c r="R560" s="278" t="str">
        <f t="shared" ca="1" si="130"/>
        <v/>
      </c>
      <c r="S560" s="243" t="str">
        <f t="shared" ca="1" si="131"/>
        <v/>
      </c>
      <c r="T560" s="290" t="str">
        <f t="shared" ca="1" si="132"/>
        <v/>
      </c>
    </row>
    <row r="561" spans="3:20" s="322" customFormat="1" x14ac:dyDescent="0.25">
      <c r="E561" s="2"/>
      <c r="F561" s="3"/>
      <c r="G561" s="313">
        <f ca="1"/>
        <v>0</v>
      </c>
      <c r="H561" s="278" t="str">
        <f t="shared" ca="1" si="128"/>
        <v/>
      </c>
      <c r="I561" s="278" t="str">
        <f ca="1">IF(NOT(ISTEXT($G561)),"",IFERROR(INDEX(cr01_by_issuer,MATCH($G561,OFFSET(cr01_by_issuer,0,0,100,1),0),MATCH(IF(Report!I$493="6M",0.5,LEFT(Report!I$493,LEN(Report!I$493)-1)*1),OFFSET(cr01_by_issuer,0,0,1,50),0)),0))</f>
        <v/>
      </c>
      <c r="J561" s="279" t="str">
        <f ca="1">IF(NOT(ISTEXT($G561)),"",IFERROR(INDEX(cr01_by_issuer,MATCH($G561,OFFSET(cr01_by_issuer,0,0,100,1),0),MATCH(IF(Report!J$493="6M",0.5,LEFT(Report!J$493,LEN(Report!J$493)-1)*1),OFFSET(cr01_by_issuer,0,0,1,50),0)),0))</f>
        <v/>
      </c>
      <c r="K561" s="279" t="str">
        <f ca="1">IF(NOT(ISTEXT($G561)),"",IFERROR(INDEX(cr01_by_issuer,MATCH($G561,OFFSET(cr01_by_issuer,0,0,100,1),0),MATCH(IF(Report!K$493="6M",0.5,LEFT(Report!K$493,LEN(Report!K$493)-1)*1),OFFSET(cr01_by_issuer,0,0,1,50),0)),0))</f>
        <v/>
      </c>
      <c r="L561" s="279" t="str">
        <f ca="1">IF(NOT(ISTEXT($G561)),"",IFERROR(INDEX(cr01_by_issuer,MATCH($G561,OFFSET(cr01_by_issuer,0,0,100,1),0),MATCH(IF(Report!L$493="6M",0.5,LEFT(Report!L$493,LEN(Report!L$493)-1)*1),OFFSET(cr01_by_issuer,0,0,1,50),0)),0))</f>
        <v/>
      </c>
      <c r="M561" s="279" t="str">
        <f ca="1">IF(NOT(ISTEXT($G561)),"",IFERROR(INDEX(cr01_by_issuer,MATCH($G561,OFFSET(cr01_by_issuer,0,0,100,1),0),MATCH(IF(Report!M$493="6M",0.5,LEFT(Report!M$493,LEN(Report!M$493)-1)*1),OFFSET(cr01_by_issuer,0,0,1,50),0)),0))</f>
        <v/>
      </c>
      <c r="N561" s="279" t="str">
        <f ca="1">IF(NOT(ISTEXT($G561)),"",IFERROR(INDEX(cr01_by_issuer,MATCH($G561,OFFSET(cr01_by_issuer,0,0,100,1),0),MATCH(IF(Report!N$493="6M",0.5,LEFT(Report!N$493,LEN(Report!N$493)-1)*1),OFFSET(cr01_by_issuer,0,0,1,50),0)),0))</f>
        <v/>
      </c>
      <c r="O561" s="279" t="str">
        <f ca="1">IF(NOT(ISTEXT($G561)),"",IFERROR(INDEX(cr01_by_issuer,MATCH($G561,OFFSET(cr01_by_issuer,0,0,100,1),0),MATCH(IF(Report!O$493="6M",0.5,LEFT(Report!O$493,LEN(Report!O$493)-1)*1),OFFSET(cr01_by_issuer,0,0,1,50),0)),0))</f>
        <v/>
      </c>
      <c r="P561" s="280" t="str">
        <f ca="1">IF(NOT(ISTEXT($G561)),"",IFERROR(INDEX(cr01_by_issuer,MATCH($G561,OFFSET(cr01_by_issuer,0,0,100,1),0),MATCH(IF(Report!P$493="6M",0.5,LEFT(Report!P$493,LEN(Report!P$493)-1)*1),OFFSET(cr01_by_issuer,0,0,1,50),0)),0))</f>
        <v/>
      </c>
      <c r="Q561" s="365" t="str">
        <f t="shared" ca="1" si="129"/>
        <v/>
      </c>
      <c r="R561" s="278" t="str">
        <f t="shared" ca="1" si="130"/>
        <v/>
      </c>
      <c r="S561" s="243" t="str">
        <f t="shared" ca="1" si="131"/>
        <v/>
      </c>
      <c r="T561" s="290" t="str">
        <f t="shared" ca="1" si="132"/>
        <v/>
      </c>
    </row>
    <row r="562" spans="3:20" s="322" customFormat="1" x14ac:dyDescent="0.25">
      <c r="E562" s="2"/>
      <c r="F562" s="3"/>
      <c r="G562" s="313">
        <f ca="1"/>
        <v>0</v>
      </c>
      <c r="H562" s="278" t="str">
        <f t="shared" ca="1" si="128"/>
        <v/>
      </c>
      <c r="I562" s="278" t="str">
        <f ca="1">IF(NOT(ISTEXT($G562)),"",IFERROR(INDEX(cr01_by_issuer,MATCH($G562,OFFSET(cr01_by_issuer,0,0,100,1),0),MATCH(IF(Report!I$493="6M",0.5,LEFT(Report!I$493,LEN(Report!I$493)-1)*1),OFFSET(cr01_by_issuer,0,0,1,50),0)),0))</f>
        <v/>
      </c>
      <c r="J562" s="279" t="str">
        <f ca="1">IF(NOT(ISTEXT($G562)),"",IFERROR(INDEX(cr01_by_issuer,MATCH($G562,OFFSET(cr01_by_issuer,0,0,100,1),0),MATCH(IF(Report!J$493="6M",0.5,LEFT(Report!J$493,LEN(Report!J$493)-1)*1),OFFSET(cr01_by_issuer,0,0,1,50),0)),0))</f>
        <v/>
      </c>
      <c r="K562" s="279" t="str">
        <f ca="1">IF(NOT(ISTEXT($G562)),"",IFERROR(INDEX(cr01_by_issuer,MATCH($G562,OFFSET(cr01_by_issuer,0,0,100,1),0),MATCH(IF(Report!K$493="6M",0.5,LEFT(Report!K$493,LEN(Report!K$493)-1)*1),OFFSET(cr01_by_issuer,0,0,1,50),0)),0))</f>
        <v/>
      </c>
      <c r="L562" s="279" t="str">
        <f ca="1">IF(NOT(ISTEXT($G562)),"",IFERROR(INDEX(cr01_by_issuer,MATCH($G562,OFFSET(cr01_by_issuer,0,0,100,1),0),MATCH(IF(Report!L$493="6M",0.5,LEFT(Report!L$493,LEN(Report!L$493)-1)*1),OFFSET(cr01_by_issuer,0,0,1,50),0)),0))</f>
        <v/>
      </c>
      <c r="M562" s="279" t="str">
        <f ca="1">IF(NOT(ISTEXT($G562)),"",IFERROR(INDEX(cr01_by_issuer,MATCH($G562,OFFSET(cr01_by_issuer,0,0,100,1),0),MATCH(IF(Report!M$493="6M",0.5,LEFT(Report!M$493,LEN(Report!M$493)-1)*1),OFFSET(cr01_by_issuer,0,0,1,50),0)),0))</f>
        <v/>
      </c>
      <c r="N562" s="279" t="str">
        <f ca="1">IF(NOT(ISTEXT($G562)),"",IFERROR(INDEX(cr01_by_issuer,MATCH($G562,OFFSET(cr01_by_issuer,0,0,100,1),0),MATCH(IF(Report!N$493="6M",0.5,LEFT(Report!N$493,LEN(Report!N$493)-1)*1),OFFSET(cr01_by_issuer,0,0,1,50),0)),0))</f>
        <v/>
      </c>
      <c r="O562" s="279" t="str">
        <f ca="1">IF(NOT(ISTEXT($G562)),"",IFERROR(INDEX(cr01_by_issuer,MATCH($G562,OFFSET(cr01_by_issuer,0,0,100,1),0),MATCH(IF(Report!O$493="6M",0.5,LEFT(Report!O$493,LEN(Report!O$493)-1)*1),OFFSET(cr01_by_issuer,0,0,1,50),0)),0))</f>
        <v/>
      </c>
      <c r="P562" s="280" t="str">
        <f ca="1">IF(NOT(ISTEXT($G562)),"",IFERROR(INDEX(cr01_by_issuer,MATCH($G562,OFFSET(cr01_by_issuer,0,0,100,1),0),MATCH(IF(Report!P$493="6M",0.5,LEFT(Report!P$493,LEN(Report!P$493)-1)*1),OFFSET(cr01_by_issuer,0,0,1,50),0)),0))</f>
        <v/>
      </c>
      <c r="Q562" s="365" t="str">
        <f t="shared" ca="1" si="129"/>
        <v/>
      </c>
      <c r="R562" s="278" t="str">
        <f t="shared" ca="1" si="130"/>
        <v/>
      </c>
      <c r="S562" s="243" t="str">
        <f t="shared" ca="1" si="131"/>
        <v/>
      </c>
      <c r="T562" s="290" t="str">
        <f t="shared" ca="1" si="132"/>
        <v/>
      </c>
    </row>
    <row r="563" spans="3:20" s="322" customFormat="1" x14ac:dyDescent="0.25">
      <c r="E563" s="2"/>
      <c r="F563" s="3"/>
      <c r="G563" s="313">
        <f ca="1"/>
        <v>0</v>
      </c>
      <c r="H563" s="278" t="str">
        <f t="shared" ca="1" si="128"/>
        <v/>
      </c>
      <c r="I563" s="278" t="str">
        <f ca="1">IF(NOT(ISTEXT($G563)),"",IFERROR(INDEX(cr01_by_issuer,MATCH($G563,OFFSET(cr01_by_issuer,0,0,100,1),0),MATCH(IF(Report!I$493="6M",0.5,LEFT(Report!I$493,LEN(Report!I$493)-1)*1),OFFSET(cr01_by_issuer,0,0,1,50),0)),0))</f>
        <v/>
      </c>
      <c r="J563" s="279" t="str">
        <f ca="1">IF(NOT(ISTEXT($G563)),"",IFERROR(INDEX(cr01_by_issuer,MATCH($G563,OFFSET(cr01_by_issuer,0,0,100,1),0),MATCH(IF(Report!J$493="6M",0.5,LEFT(Report!J$493,LEN(Report!J$493)-1)*1),OFFSET(cr01_by_issuer,0,0,1,50),0)),0))</f>
        <v/>
      </c>
      <c r="K563" s="279" t="str">
        <f ca="1">IF(NOT(ISTEXT($G563)),"",IFERROR(INDEX(cr01_by_issuer,MATCH($G563,OFFSET(cr01_by_issuer,0,0,100,1),0),MATCH(IF(Report!K$493="6M",0.5,LEFT(Report!K$493,LEN(Report!K$493)-1)*1),OFFSET(cr01_by_issuer,0,0,1,50),0)),0))</f>
        <v/>
      </c>
      <c r="L563" s="279" t="str">
        <f ca="1">IF(NOT(ISTEXT($G563)),"",IFERROR(INDEX(cr01_by_issuer,MATCH($G563,OFFSET(cr01_by_issuer,0,0,100,1),0),MATCH(IF(Report!L$493="6M",0.5,LEFT(Report!L$493,LEN(Report!L$493)-1)*1),OFFSET(cr01_by_issuer,0,0,1,50),0)),0))</f>
        <v/>
      </c>
      <c r="M563" s="279" t="str">
        <f ca="1">IF(NOT(ISTEXT($G563)),"",IFERROR(INDEX(cr01_by_issuer,MATCH($G563,OFFSET(cr01_by_issuer,0,0,100,1),0),MATCH(IF(Report!M$493="6M",0.5,LEFT(Report!M$493,LEN(Report!M$493)-1)*1),OFFSET(cr01_by_issuer,0,0,1,50),0)),0))</f>
        <v/>
      </c>
      <c r="N563" s="279" t="str">
        <f ca="1">IF(NOT(ISTEXT($G563)),"",IFERROR(INDEX(cr01_by_issuer,MATCH($G563,OFFSET(cr01_by_issuer,0,0,100,1),0),MATCH(IF(Report!N$493="6M",0.5,LEFT(Report!N$493,LEN(Report!N$493)-1)*1),OFFSET(cr01_by_issuer,0,0,1,50),0)),0))</f>
        <v/>
      </c>
      <c r="O563" s="279" t="str">
        <f ca="1">IF(NOT(ISTEXT($G563)),"",IFERROR(INDEX(cr01_by_issuer,MATCH($G563,OFFSET(cr01_by_issuer,0,0,100,1),0),MATCH(IF(Report!O$493="6M",0.5,LEFT(Report!O$493,LEN(Report!O$493)-1)*1),OFFSET(cr01_by_issuer,0,0,1,50),0)),0))</f>
        <v/>
      </c>
      <c r="P563" s="280" t="str">
        <f ca="1">IF(NOT(ISTEXT($G563)),"",IFERROR(INDEX(cr01_by_issuer,MATCH($G563,OFFSET(cr01_by_issuer,0,0,100,1),0),MATCH(IF(Report!P$493="6M",0.5,LEFT(Report!P$493,LEN(Report!P$493)-1)*1),OFFSET(cr01_by_issuer,0,0,1,50),0)),0))</f>
        <v/>
      </c>
      <c r="Q563" s="365" t="str">
        <f t="shared" ca="1" si="129"/>
        <v/>
      </c>
      <c r="R563" s="278" t="str">
        <f t="shared" ca="1" si="130"/>
        <v/>
      </c>
      <c r="S563" s="243" t="str">
        <f t="shared" ca="1" si="131"/>
        <v/>
      </c>
      <c r="T563" s="290" t="str">
        <f t="shared" ca="1" si="132"/>
        <v/>
      </c>
    </row>
    <row r="564" spans="3:20" s="322" customFormat="1" x14ac:dyDescent="0.25">
      <c r="E564" s="2"/>
      <c r="F564" s="3"/>
      <c r="G564" s="313">
        <f ca="1"/>
        <v>0</v>
      </c>
      <c r="H564" s="278" t="str">
        <f t="shared" ca="1" si="128"/>
        <v/>
      </c>
      <c r="I564" s="278" t="str">
        <f ca="1">IF(NOT(ISTEXT($G564)),"",IFERROR(INDEX(cr01_by_issuer,MATCH($G564,OFFSET(cr01_by_issuer,0,0,100,1),0),MATCH(IF(Report!I$493="6M",0.5,LEFT(Report!I$493,LEN(Report!I$493)-1)*1),OFFSET(cr01_by_issuer,0,0,1,50),0)),0))</f>
        <v/>
      </c>
      <c r="J564" s="279" t="str">
        <f ca="1">IF(NOT(ISTEXT($G564)),"",IFERROR(INDEX(cr01_by_issuer,MATCH($G564,OFFSET(cr01_by_issuer,0,0,100,1),0),MATCH(IF(Report!J$493="6M",0.5,LEFT(Report!J$493,LEN(Report!J$493)-1)*1),OFFSET(cr01_by_issuer,0,0,1,50),0)),0))</f>
        <v/>
      </c>
      <c r="K564" s="279" t="str">
        <f ca="1">IF(NOT(ISTEXT($G564)),"",IFERROR(INDEX(cr01_by_issuer,MATCH($G564,OFFSET(cr01_by_issuer,0,0,100,1),0),MATCH(IF(Report!K$493="6M",0.5,LEFT(Report!K$493,LEN(Report!K$493)-1)*1),OFFSET(cr01_by_issuer,0,0,1,50),0)),0))</f>
        <v/>
      </c>
      <c r="L564" s="279" t="str">
        <f ca="1">IF(NOT(ISTEXT($G564)),"",IFERROR(INDEX(cr01_by_issuer,MATCH($G564,OFFSET(cr01_by_issuer,0,0,100,1),0),MATCH(IF(Report!L$493="6M",0.5,LEFT(Report!L$493,LEN(Report!L$493)-1)*1),OFFSET(cr01_by_issuer,0,0,1,50),0)),0))</f>
        <v/>
      </c>
      <c r="M564" s="279" t="str">
        <f ca="1">IF(NOT(ISTEXT($G564)),"",IFERROR(INDEX(cr01_by_issuer,MATCH($G564,OFFSET(cr01_by_issuer,0,0,100,1),0),MATCH(IF(Report!M$493="6M",0.5,LEFT(Report!M$493,LEN(Report!M$493)-1)*1),OFFSET(cr01_by_issuer,0,0,1,50),0)),0))</f>
        <v/>
      </c>
      <c r="N564" s="279" t="str">
        <f ca="1">IF(NOT(ISTEXT($G564)),"",IFERROR(INDEX(cr01_by_issuer,MATCH($G564,OFFSET(cr01_by_issuer,0,0,100,1),0),MATCH(IF(Report!N$493="6M",0.5,LEFT(Report!N$493,LEN(Report!N$493)-1)*1),OFFSET(cr01_by_issuer,0,0,1,50),0)),0))</f>
        <v/>
      </c>
      <c r="O564" s="279" t="str">
        <f ca="1">IF(NOT(ISTEXT($G564)),"",IFERROR(INDEX(cr01_by_issuer,MATCH($G564,OFFSET(cr01_by_issuer,0,0,100,1),0),MATCH(IF(Report!O$493="6M",0.5,LEFT(Report!O$493,LEN(Report!O$493)-1)*1),OFFSET(cr01_by_issuer,0,0,1,50),0)),0))</f>
        <v/>
      </c>
      <c r="P564" s="280" t="str">
        <f ca="1">IF(NOT(ISTEXT($G564)),"",IFERROR(INDEX(cr01_by_issuer,MATCH($G564,OFFSET(cr01_by_issuer,0,0,100,1),0),MATCH(IF(Report!P$493="6M",0.5,LEFT(Report!P$493,LEN(Report!P$493)-1)*1),OFFSET(cr01_by_issuer,0,0,1,50),0)),0))</f>
        <v/>
      </c>
      <c r="Q564" s="365" t="str">
        <f t="shared" ca="1" si="129"/>
        <v/>
      </c>
      <c r="R564" s="278" t="str">
        <f t="shared" ca="1" si="130"/>
        <v/>
      </c>
      <c r="S564" s="243" t="str">
        <f t="shared" ca="1" si="131"/>
        <v/>
      </c>
      <c r="T564" s="290" t="str">
        <f t="shared" ca="1" si="132"/>
        <v/>
      </c>
    </row>
    <row r="565" spans="3:20" s="322" customFormat="1" x14ac:dyDescent="0.25">
      <c r="E565" s="2"/>
      <c r="F565" s="3"/>
      <c r="G565" s="313">
        <f ca="1"/>
        <v>0</v>
      </c>
      <c r="H565" s="278" t="str">
        <f t="shared" ca="1" si="128"/>
        <v/>
      </c>
      <c r="I565" s="278" t="str">
        <f ca="1">IF(NOT(ISTEXT($G565)),"",IFERROR(INDEX(cr01_by_issuer,MATCH($G565,OFFSET(cr01_by_issuer,0,0,100,1),0),MATCH(IF(Report!I$493="6M",0.5,LEFT(Report!I$493,LEN(Report!I$493)-1)*1),OFFSET(cr01_by_issuer,0,0,1,50),0)),0))</f>
        <v/>
      </c>
      <c r="J565" s="279" t="str">
        <f ca="1">IF(NOT(ISTEXT($G565)),"",IFERROR(INDEX(cr01_by_issuer,MATCH($G565,OFFSET(cr01_by_issuer,0,0,100,1),0),MATCH(IF(Report!J$493="6M",0.5,LEFT(Report!J$493,LEN(Report!J$493)-1)*1),OFFSET(cr01_by_issuer,0,0,1,50),0)),0))</f>
        <v/>
      </c>
      <c r="K565" s="279" t="str">
        <f ca="1">IF(NOT(ISTEXT($G565)),"",IFERROR(INDEX(cr01_by_issuer,MATCH($G565,OFFSET(cr01_by_issuer,0,0,100,1),0),MATCH(IF(Report!K$493="6M",0.5,LEFT(Report!K$493,LEN(Report!K$493)-1)*1),OFFSET(cr01_by_issuer,0,0,1,50),0)),0))</f>
        <v/>
      </c>
      <c r="L565" s="279" t="str">
        <f ca="1">IF(NOT(ISTEXT($G565)),"",IFERROR(INDEX(cr01_by_issuer,MATCH($G565,OFFSET(cr01_by_issuer,0,0,100,1),0),MATCH(IF(Report!L$493="6M",0.5,LEFT(Report!L$493,LEN(Report!L$493)-1)*1),OFFSET(cr01_by_issuer,0,0,1,50),0)),0))</f>
        <v/>
      </c>
      <c r="M565" s="279" t="str">
        <f ca="1">IF(NOT(ISTEXT($G565)),"",IFERROR(INDEX(cr01_by_issuer,MATCH($G565,OFFSET(cr01_by_issuer,0,0,100,1),0),MATCH(IF(Report!M$493="6M",0.5,LEFT(Report!M$493,LEN(Report!M$493)-1)*1),OFFSET(cr01_by_issuer,0,0,1,50),0)),0))</f>
        <v/>
      </c>
      <c r="N565" s="279" t="str">
        <f ca="1">IF(NOT(ISTEXT($G565)),"",IFERROR(INDEX(cr01_by_issuer,MATCH($G565,OFFSET(cr01_by_issuer,0,0,100,1),0),MATCH(IF(Report!N$493="6M",0.5,LEFT(Report!N$493,LEN(Report!N$493)-1)*1),OFFSET(cr01_by_issuer,0,0,1,50),0)),0))</f>
        <v/>
      </c>
      <c r="O565" s="279" t="str">
        <f ca="1">IF(NOT(ISTEXT($G565)),"",IFERROR(INDEX(cr01_by_issuer,MATCH($G565,OFFSET(cr01_by_issuer,0,0,100,1),0),MATCH(IF(Report!O$493="6M",0.5,LEFT(Report!O$493,LEN(Report!O$493)-1)*1),OFFSET(cr01_by_issuer,0,0,1,50),0)),0))</f>
        <v/>
      </c>
      <c r="P565" s="280" t="str">
        <f ca="1">IF(NOT(ISTEXT($G565)),"",IFERROR(INDEX(cr01_by_issuer,MATCH($G565,OFFSET(cr01_by_issuer,0,0,100,1),0),MATCH(IF(Report!P$493="6M",0.5,LEFT(Report!P$493,LEN(Report!P$493)-1)*1),OFFSET(cr01_by_issuer,0,0,1,50),0)),0))</f>
        <v/>
      </c>
      <c r="Q565" s="365" t="str">
        <f t="shared" ca="1" si="129"/>
        <v/>
      </c>
      <c r="R565" s="278" t="str">
        <f t="shared" ca="1" si="130"/>
        <v/>
      </c>
      <c r="S565" s="243" t="str">
        <f t="shared" ca="1" si="131"/>
        <v/>
      </c>
      <c r="T565" s="290" t="str">
        <f t="shared" ca="1" si="132"/>
        <v/>
      </c>
    </row>
    <row r="566" spans="3:20" s="322" customFormat="1" x14ac:dyDescent="0.25">
      <c r="E566" s="2"/>
      <c r="F566" s="3"/>
      <c r="G566" s="313">
        <f ca="1"/>
        <v>0</v>
      </c>
      <c r="H566" s="287" t="str">
        <f t="shared" ref="H566" ca="1" si="133">IF(NOT(ISTEXT($G566)),"",SUM(I566:P566))</f>
        <v/>
      </c>
      <c r="I566" s="279" t="str">
        <f ca="1">IF(NOT(ISTEXT($G566)),"",IFERROR(INDEX(cr01_by_issuer,MATCH($G566,OFFSET(cr01_by_issuer,0,0,100,1),0),MATCH(IF(Report!I$493="6M",0.5,LEFT(Report!I$493,LEN(Report!I$493)-1)*1),OFFSET(cr01_by_issuer,0,0,1,50),0)),0))</f>
        <v/>
      </c>
      <c r="J566" s="279" t="str">
        <f ca="1">IF(NOT(ISTEXT($G566)),"",IFERROR(INDEX(cr01_by_issuer,MATCH($G566,OFFSET(cr01_by_issuer,0,0,100,1),0),MATCH(IF(Report!J$493="6M",0.5,LEFT(Report!J$493,LEN(Report!J$493)-1)*1),OFFSET(cr01_by_issuer,0,0,1,50),0)),0))</f>
        <v/>
      </c>
      <c r="K566" s="279" t="str">
        <f ca="1">IF(NOT(ISTEXT($G566)),"",IFERROR(INDEX(cr01_by_issuer,MATCH($G566,OFFSET(cr01_by_issuer,0,0,100,1),0),MATCH(IF(Report!K$493="6M",0.5,LEFT(Report!K$493,LEN(Report!K$493)-1)*1),OFFSET(cr01_by_issuer,0,0,1,50),0)),0))</f>
        <v/>
      </c>
      <c r="L566" s="279" t="str">
        <f ca="1">IF(NOT(ISTEXT($G566)),"",IFERROR(INDEX(cr01_by_issuer,MATCH($G566,OFFSET(cr01_by_issuer,0,0,100,1),0),MATCH(IF(Report!L$493="6M",0.5,LEFT(Report!L$493,LEN(Report!L$493)-1)*1),OFFSET(cr01_by_issuer,0,0,1,50),0)),0))</f>
        <v/>
      </c>
      <c r="M566" s="279" t="str">
        <f ca="1">IF(NOT(ISTEXT($G566)),"",IFERROR(INDEX(cr01_by_issuer,MATCH($G566,OFFSET(cr01_by_issuer,0,0,100,1),0),MATCH(IF(Report!M$493="6M",0.5,LEFT(Report!M$493,LEN(Report!M$493)-1)*1),OFFSET(cr01_by_issuer,0,0,1,50),0)),0))</f>
        <v/>
      </c>
      <c r="N566" s="279" t="str">
        <f ca="1">IF(NOT(ISTEXT($G566)),"",IFERROR(INDEX(cr01_by_issuer,MATCH($G566,OFFSET(cr01_by_issuer,0,0,100,1),0),MATCH(IF(Report!N$493="6M",0.5,LEFT(Report!N$493,LEN(Report!N$493)-1)*1),OFFSET(cr01_by_issuer,0,0,1,50),0)),0))</f>
        <v/>
      </c>
      <c r="O566" s="279" t="str">
        <f ca="1">IF(NOT(ISTEXT($G566)),"",IFERROR(INDEX(cr01_by_issuer,MATCH($G566,OFFSET(cr01_by_issuer,0,0,100,1),0),MATCH(IF(Report!O$493="6M",0.5,LEFT(Report!O$493,LEN(Report!O$493)-1)*1),OFFSET(cr01_by_issuer,0,0,1,50),0)),0))</f>
        <v/>
      </c>
      <c r="P566" s="279" t="str">
        <f ca="1">IF(NOT(ISTEXT($G566)),"",IFERROR(INDEX(cr01_by_issuer,MATCH($G566,OFFSET(cr01_by_issuer,0,0,100,1),0),MATCH(IF(Report!P$493="6M",0.5,LEFT(Report!P$493,LEN(Report!P$493)-1)*1),OFFSET(cr01_by_issuer,0,0,1,50),0)),0))</f>
        <v/>
      </c>
      <c r="Q566" s="366" t="str">
        <f t="shared" ref="Q566" ca="1" si="134">IF(NOT(ISTEXT(G566)),"",INDEX(OFFSET(vol_adj_cr01,0,1,100,1),MATCH(G566,OFFSET(vol_adj_cr01,0,0,100,1),0),1))</f>
        <v/>
      </c>
      <c r="R566" s="287" t="str">
        <f t="shared" ref="R566" ca="1" si="135">IF(NOT(ISTEXT(G566)),"",INDEX(OFFSET(vol_adj_cr01,0,3,100,1),MATCH(G566,OFFSET(vol_adj_cr01,0,0,100,1),0),1))</f>
        <v/>
      </c>
      <c r="S566" s="17" t="str">
        <f t="shared" ref="S566" ca="1" si="136">IF(NOT(ISTEXT($G566)),"",IFERROR(VLOOKUP(G566,jtd_by_issuer,2,FALSE),0))</f>
        <v/>
      </c>
      <c r="T566" s="334" t="str">
        <f t="shared" ref="T566" ca="1" si="137">IF(NOT(ISTEXT($G566)),"",IFERROR(S566/Nav,0))</f>
        <v/>
      </c>
    </row>
    <row r="567" spans="3:20" s="311" customFormat="1" x14ac:dyDescent="0.25">
      <c r="E567" s="2"/>
      <c r="F567" s="3"/>
      <c r="G567" s="75" t="s">
        <v>38</v>
      </c>
      <c r="H567" s="275">
        <f t="shared" ref="H567:T567" ca="1" si="138">SUM(H494:H566)</f>
        <v>75900.045744107381</v>
      </c>
      <c r="I567" s="275">
        <f t="shared" ca="1" si="138"/>
        <v>0</v>
      </c>
      <c r="J567" s="275">
        <f t="shared" ca="1" si="138"/>
        <v>0</v>
      </c>
      <c r="K567" s="275">
        <f t="shared" ca="1" si="138"/>
        <v>5867.2825163438802</v>
      </c>
      <c r="L567" s="275">
        <f t="shared" ca="1" si="138"/>
        <v>9118.9721389023016</v>
      </c>
      <c r="M567" s="275">
        <f t="shared" ca="1" si="138"/>
        <v>9637.4489404239721</v>
      </c>
      <c r="N567" s="275">
        <f t="shared" ca="1" si="138"/>
        <v>-109409.22778363577</v>
      </c>
      <c r="O567" s="275">
        <f t="shared" ca="1" si="138"/>
        <v>160685.56993207312</v>
      </c>
      <c r="P567" s="275">
        <f t="shared" ca="1" si="138"/>
        <v>0</v>
      </c>
      <c r="Q567" s="275">
        <f t="shared" ca="1" si="138"/>
        <v>146.64461013672866</v>
      </c>
      <c r="R567" s="275">
        <f t="shared" ca="1" si="138"/>
        <v>343345.42544341588</v>
      </c>
      <c r="S567" s="240">
        <f t="shared" ca="1" si="138"/>
        <v>76937377.400027633</v>
      </c>
      <c r="T567" s="312">
        <f t="shared" ca="1" si="138"/>
        <v>0.26666451824874549</v>
      </c>
    </row>
    <row r="568" spans="3:20" ht="16.5" thickBot="1" x14ac:dyDescent="0.3">
      <c r="E568" s="2"/>
      <c r="F568" s="3"/>
    </row>
    <row r="569" spans="3:20" ht="20.25" thickBot="1" x14ac:dyDescent="0.3">
      <c r="C569" s="418" t="s">
        <v>172</v>
      </c>
      <c r="D569" s="419"/>
      <c r="E569" s="419"/>
      <c r="F569" s="419"/>
      <c r="G569" s="419"/>
      <c r="H569" s="419"/>
      <c r="I569" s="419"/>
      <c r="J569" s="419"/>
      <c r="K569" s="419"/>
      <c r="L569" s="419"/>
      <c r="M569" s="419"/>
      <c r="N569" s="419"/>
      <c r="O569" s="419"/>
      <c r="P569" s="419"/>
      <c r="Q569" s="419"/>
      <c r="R569" s="419"/>
      <c r="S569" s="419"/>
      <c r="T569" s="420"/>
    </row>
    <row r="570" spans="3:20" x14ac:dyDescent="0.25">
      <c r="E570" s="2"/>
      <c r="F570" s="3"/>
    </row>
    <row r="571" spans="3:20" ht="17.25" x14ac:dyDescent="0.3">
      <c r="C571" s="87" t="s">
        <v>53</v>
      </c>
      <c r="E571" s="2"/>
      <c r="F571" s="3"/>
      <c r="G571" s="246"/>
    </row>
    <row r="572" spans="3:20" x14ac:dyDescent="0.25">
      <c r="F572" s="88" t="s">
        <v>54</v>
      </c>
      <c r="G572" s="4"/>
      <c r="H572" s="4"/>
      <c r="I572" s="4"/>
      <c r="J572" s="4"/>
      <c r="K572" s="4"/>
      <c r="O572" s="4"/>
    </row>
    <row r="573" spans="3:20" ht="17.25" x14ac:dyDescent="0.3">
      <c r="C573" s="87"/>
      <c r="E573" s="2"/>
      <c r="F573" s="89" t="s">
        <v>55</v>
      </c>
      <c r="G573" s="4"/>
      <c r="H573" s="4"/>
      <c r="I573" s="89" t="s">
        <v>56</v>
      </c>
      <c r="J573" s="4"/>
      <c r="K573" s="4"/>
      <c r="O573" s="291" t="s">
        <v>173</v>
      </c>
      <c r="P573" s="51"/>
    </row>
    <row r="574" spans="3:20" x14ac:dyDescent="0.25">
      <c r="E574" s="48" t="s">
        <v>31</v>
      </c>
      <c r="F574" s="50" t="s">
        <v>58</v>
      </c>
      <c r="G574" s="50" t="s">
        <v>59</v>
      </c>
      <c r="H574" s="1" t="s">
        <v>60</v>
      </c>
      <c r="I574" s="50" t="s">
        <v>58</v>
      </c>
      <c r="J574" s="50" t="s">
        <v>59</v>
      </c>
      <c r="K574" s="1" t="s">
        <v>60</v>
      </c>
      <c r="O574" s="51" t="s">
        <v>174</v>
      </c>
      <c r="P574" s="51" t="s">
        <v>175</v>
      </c>
      <c r="Q574" s="51" t="s">
        <v>176</v>
      </c>
    </row>
    <row r="575" spans="3:20" x14ac:dyDescent="0.25">
      <c r="E575" s="55" t="s">
        <v>33</v>
      </c>
      <c r="F575" s="90">
        <f>IFERROR(INDEX(liquidity_by_tag_5,MATCH($E575,Data!$A$181:$A$189,0),MATCH(1,Data!$A$181:$F$181,0))/SUM(liquidity_by_tag_5),0)</f>
        <v>0.22014587638524846</v>
      </c>
      <c r="G575" s="91">
        <f>IFERROR(INDEX(liquidity_by_tag_5,MATCH($E575,Data!$A$181:$A$189,0),MATCH(2,Data!$A$181:$F$181,0))/SUM(liquidity_by_tag_5),0)</f>
        <v>0</v>
      </c>
      <c r="H575" s="92">
        <f>IFERROR(INDEX(liquidity_by_tag_5,MATCH($E575,Data!$A$181:$A$189,0),MATCH(3,Data!$A$181:$F$181,0))/SUM(liquidity_by_tag_5),0)</f>
        <v>0</v>
      </c>
      <c r="I575" s="90">
        <f>IFERROR(INDEX(stressed_liquidity_by_tag_5,MATCH($E575,Data!$A$181:$A$189,0),MATCH(1,Data!$A$181:$F$181,0))/SUM(stressed_liquidity_by_tag_5),0)</f>
        <v>0.22448613608107887</v>
      </c>
      <c r="J575" s="91">
        <f>IFERROR(INDEX(stressed_liquidity_by_tag_5,MATCH($E575,Data!$A$181:$A$189,0),MATCH(2,Data!$A$181:$F$181,0))/SUM(stressed_liquidity_by_tag_5),0)</f>
        <v>0</v>
      </c>
      <c r="K575" s="92">
        <f>IFERROR(INDEX(stressed_liquidity_by_tag_5,MATCH($E575,Data!$A$181:$A$189,0),MATCH(3,Data!$A$181:$F$181,0))/SUM(stressed_liquidity_by_tag_5),0)</f>
        <v>0</v>
      </c>
      <c r="N575" s="2" t="s">
        <v>58</v>
      </c>
      <c r="O575" s="229">
        <v>0.86649736990944048</v>
      </c>
      <c r="P575" s="229">
        <v>0.86649736990944048</v>
      </c>
      <c r="Q575" s="229">
        <v>0</v>
      </c>
    </row>
    <row r="576" spans="3:20" x14ac:dyDescent="0.25">
      <c r="E576" s="55" t="s">
        <v>34</v>
      </c>
      <c r="F576" s="94">
        <f>IFERROR(INDEX(liquidity_by_tag_5,MATCH($E576,Data!$A$181:$A$189,0),MATCH(1,Data!$A$181:$F$181,0))/SUM(liquidity_by_tag_5),0)</f>
        <v>0.26227857978885655</v>
      </c>
      <c r="G576" s="70">
        <f>IFERROR(INDEX(liquidity_by_tag_5,MATCH($E576,Data!$A$181:$A$189,0),MATCH(2,Data!$A$181:$F$181,0))/SUM(liquidity_by_tag_5),0)</f>
        <v>0</v>
      </c>
      <c r="H576" s="95">
        <f>IFERROR(INDEX(liquidity_by_tag_5,MATCH($E576,Data!$A$181:$A$189,0),MATCH(3,Data!$A$181:$F$181,0))/SUM(liquidity_by_tag_5),0)</f>
        <v>0</v>
      </c>
      <c r="I576" s="94">
        <f>IFERROR(INDEX(stressed_liquidity_by_tag_5,MATCH($E576,Data!$A$181:$A$189,0),MATCH(1,Data!$A$181:$F$181,0))/SUM(stressed_liquidity_by_tag_5),0)</f>
        <v>0.26744950175945537</v>
      </c>
      <c r="J576" s="70">
        <f>IFERROR(INDEX(stressed_liquidity_by_tag_5,MATCH($E576,Data!$A$181:$A$189,0),MATCH(2,Data!$A$181:$F$181,0))/SUM(stressed_liquidity_by_tag_5),0)</f>
        <v>0</v>
      </c>
      <c r="K576" s="95">
        <f>IFERROR(INDEX(stressed_liquidity_by_tag_5,MATCH($E576,Data!$A$181:$A$189,0),MATCH(3,Data!$A$181:$F$181,0))/SUM(stressed_liquidity_by_tag_5),0)</f>
        <v>0</v>
      </c>
      <c r="N576" s="2" t="s">
        <v>59</v>
      </c>
      <c r="O576" s="229">
        <v>0</v>
      </c>
      <c r="P576" s="229">
        <v>0</v>
      </c>
      <c r="Q576" s="229">
        <v>0</v>
      </c>
    </row>
    <row r="577" spans="3:17" x14ac:dyDescent="0.25">
      <c r="E577" s="55" t="s">
        <v>35</v>
      </c>
      <c r="F577" s="94">
        <f>IFERROR(INDEX(liquidity_by_tag_5,MATCH($E577,Data!$A$181:$A$189,0),MATCH(1,Data!$A$181:$F$181,0))/SUM(liquidity_by_tag_5),0)</f>
        <v>0.165382513097898</v>
      </c>
      <c r="G577" s="70">
        <f>IFERROR(INDEX(liquidity_by_tag_5,MATCH($E577,Data!$A$181:$A$189,0),MATCH(2,Data!$A$181:$F$181,0))/SUM(liquidity_by_tag_5),0)</f>
        <v>0.15988437540506931</v>
      </c>
      <c r="H577" s="95">
        <f>IFERROR(INDEX(liquidity_by_tag_5,MATCH($E577,Data!$A$181:$A$189,0),MATCH(3,Data!$A$181:$F$181,0))/SUM(liquidity_by_tag_5),0)</f>
        <v>0.17163472234384358</v>
      </c>
      <c r="I577" s="94">
        <f>IFERROR(INDEX(stressed_liquidity_by_tag_5,MATCH($E577,Data!$A$181:$A$189,0),MATCH(1,Data!$A$181:$F$181,0))/SUM(stressed_liquidity_by_tag_5),0)</f>
        <v>0.15959859890286154</v>
      </c>
      <c r="J577" s="70">
        <f>IFERROR(INDEX(stressed_liquidity_by_tag_5,MATCH($E577,Data!$A$181:$A$189,0),MATCH(2,Data!$A$181:$F$181,0))/SUM(stressed_liquidity_by_tag_5),0)</f>
        <v>0.15250202119042419</v>
      </c>
      <c r="K577" s="95">
        <f>IFERROR(INDEX(stressed_liquidity_by_tag_5,MATCH($E577,Data!$A$181:$A$189,0),MATCH(3,Data!$A$181:$F$181,0))/SUM(stressed_liquidity_by_tag_5),0)</f>
        <v>0.17488221463410533</v>
      </c>
      <c r="N577" s="2" t="s">
        <v>60</v>
      </c>
      <c r="O577" s="229">
        <v>0.13350263009055954</v>
      </c>
      <c r="P577" s="229">
        <v>0.13350263009055954</v>
      </c>
      <c r="Q577" s="229">
        <v>0</v>
      </c>
    </row>
    <row r="578" spans="3:17" x14ac:dyDescent="0.25">
      <c r="E578" s="55" t="s">
        <v>36</v>
      </c>
      <c r="F578" s="94">
        <f>IFERROR(INDEX(liquidity_by_tag_5,MATCH($E578,Data!$A$181:$A$189,0),MATCH(1,Data!$A$181:$F$181,0))/SUM(liquidity_by_tag_5),0)</f>
        <v>2.0672079576410676E-2</v>
      </c>
      <c r="G578" s="70">
        <f>IFERROR(INDEX(liquidity_by_tag_5,MATCH($E578,Data!$A$181:$A$189,0),MATCH(2,Data!$A$181:$F$181,0))/SUM(liquidity_by_tag_5),0)</f>
        <v>0</v>
      </c>
      <c r="H578" s="95">
        <f>IFERROR(INDEX(liquidity_by_tag_5,MATCH($E578,Data!$A$181:$A$189,0),MATCH(3,Data!$A$181:$F$181,0))/SUM(liquidity_by_tag_5),0)</f>
        <v>0</v>
      </c>
      <c r="I578" s="94">
        <f>IFERROR(INDEX(stressed_liquidity_by_tag_5,MATCH($E578,Data!$A$181:$A$189,0),MATCH(1,Data!$A$181:$F$181,0))/SUM(stressed_liquidity_by_tag_5),0)</f>
        <v>2.1079637488862702E-2</v>
      </c>
      <c r="J578" s="70">
        <f>IFERROR(INDEX(stressed_liquidity_by_tag_5,MATCH($E578,Data!$A$181:$A$189,0),MATCH(2,Data!$A$181:$F$181,0))/SUM(stressed_liquidity_by_tag_5),0)</f>
        <v>0</v>
      </c>
      <c r="K578" s="95">
        <f>IFERROR(INDEX(stressed_liquidity_by_tag_5,MATCH($E578,Data!$A$181:$A$189,0),MATCH(3,Data!$A$181:$F$181,0))/SUM(stressed_liquidity_by_tag_5),0)</f>
        <v>0</v>
      </c>
    </row>
    <row r="579" spans="3:17" x14ac:dyDescent="0.25">
      <c r="E579" s="55" t="s">
        <v>37</v>
      </c>
      <c r="F579" s="94">
        <f>IFERROR(INDEX(liquidity_by_tag_5,MATCH($E579,Data!$A$181:$A$189,0),MATCH(1,Data!$A$181:$F$181,0))/SUM(liquidity_by_tag_5),0)</f>
        <v>0</v>
      </c>
      <c r="G579" s="70">
        <f>IFERROR(INDEX(liquidity_by_tag_5,MATCH($E579,Data!$A$181:$A$189,0),MATCH(2,Data!$A$181:$F$181,0))/SUM(liquidity_by_tag_5),0)</f>
        <v>0</v>
      </c>
      <c r="H579" s="95">
        <f>IFERROR(INDEX(liquidity_by_tag_5,MATCH($E579,Data!$A$181:$A$189,0),MATCH(3,Data!$A$181:$F$181,0))/SUM(liquidity_by_tag_5),0)</f>
        <v>0</v>
      </c>
      <c r="I579" s="94">
        <f>IFERROR(INDEX(stressed_liquidity_by_tag_5,MATCH($E579,Data!$A$181:$A$189,0),MATCH(1,Data!$A$181:$F$181,0))/SUM(stressed_liquidity_by_tag_5),0)</f>
        <v>0</v>
      </c>
      <c r="J579" s="70">
        <f>IFERROR(INDEX(stressed_liquidity_by_tag_5,MATCH($E579,Data!$A$181:$A$189,0),MATCH(2,Data!$A$181:$F$181,0))/SUM(stressed_liquidity_by_tag_5),0)</f>
        <v>0</v>
      </c>
      <c r="K579" s="95">
        <f>IFERROR(INDEX(stressed_liquidity_by_tag_5,MATCH($E579,Data!$A$181:$A$189,0),MATCH(3,Data!$A$181:$F$181,0))/SUM(stressed_liquidity_by_tag_5),0)</f>
        <v>0</v>
      </c>
    </row>
    <row r="580" spans="3:17" x14ac:dyDescent="0.25">
      <c r="E580" s="55" t="s">
        <v>46</v>
      </c>
      <c r="F580" s="97">
        <f>IFERROR(INDEX(liquidity_by_tag_5,MATCH($E580,Data!$A$181:$A$189,0),MATCH(1,Data!$A$181:$F$181,0))/SUM(liquidity_by_tag_5),0)</f>
        <v>0</v>
      </c>
      <c r="G580" s="98">
        <f>IFERROR(INDEX(liquidity_by_tag_5,MATCH($E580,Data!$A$181:$A$189,0),MATCH(2,Data!$A$181:$F$181,0))/SUM(liquidity_by_tag_5),0)</f>
        <v>0</v>
      </c>
      <c r="H580" s="99">
        <f>IFERROR(INDEX(liquidity_by_tag_5,MATCH($E580,Data!$A$181:$A$189,0),MATCH(3,Data!$A$181:$F$181,0))/SUM(liquidity_by_tag_5),0)</f>
        <v>0</v>
      </c>
      <c r="I580" s="97">
        <f>IFERROR(INDEX(stressed_liquidity_by_tag_5,MATCH($E580,Data!$A$181:$A$189,0),MATCH(1,Data!$A$181:$F$181,0))/SUM(stressed_liquidity_by_tag_5),0)</f>
        <v>0</v>
      </c>
      <c r="J580" s="98">
        <f>IFERROR(INDEX(stressed_liquidity_by_tag_5,MATCH($E580,Data!$A$181:$A$189,0),MATCH(2,Data!$A$181:$F$181,0))/SUM(stressed_liquidity_by_tag_5),0)</f>
        <v>0</v>
      </c>
      <c r="K580" s="99">
        <f>IFERROR(INDEX(stressed_liquidity_by_tag_5,MATCH($E580,Data!$A$181:$A$189,0),MATCH(3,Data!$A$181:$F$181,0))/SUM(stressed_liquidity_by_tag_5),0)</f>
        <v>0</v>
      </c>
    </row>
    <row r="581" spans="3:17" x14ac:dyDescent="0.25">
      <c r="E581" s="68" t="s">
        <v>38</v>
      </c>
      <c r="F581" s="101">
        <f>SUM(F575:F580)</f>
        <v>0.66847904884841369</v>
      </c>
      <c r="G581" s="102">
        <f t="shared" ref="G581:K581" si="139">SUM(G575:G580)</f>
        <v>0.15988437540506931</v>
      </c>
      <c r="H581" s="102">
        <f t="shared" si="139"/>
        <v>0.17163472234384358</v>
      </c>
      <c r="I581" s="101">
        <f t="shared" si="139"/>
        <v>0.67261387423225849</v>
      </c>
      <c r="J581" s="102">
        <f t="shared" si="139"/>
        <v>0.15250202119042419</v>
      </c>
      <c r="K581" s="102">
        <f t="shared" si="139"/>
        <v>0.17488221463410533</v>
      </c>
    </row>
    <row r="582" spans="3:17" x14ac:dyDescent="0.25">
      <c r="E582" s="68"/>
      <c r="F582" s="32"/>
      <c r="G582" s="38"/>
    </row>
    <row r="584" spans="3:17" ht="17.25" x14ac:dyDescent="0.3">
      <c r="C584" s="87" t="s">
        <v>177</v>
      </c>
      <c r="E584" s="2"/>
      <c r="F584" s="3"/>
    </row>
    <row r="585" spans="3:17" x14ac:dyDescent="0.25">
      <c r="E585" s="2"/>
      <c r="F585" s="3"/>
    </row>
    <row r="586" spans="3:17" x14ac:dyDescent="0.25">
      <c r="D586"/>
      <c r="E586"/>
      <c r="F586"/>
      <c r="G586"/>
      <c r="H586"/>
      <c r="J586"/>
    </row>
    <row r="587" spans="3:17" x14ac:dyDescent="0.25">
      <c r="E587" s="48" t="s">
        <v>31</v>
      </c>
      <c r="F587" s="50" t="s">
        <v>58</v>
      </c>
      <c r="G587" s="50" t="s">
        <v>59</v>
      </c>
      <c r="H587" s="1" t="s">
        <v>60</v>
      </c>
      <c r="I587" s="401" t="s">
        <v>38</v>
      </c>
      <c r="J587"/>
    </row>
    <row r="588" spans="3:17" x14ac:dyDescent="0.25">
      <c r="E588" s="55" t="s">
        <v>33</v>
      </c>
      <c r="F588" s="292">
        <f t="shared" ref="F588:F593" ca="1" si="140">IFERROR(INDEX(stressed_liquidity_impact,MATCH($E588,OFFSET(stressed_liquidity_impact,0,0,,1),0),MATCH(1,OFFSET(stressed_liquidity_impact,0,0,1,),0))/Nav,0)</f>
        <v>1.7896934505111214E-3</v>
      </c>
      <c r="G588" s="293">
        <f t="shared" ref="G588:G593" ca="1" si="141">IFERROR(INDEX(stressed_liquidity_impact,MATCH($E588,OFFSET(stressed_liquidity_impact,0,0,,1),0),MATCH(2,OFFSET(stressed_liquidity_impact,0,0,1,),0))/Nav,0)</f>
        <v>0</v>
      </c>
      <c r="H588" s="294">
        <f t="shared" ref="H588:H593" ca="1" si="142">IFERROR(INDEX(stressed_liquidity_impact,MATCH($E588,OFFSET(stressed_liquidity_impact,0,0,,1),0),MATCH(3,OFFSET(stressed_liquidity_impact,0,0,1,),0))/Nav,0)</f>
        <v>0</v>
      </c>
      <c r="I588" s="93">
        <f t="shared" ref="I588:I593" ca="1" si="143">SUM(F588:H588)</f>
        <v>1.7896934505111214E-3</v>
      </c>
      <c r="J588"/>
    </row>
    <row r="589" spans="3:17" x14ac:dyDescent="0.25">
      <c r="E589" s="55" t="s">
        <v>34</v>
      </c>
      <c r="F589" s="295">
        <f t="shared" ca="1" si="140"/>
        <v>3.3050393587871437E-3</v>
      </c>
      <c r="G589" s="38">
        <f t="shared" ca="1" si="141"/>
        <v>0</v>
      </c>
      <c r="H589" s="296">
        <f t="shared" ca="1" si="142"/>
        <v>0</v>
      </c>
      <c r="I589" s="96">
        <f t="shared" ca="1" si="143"/>
        <v>3.3050393587871437E-3</v>
      </c>
      <c r="J589"/>
    </row>
    <row r="590" spans="3:17" x14ac:dyDescent="0.25">
      <c r="E590" s="55" t="s">
        <v>35</v>
      </c>
      <c r="F590" s="295">
        <f t="shared" ca="1" si="140"/>
        <v>4.1711063436691426E-3</v>
      </c>
      <c r="G590" s="38">
        <f t="shared" ca="1" si="141"/>
        <v>4.2329102329295232E-3</v>
      </c>
      <c r="H590" s="296">
        <f t="shared" ca="1" si="142"/>
        <v>5.4856482437907646E-3</v>
      </c>
      <c r="I590" s="96">
        <f t="shared" ca="1" si="143"/>
        <v>1.3889664820389429E-2</v>
      </c>
      <c r="J590"/>
    </row>
    <row r="591" spans="3:17" x14ac:dyDescent="0.25">
      <c r="E591" s="55" t="s">
        <v>36</v>
      </c>
      <c r="F591" s="295">
        <f t="shared" ca="1" si="140"/>
        <v>1.4831409331862282E-6</v>
      </c>
      <c r="G591" s="38">
        <f t="shared" ca="1" si="141"/>
        <v>0</v>
      </c>
      <c r="H591" s="296">
        <f t="shared" ca="1" si="142"/>
        <v>0</v>
      </c>
      <c r="I591" s="96">
        <f t="shared" ca="1" si="143"/>
        <v>1.4831409331862282E-6</v>
      </c>
      <c r="J591"/>
    </row>
    <row r="592" spans="3:17" x14ac:dyDescent="0.25">
      <c r="E592" s="55" t="s">
        <v>37</v>
      </c>
      <c r="F592" s="295">
        <f t="shared" ca="1" si="140"/>
        <v>0</v>
      </c>
      <c r="G592" s="38">
        <f t="shared" ca="1" si="141"/>
        <v>0</v>
      </c>
      <c r="H592" s="296">
        <f t="shared" ca="1" si="142"/>
        <v>0</v>
      </c>
      <c r="I592" s="96">
        <f t="shared" ca="1" si="143"/>
        <v>0</v>
      </c>
      <c r="J592"/>
    </row>
    <row r="593" spans="1:23" x14ac:dyDescent="0.25">
      <c r="E593" s="55" t="s">
        <v>46</v>
      </c>
      <c r="F593" s="297">
        <f t="shared" ca="1" si="140"/>
        <v>0</v>
      </c>
      <c r="G593" s="35">
        <f t="shared" ca="1" si="141"/>
        <v>0</v>
      </c>
      <c r="H593" s="298">
        <f t="shared" ca="1" si="142"/>
        <v>0</v>
      </c>
      <c r="I593" s="100">
        <f t="shared" ca="1" si="143"/>
        <v>0</v>
      </c>
      <c r="J593"/>
    </row>
    <row r="594" spans="1:23" x14ac:dyDescent="0.25">
      <c r="E594" s="68" t="s">
        <v>38</v>
      </c>
      <c r="F594" s="212">
        <f ca="1">SUM(F588:F593)</f>
        <v>9.2673222939005945E-3</v>
      </c>
      <c r="G594" s="212">
        <f ca="1">SUM(G588:G593)</f>
        <v>4.2329102329295232E-3</v>
      </c>
      <c r="H594" s="212">
        <f ca="1">SUM(H588:H593)</f>
        <v>5.4856482437907646E-3</v>
      </c>
      <c r="I594" s="103">
        <f ca="1">SUM(I588:I593)</f>
        <v>1.898588077062088E-2</v>
      </c>
      <c r="J594" s="103"/>
    </row>
    <row r="595" spans="1:23" x14ac:dyDescent="0.25">
      <c r="E595" s="2"/>
      <c r="F595" s="3"/>
    </row>
    <row r="596" spans="1:23" x14ac:dyDescent="0.25">
      <c r="E596" s="2"/>
      <c r="F596" s="3"/>
    </row>
    <row r="597" spans="1:23" x14ac:dyDescent="0.25">
      <c r="E597" s="2"/>
      <c r="F597" s="3"/>
    </row>
    <row r="598" spans="1:23" ht="6.75" customHeight="1" thickBot="1" x14ac:dyDescent="0.3">
      <c r="E598" s="2"/>
      <c r="F598" s="3"/>
    </row>
    <row r="599" spans="1:23" ht="20.25" thickBot="1" x14ac:dyDescent="0.3">
      <c r="C599" s="418" t="s">
        <v>178</v>
      </c>
      <c r="D599" s="419"/>
      <c r="E599" s="419"/>
      <c r="F599" s="419"/>
      <c r="G599" s="419"/>
      <c r="H599" s="419"/>
      <c r="I599" s="419"/>
      <c r="J599" s="419"/>
      <c r="K599" s="419"/>
      <c r="L599" s="419"/>
      <c r="M599" s="419"/>
      <c r="N599" s="419"/>
      <c r="O599" s="419"/>
      <c r="P599" s="419"/>
      <c r="Q599" s="419"/>
      <c r="R599" s="419"/>
      <c r="S599" s="419"/>
      <c r="T599" s="420"/>
    </row>
    <row r="600" spans="1:23" x14ac:dyDescent="0.25">
      <c r="E600" s="2"/>
      <c r="F600" s="3"/>
    </row>
    <row r="601" spans="1:23" ht="17.25" x14ac:dyDescent="0.3">
      <c r="C601" s="87" t="s">
        <v>179</v>
      </c>
      <c r="E601" s="2"/>
      <c r="F601" s="3"/>
      <c r="R601" s="87" t="s">
        <v>310</v>
      </c>
    </row>
    <row r="602" spans="1:23" x14ac:dyDescent="0.25">
      <c r="D602"/>
      <c r="E602"/>
      <c r="F602"/>
      <c r="G602"/>
      <c r="H602"/>
      <c r="I602"/>
      <c r="J602"/>
      <c r="K602"/>
      <c r="L602" s="116"/>
      <c r="M602"/>
      <c r="N602" s="117" t="s">
        <v>72</v>
      </c>
      <c r="O602" s="117"/>
      <c r="P602" s="12"/>
      <c r="Q602" s="118"/>
    </row>
    <row r="603" spans="1:23" ht="17.25" x14ac:dyDescent="0.3">
      <c r="A603" s="2"/>
      <c r="C603"/>
      <c r="D603" s="87"/>
      <c r="E603"/>
      <c r="F603"/>
      <c r="G603"/>
      <c r="H603" s="119" t="s">
        <v>73</v>
      </c>
      <c r="I603" s="106"/>
      <c r="J603" s="106"/>
      <c r="K603" s="106"/>
      <c r="L603" s="106"/>
      <c r="M603" s="120"/>
      <c r="N603" s="119" t="s">
        <v>45</v>
      </c>
      <c r="O603" s="120"/>
    </row>
    <row r="604" spans="1:23" ht="24" customHeight="1" x14ac:dyDescent="0.25">
      <c r="A604" s="2"/>
      <c r="C604" s="22"/>
      <c r="D604" s="121"/>
      <c r="E604" s="121"/>
      <c r="F604" s="122" t="s">
        <v>40</v>
      </c>
      <c r="G604" s="123"/>
      <c r="H604" s="318" t="str">
        <f t="array" aca="1" ref="H604:M604" ca="1">OFFSET(macro_factors_by_tag_4,0,1,1,6)</f>
        <v>USD Index¹</v>
      </c>
      <c r="I604" s="319" t="str">
        <f ca="1"/>
        <v>US 10 Year²</v>
      </c>
      <c r="J604" s="319" t="str">
        <f ca="1"/>
        <v>US 2y10y Spread²</v>
      </c>
      <c r="K604" s="319" t="str">
        <f ca="1"/>
        <v>EMBI EM Spread²</v>
      </c>
      <c r="L604" s="319" t="str">
        <f ca="1"/>
        <v>S&amp;P 500 Index¹</v>
      </c>
      <c r="M604" s="319" t="str">
        <f ca="1"/>
        <v>OIL¹</v>
      </c>
      <c r="N604" s="127" t="s">
        <v>6</v>
      </c>
      <c r="O604" s="128" t="s">
        <v>7</v>
      </c>
      <c r="P604" s="131" t="s">
        <v>76</v>
      </c>
      <c r="S604" s="127" t="s">
        <v>6</v>
      </c>
      <c r="T604" s="130" t="s">
        <v>7</v>
      </c>
    </row>
    <row r="605" spans="1:23" x14ac:dyDescent="0.25">
      <c r="A605" s="2"/>
      <c r="C605" s="22"/>
      <c r="D605" s="121"/>
      <c r="E605" s="121"/>
      <c r="F605" s="121"/>
      <c r="G605" s="316" t="s">
        <v>77</v>
      </c>
      <c r="H605" s="182">
        <f t="shared" ref="H605:M605" ca="1" si="144">SUM(H606:H612)</f>
        <v>60185252.037197962</v>
      </c>
      <c r="I605" s="133">
        <f t="shared" ca="1" si="144"/>
        <v>38498.095187472842</v>
      </c>
      <c r="J605" s="133">
        <f t="shared" ca="1" si="144"/>
        <v>117306.42876753779</v>
      </c>
      <c r="K605" s="133">
        <f t="shared" ca="1" si="144"/>
        <v>30767.623551301054</v>
      </c>
      <c r="L605" s="133">
        <f t="shared" ca="1" si="144"/>
        <v>-17350780.205375344</v>
      </c>
      <c r="M605" s="178">
        <f t="shared" ca="1" si="144"/>
        <v>-2138185.4043426374</v>
      </c>
      <c r="N605" s="317">
        <f ca="1">P605*portfolio_volatility</f>
        <v>9158955.7779123168</v>
      </c>
      <c r="O605" s="112">
        <f ca="1">SUM(O606:O612)</f>
        <v>3.1744889320566766E-2</v>
      </c>
      <c r="P605" s="137">
        <f ca="1">SUM(P606:P612)</f>
        <v>1</v>
      </c>
      <c r="R605" s="55">
        <f t="array" aca="1" ref="R605:R610" ca="1">OFFSET(portfolio_pnl_by_scenarios,1,1,,1)</f>
        <v>2008</v>
      </c>
      <c r="S605" s="134">
        <f t="shared" ref="S605:S610" ca="1" si="145">IFERROR(INDEX(portfolio_pnl_by_scenarios,MATCH($R605,OFFSET(portfolio_pnl_by_scenarios,0,1,,1),0),MATCH("PnL",OFFSET(portfolio_pnl_by_scenarios,0,0,1),0)),0)</f>
        <v>61548182.990496568</v>
      </c>
      <c r="T605" s="294">
        <f t="shared" ref="T605:T610" ca="1" si="146">S605/Nav</f>
        <v>0.21332565679890864</v>
      </c>
    </row>
    <row r="606" spans="1:23" x14ac:dyDescent="0.25">
      <c r="A606" s="2"/>
      <c r="G606" s="55" t="s">
        <v>41</v>
      </c>
      <c r="H606" s="139">
        <f t="shared" ref="H606:M612" ca="1" si="147">IFERROR(INDEX(macro_factors_by_tag_4,MATCH($W606,OFFSET(macro_factors_by_tag_4,0,0,,1),0),MATCH(H$604,OFFSET(macro_factors_by_tag_4,0,0,1),0)),0)</f>
        <v>34649644.919967584</v>
      </c>
      <c r="I606" s="144">
        <f t="shared" ca="1" si="147"/>
        <v>20363.164684551532</v>
      </c>
      <c r="J606" s="144">
        <f t="shared" ca="1" si="147"/>
        <v>17476.455541192947</v>
      </c>
      <c r="K606" s="144">
        <f t="shared" ca="1" si="147"/>
        <v>-1309.0846642682645</v>
      </c>
      <c r="L606" s="144">
        <f t="shared" ca="1" si="147"/>
        <v>712555.22690397361</v>
      </c>
      <c r="M606" s="185">
        <f t="shared" ca="1" si="147"/>
        <v>-917687.25955859746</v>
      </c>
      <c r="N606" s="315">
        <f t="shared" ref="N606:N612" ca="1" si="148">IFERROR(INDEX(macro_factors_by_tag_4,MATCH($W606,OFFSET(macro_factors_by_tag_4,0,0,,1),0),MATCH("MCR"&amp;LEFT($N$604,1),OFFSET(macro_factors_by_tag_4,0,0,1),0)),0)</f>
        <v>2221439.9964403627</v>
      </c>
      <c r="O606" s="110">
        <f t="shared" ref="O606:O612" ca="1" si="149">N606/Nav</f>
        <v>7.6994985595785553E-3</v>
      </c>
      <c r="P606" s="58">
        <f t="shared" ref="P606:P612" ca="1" si="150">O606/SUM($O$606:$O$612)</f>
        <v>0.24254293287424478</v>
      </c>
      <c r="R606" s="55" t="str">
        <f ca="1"/>
        <v>EuroCrisis2011</v>
      </c>
      <c r="S606" s="145">
        <f t="shared" ca="1" si="145"/>
        <v>-3370139.7978204186</v>
      </c>
      <c r="T606" s="296">
        <f t="shared" ca="1" si="146"/>
        <v>-1.1680885623954008E-2</v>
      </c>
      <c r="W606" s="1" t="s">
        <v>41</v>
      </c>
    </row>
    <row r="607" spans="1:23" x14ac:dyDescent="0.25">
      <c r="A607" s="2"/>
      <c r="G607" s="55" t="s">
        <v>42</v>
      </c>
      <c r="H607" s="143">
        <f t="shared" ca="1" si="147"/>
        <v>-3256353.5117364051</v>
      </c>
      <c r="I607" s="144">
        <f t="shared" ca="1" si="147"/>
        <v>-2081.344351387499</v>
      </c>
      <c r="J607" s="144">
        <f t="shared" ca="1" si="147"/>
        <v>42623.8077690711</v>
      </c>
      <c r="K607" s="144">
        <f t="shared" ca="1" si="147"/>
        <v>13272.059463800641</v>
      </c>
      <c r="L607" s="144">
        <f t="shared" ca="1" si="147"/>
        <v>-10906250.148266599</v>
      </c>
      <c r="M607" s="144">
        <f t="shared" ca="1" si="147"/>
        <v>-903739.85582532862</v>
      </c>
      <c r="N607" s="299">
        <f t="shared" ca="1" si="148"/>
        <v>3042242.643680986</v>
      </c>
      <c r="O607" s="147">
        <f t="shared" ca="1" si="149"/>
        <v>1.0544395928066674E-2</v>
      </c>
      <c r="P607" s="61">
        <f t="shared" ca="1" si="150"/>
        <v>0.3321604249927313</v>
      </c>
      <c r="R607" s="55" t="str">
        <f ca="1"/>
        <v>Oil 2014</v>
      </c>
      <c r="S607" s="145">
        <f t="shared" ca="1" si="145"/>
        <v>11913875.700892439</v>
      </c>
      <c r="T607" s="296">
        <f t="shared" ca="1" si="146"/>
        <v>4.1293426311315592E-2</v>
      </c>
      <c r="W607" s="1" t="s">
        <v>42</v>
      </c>
    </row>
    <row r="608" spans="1:23" x14ac:dyDescent="0.25">
      <c r="A608" s="2"/>
      <c r="G608" s="55" t="s">
        <v>43</v>
      </c>
      <c r="H608" s="143">
        <f t="shared" ca="1" si="147"/>
        <v>1166522.7630990136</v>
      </c>
      <c r="I608" s="144">
        <f t="shared" ca="1" si="147"/>
        <v>-1693.3543274069132</v>
      </c>
      <c r="J608" s="144">
        <f t="shared" ca="1" si="147"/>
        <v>-3468.3488141195394</v>
      </c>
      <c r="K608" s="144">
        <f t="shared" ca="1" si="147"/>
        <v>-3147.9487965394692</v>
      </c>
      <c r="L608" s="144">
        <f t="shared" ca="1" si="147"/>
        <v>134035.4968729564</v>
      </c>
      <c r="M608" s="144">
        <f t="shared" ca="1" si="147"/>
        <v>-420958.31945575844</v>
      </c>
      <c r="N608" s="299">
        <f t="shared" ca="1" si="148"/>
        <v>396999.84649383905</v>
      </c>
      <c r="O608" s="147">
        <f t="shared" ca="1" si="149"/>
        <v>1.3759992397410147E-3</v>
      </c>
      <c r="P608" s="61">
        <f t="shared" ca="1" si="150"/>
        <v>4.3345535901728197E-2</v>
      </c>
      <c r="R608" s="55" t="str">
        <f ca="1"/>
        <v>Bund Selloff</v>
      </c>
      <c r="S608" s="145">
        <f t="shared" ca="1" si="145"/>
        <v>2531812.3920231927</v>
      </c>
      <c r="T608" s="296">
        <f t="shared" ca="1" si="146"/>
        <v>8.7752475406683988E-3</v>
      </c>
      <c r="W608" s="1" t="s">
        <v>43</v>
      </c>
    </row>
    <row r="609" spans="1:27" x14ac:dyDescent="0.25">
      <c r="A609" s="2"/>
      <c r="G609" s="55" t="s">
        <v>44</v>
      </c>
      <c r="H609" s="143">
        <f t="shared" ca="1" si="147"/>
        <v>4219581.1893675188</v>
      </c>
      <c r="I609" s="144">
        <f t="shared" ca="1" si="147"/>
        <v>364.92258784270967</v>
      </c>
      <c r="J609" s="144">
        <f t="shared" ca="1" si="147"/>
        <v>5588.8736152597457</v>
      </c>
      <c r="K609" s="144">
        <f t="shared" ca="1" si="147"/>
        <v>4259.8989768323008</v>
      </c>
      <c r="L609" s="144">
        <f t="shared" ca="1" si="147"/>
        <v>240603.86016583929</v>
      </c>
      <c r="M609" s="144">
        <f t="shared" ca="1" si="147"/>
        <v>1711769.3318063149</v>
      </c>
      <c r="N609" s="299">
        <f t="shared" ca="1" si="148"/>
        <v>469023.29100288433</v>
      </c>
      <c r="O609" s="147">
        <f t="shared" ca="1" si="149"/>
        <v>1.6256320941696206E-3</v>
      </c>
      <c r="P609" s="61">
        <f t="shared" ca="1" si="150"/>
        <v>5.1209253803144048E-2</v>
      </c>
      <c r="R609" s="55" t="str">
        <f ca="1"/>
        <v>Jan/Fec 2016</v>
      </c>
      <c r="S609" s="145">
        <f t="shared" ca="1" si="145"/>
        <v>115432.2504576286</v>
      </c>
      <c r="T609" s="296">
        <f t="shared" ca="1" si="146"/>
        <v>4.0008753220955277E-4</v>
      </c>
      <c r="W609" s="1" t="s">
        <v>44</v>
      </c>
    </row>
    <row r="610" spans="1:27" x14ac:dyDescent="0.25">
      <c r="G610" s="55" t="s">
        <v>45</v>
      </c>
      <c r="H610" s="143">
        <f t="shared" ca="1" si="147"/>
        <v>23633033.452794187</v>
      </c>
      <c r="I610" s="144">
        <f t="shared" ca="1" si="147"/>
        <v>22061.62840880789</v>
      </c>
      <c r="J610" s="144">
        <f t="shared" ca="1" si="147"/>
        <v>55355.76951196148</v>
      </c>
      <c r="K610" s="144">
        <f t="shared" ca="1" si="147"/>
        <v>17599.408148802569</v>
      </c>
      <c r="L610" s="144">
        <f t="shared" ca="1" si="147"/>
        <v>-7419930.901061723</v>
      </c>
      <c r="M610" s="144">
        <f t="shared" ca="1" si="147"/>
        <v>-1684123.4006877705</v>
      </c>
      <c r="N610" s="299">
        <f t="shared" ca="1" si="148"/>
        <v>3015568.8167719482</v>
      </c>
      <c r="O610" s="147">
        <f t="shared" ca="1" si="149"/>
        <v>1.0451944593709826E-2</v>
      </c>
      <c r="P610" s="61">
        <f t="shared" ca="1" si="150"/>
        <v>0.32924810315650577</v>
      </c>
      <c r="R610" s="55" t="str">
        <f ca="1"/>
        <v>Selloff</v>
      </c>
      <c r="S610" s="335">
        <f t="shared" ca="1" si="145"/>
        <v>10846.448222270774</v>
      </c>
      <c r="T610" s="298">
        <f t="shared" ca="1" si="146"/>
        <v>3.7593728661470596E-5</v>
      </c>
      <c r="W610" s="1" t="s">
        <v>213</v>
      </c>
    </row>
    <row r="611" spans="1:27" x14ac:dyDescent="0.25">
      <c r="G611" s="55" t="s">
        <v>212</v>
      </c>
      <c r="H611" s="143">
        <f t="shared" ca="1" si="147"/>
        <v>-227176.77629394131</v>
      </c>
      <c r="I611" s="144">
        <f t="shared" ca="1" si="147"/>
        <v>-516.92181493487828</v>
      </c>
      <c r="J611" s="144">
        <f t="shared" ca="1" si="147"/>
        <v>-270.12885582794462</v>
      </c>
      <c r="K611" s="144">
        <f t="shared" ca="1" si="147"/>
        <v>93.290422673278911</v>
      </c>
      <c r="L611" s="144">
        <f t="shared" ca="1" si="147"/>
        <v>-111793.73998979172</v>
      </c>
      <c r="M611" s="144">
        <f t="shared" ca="1" si="147"/>
        <v>76554.099378502957</v>
      </c>
      <c r="N611" s="299">
        <f t="shared" ca="1" si="148"/>
        <v>13681.183522294803</v>
      </c>
      <c r="O611" s="147">
        <f t="shared" ca="1" si="149"/>
        <v>4.7418905301080742E-5</v>
      </c>
      <c r="P611" s="61">
        <f t="shared" ca="1" si="150"/>
        <v>1.4937492716460394E-3</v>
      </c>
      <c r="R611" s="55" t="s">
        <v>180</v>
      </c>
      <c r="S611" s="335">
        <f>worst_week_in_rv</f>
        <v>-3615461.1433066148</v>
      </c>
      <c r="T611" s="307">
        <f t="shared" ref="T611" si="151">S611/Nav</f>
        <v>-1.253116803051531E-2</v>
      </c>
      <c r="W611" s="1" t="s">
        <v>212</v>
      </c>
    </row>
    <row r="612" spans="1:27" x14ac:dyDescent="0.25">
      <c r="G612" s="55" t="s">
        <v>47</v>
      </c>
      <c r="H612" s="300">
        <f t="shared" ca="1" si="147"/>
        <v>0</v>
      </c>
      <c r="I612" s="180">
        <f t="shared" ca="1" si="147"/>
        <v>0</v>
      </c>
      <c r="J612" s="180">
        <f t="shared" ca="1" si="147"/>
        <v>0</v>
      </c>
      <c r="K612" s="180">
        <f t="shared" ca="1" si="147"/>
        <v>0</v>
      </c>
      <c r="L612" s="180">
        <f t="shared" ca="1" si="147"/>
        <v>0</v>
      </c>
      <c r="M612" s="180">
        <f t="shared" ca="1" si="147"/>
        <v>0</v>
      </c>
      <c r="N612" s="114">
        <f t="shared" ca="1" si="148"/>
        <v>0</v>
      </c>
      <c r="O612" s="113">
        <f t="shared" ca="1" si="149"/>
        <v>0</v>
      </c>
      <c r="P612" s="66">
        <f t="shared" ca="1" si="150"/>
        <v>0</v>
      </c>
      <c r="R612" s="55"/>
      <c r="W612" s="1" t="s">
        <v>47</v>
      </c>
      <c r="AA612" s="1" t="s">
        <v>181</v>
      </c>
    </row>
    <row r="613" spans="1:27" x14ac:dyDescent="0.25">
      <c r="G613" s="55"/>
      <c r="H613" s="144"/>
      <c r="I613" s="144"/>
      <c r="J613" s="144"/>
      <c r="K613" s="144"/>
      <c r="L613" s="144"/>
      <c r="M613" s="144"/>
      <c r="N613" s="225"/>
      <c r="O613" s="36"/>
      <c r="P613" s="70"/>
      <c r="R613" s="55"/>
    </row>
    <row r="614" spans="1:27" x14ac:dyDescent="0.25">
      <c r="G614" s="55"/>
      <c r="H614" s="144"/>
      <c r="I614" s="144"/>
      <c r="J614" s="144"/>
      <c r="K614" s="144"/>
      <c r="L614" s="144"/>
      <c r="M614" s="144"/>
      <c r="N614" s="225"/>
      <c r="O614" s="36"/>
      <c r="P614" s="70"/>
      <c r="R614" s="55"/>
    </row>
    <row r="615" spans="1:27" x14ac:dyDescent="0.25">
      <c r="K615" s="144"/>
      <c r="L615" s="144"/>
      <c r="M615" s="144"/>
      <c r="N615" s="225"/>
      <c r="O615" s="36"/>
      <c r="P615" s="70"/>
      <c r="R615" s="55"/>
    </row>
    <row r="616" spans="1:27" x14ac:dyDescent="0.25">
      <c r="G616" s="55"/>
      <c r="H616" s="438" t="s">
        <v>287</v>
      </c>
      <c r="I616" s="438"/>
      <c r="J616" s="438"/>
      <c r="K616" s="144"/>
      <c r="L616" s="144"/>
      <c r="M616" s="144"/>
      <c r="N616" s="225"/>
      <c r="O616" s="36"/>
      <c r="P616" s="70"/>
      <c r="R616" s="55"/>
    </row>
    <row r="617" spans="1:27" x14ac:dyDescent="0.25">
      <c r="G617" s="55" t="s">
        <v>166</v>
      </c>
      <c r="H617" s="180" t="s">
        <v>6</v>
      </c>
      <c r="I617" s="180" t="s">
        <v>7</v>
      </c>
      <c r="J617" s="180" t="s">
        <v>182</v>
      </c>
      <c r="K617" s="144"/>
      <c r="L617" s="144"/>
      <c r="M617" s="144"/>
      <c r="N617" s="225"/>
      <c r="O617" s="36"/>
      <c r="P617" s="70"/>
      <c r="R617" s="55"/>
    </row>
    <row r="618" spans="1:27" x14ac:dyDescent="0.25">
      <c r="G618" s="2" t="str">
        <f t="array" aca="1" ref="G618:G624" ca="1">IF(OFFSET(counterparty_exposures,1,1,,)=0,"-",OFFSET(counterparty_exposures,1,1,,))</f>
        <v>BAML</v>
      </c>
      <c r="H618" s="17">
        <f t="shared" ref="H618:H624" ca="1" si="152">IFERROR(INDEX(counterparty_exposures,MATCH(G618,OFFSET(counterparty_exposures,0,1,,1),0),3),0)</f>
        <v>-78681.79999999993</v>
      </c>
      <c r="I618" s="38">
        <f t="shared" ref="I618:I624" ca="1" si="153">H618/Nav</f>
        <v>-2.7271067718948001E-4</v>
      </c>
      <c r="J618" s="301">
        <f t="shared" ref="J618:J624" ca="1" si="154">IFERROR(INDEX(counterparty_exposures,MATCH(G618,OFFSET(counterparty_exposures,0,1,,1),0),4),0)</f>
        <v>60</v>
      </c>
      <c r="K618" s="144"/>
      <c r="L618" s="144"/>
      <c r="M618" s="144"/>
      <c r="N618" s="225"/>
      <c r="O618" s="36"/>
      <c r="P618" s="70"/>
      <c r="R618" s="55"/>
    </row>
    <row r="619" spans="1:27" x14ac:dyDescent="0.25">
      <c r="E619" s="51"/>
      <c r="F619" s="51"/>
      <c r="G619" s="2" t="str">
        <f ca="1"/>
        <v>BARC</v>
      </c>
      <c r="H619" s="17">
        <f t="shared" ca="1" si="152"/>
        <v>5674616.209999999</v>
      </c>
      <c r="I619" s="38">
        <f t="shared" ca="1" si="153"/>
        <v>1.9668187934433399E-2</v>
      </c>
      <c r="J619" s="301">
        <f t="shared" ca="1" si="154"/>
        <v>71.5</v>
      </c>
      <c r="R619" s="55"/>
      <c r="V619" s="1" t="s">
        <v>183</v>
      </c>
      <c r="AA619" s="302" t="e">
        <f ca="1">+_xll.BDP(V619,$AA$612)</f>
        <v>#NAME?</v>
      </c>
    </row>
    <row r="620" spans="1:27" ht="17.25" x14ac:dyDescent="0.3">
      <c r="C620" s="87"/>
      <c r="E620" s="51"/>
      <c r="F620" s="51"/>
      <c r="G620" s="2" t="str">
        <f ca="1"/>
        <v>BNP</v>
      </c>
      <c r="H620" s="17">
        <f t="shared" ca="1" si="152"/>
        <v>10317392.780000005</v>
      </c>
      <c r="I620" s="38">
        <f t="shared" ca="1" si="153"/>
        <v>3.576002546794374E-2</v>
      </c>
      <c r="J620" s="301">
        <f t="shared" ca="1" si="154"/>
        <v>52.5</v>
      </c>
      <c r="R620" s="55"/>
      <c r="V620" s="1" t="s">
        <v>184</v>
      </c>
      <c r="AA620" s="1" t="e">
        <f ca="1">+_xll.BDP(V620,$AA$612)</f>
        <v>#NAME?</v>
      </c>
    </row>
    <row r="621" spans="1:27" ht="17.25" x14ac:dyDescent="0.3">
      <c r="C621" s="87"/>
      <c r="E621" s="51"/>
      <c r="F621" s="51"/>
      <c r="G621" s="2" t="str">
        <f ca="1"/>
        <v>GS</v>
      </c>
      <c r="H621" s="17">
        <f t="shared" ca="1" si="152"/>
        <v>5805170.6300000018</v>
      </c>
      <c r="I621" s="38">
        <f t="shared" ca="1" si="153"/>
        <v>2.012068882140193E-2</v>
      </c>
      <c r="J621" s="301">
        <f t="shared" ca="1" si="154"/>
        <v>80</v>
      </c>
      <c r="R621" s="55"/>
      <c r="V621" s="1" t="s">
        <v>185</v>
      </c>
      <c r="AA621" s="1" t="e">
        <f ca="1">+_xll.BDP(V621,$AA$612)</f>
        <v>#NAME?</v>
      </c>
    </row>
    <row r="622" spans="1:27" x14ac:dyDescent="0.25">
      <c r="E622" s="51"/>
      <c r="F622" s="51"/>
      <c r="G622" s="2" t="str">
        <f ca="1"/>
        <v>JPM</v>
      </c>
      <c r="H622" s="17">
        <f t="shared" ca="1" si="152"/>
        <v>201974734.3500002</v>
      </c>
      <c r="I622" s="38">
        <f t="shared" ca="1" si="153"/>
        <v>0.70004329565101386</v>
      </c>
      <c r="J622" s="301">
        <f t="shared" ca="1" si="154"/>
        <v>55</v>
      </c>
      <c r="R622" s="55"/>
      <c r="V622" s="1" t="s">
        <v>186</v>
      </c>
      <c r="AA622" s="1" t="e">
        <f ca="1">+_xll.BDP(V622,$AA$612)</f>
        <v>#NAME?</v>
      </c>
    </row>
    <row r="623" spans="1:27" x14ac:dyDescent="0.25">
      <c r="E623" s="51"/>
      <c r="F623" s="51"/>
      <c r="G623" s="2" t="str">
        <f ca="1"/>
        <v>MS</v>
      </c>
      <c r="H623" s="17">
        <f t="shared" ca="1" si="152"/>
        <v>19964154.919999998</v>
      </c>
      <c r="I623" s="38">
        <f t="shared" ca="1" si="153"/>
        <v>6.9195648901637916E-2</v>
      </c>
      <c r="J623" s="301">
        <f t="shared" ca="1" si="154"/>
        <v>73</v>
      </c>
      <c r="R623" s="55"/>
      <c r="V623" s="1" t="s">
        <v>187</v>
      </c>
      <c r="AA623" s="1" t="e">
        <f ca="1">+_xll.BDP(V623,$AA$612)</f>
        <v>#NAME?</v>
      </c>
    </row>
    <row r="624" spans="1:27" x14ac:dyDescent="0.25">
      <c r="E624" s="51"/>
      <c r="F624" s="51"/>
      <c r="G624" s="2" t="str">
        <f ca="1"/>
        <v>WFC</v>
      </c>
      <c r="H624" s="34">
        <f t="shared" ca="1" si="152"/>
        <v>39657053.439999998</v>
      </c>
      <c r="I624" s="35">
        <f t="shared" ca="1" si="153"/>
        <v>0.13745112464333312</v>
      </c>
      <c r="J624" s="303">
        <f t="shared" ca="1" si="154"/>
        <v>54</v>
      </c>
      <c r="R624" s="55"/>
      <c r="V624" s="291" t="s">
        <v>188</v>
      </c>
      <c r="AA624" s="1" t="e">
        <f ca="1">+_xll.BDP(V624,$AA$612)</f>
        <v>#NAME?</v>
      </c>
    </row>
    <row r="625" spans="1:22" x14ac:dyDescent="0.25">
      <c r="E625" s="51"/>
      <c r="F625" s="51"/>
      <c r="G625" s="2"/>
      <c r="H625" s="17">
        <f ca="1">SUM(H619:H624)</f>
        <v>283393122.33000016</v>
      </c>
      <c r="I625" s="38">
        <f ca="1">+H625/$H$625</f>
        <v>1</v>
      </c>
      <c r="J625" s="38"/>
      <c r="R625" s="55"/>
      <c r="V625" s="291"/>
    </row>
    <row r="626" spans="1:22" x14ac:dyDescent="0.25">
      <c r="E626" s="51"/>
      <c r="F626" s="51"/>
      <c r="G626" s="173" t="s">
        <v>89</v>
      </c>
      <c r="H626" s="71" t="s">
        <v>189</v>
      </c>
      <c r="I626" s="51"/>
      <c r="J626" s="51"/>
      <c r="R626" s="55"/>
    </row>
    <row r="627" spans="1:22" x14ac:dyDescent="0.25">
      <c r="R627" s="55"/>
    </row>
    <row r="628" spans="1:22" x14ac:dyDescent="0.25">
      <c r="C628" s="2"/>
      <c r="D628" s="437" t="s">
        <v>190</v>
      </c>
      <c r="E628" s="437"/>
      <c r="F628" s="437"/>
      <c r="G628" s="437"/>
      <c r="H628" s="437"/>
      <c r="I628" s="437"/>
      <c r="J628" s="437"/>
      <c r="K628" s="437"/>
      <c r="L628" s="437"/>
      <c r="M628" s="437"/>
      <c r="N628" s="437"/>
      <c r="O628" s="437"/>
      <c r="P628" s="437"/>
      <c r="Q628" s="437"/>
      <c r="R628" s="437"/>
      <c r="S628" s="437"/>
      <c r="T628" s="437"/>
    </row>
    <row r="629" spans="1:22" x14ac:dyDescent="0.25">
      <c r="D629" s="437"/>
      <c r="E629" s="437"/>
      <c r="F629" s="437"/>
      <c r="G629" s="437"/>
      <c r="H629" s="437"/>
      <c r="I629" s="437"/>
      <c r="J629" s="437"/>
      <c r="K629" s="437"/>
      <c r="L629" s="437"/>
      <c r="M629" s="437"/>
      <c r="N629" s="437"/>
      <c r="O629" s="437"/>
      <c r="P629" s="437"/>
      <c r="Q629" s="437"/>
      <c r="R629" s="437"/>
      <c r="S629" s="437"/>
      <c r="T629" s="437"/>
    </row>
    <row r="630" spans="1:22" x14ac:dyDescent="0.25">
      <c r="D630" s="437"/>
      <c r="E630" s="437"/>
      <c r="F630" s="437"/>
      <c r="G630" s="437"/>
      <c r="H630" s="437"/>
      <c r="I630" s="437"/>
      <c r="J630" s="437"/>
      <c r="K630" s="437"/>
      <c r="L630" s="437"/>
      <c r="M630" s="437"/>
      <c r="N630" s="437"/>
      <c r="O630" s="437"/>
      <c r="P630" s="437"/>
      <c r="Q630" s="437"/>
      <c r="R630" s="437"/>
      <c r="S630" s="437"/>
      <c r="T630" s="437"/>
    </row>
    <row r="631" spans="1:22" x14ac:dyDescent="0.25">
      <c r="D631" s="437"/>
      <c r="E631" s="437"/>
      <c r="F631" s="437"/>
      <c r="G631" s="437"/>
      <c r="H631" s="437"/>
      <c r="I631" s="437"/>
      <c r="J631" s="437"/>
      <c r="K631" s="437"/>
      <c r="L631" s="437"/>
      <c r="M631" s="437"/>
      <c r="N631" s="437"/>
      <c r="O631" s="437"/>
      <c r="P631" s="437"/>
      <c r="Q631" s="437"/>
      <c r="R631" s="437"/>
      <c r="S631" s="437"/>
      <c r="T631" s="437"/>
    </row>
    <row r="632" spans="1:22" ht="6.75" customHeight="1" x14ac:dyDescent="0.25">
      <c r="E632" s="2"/>
      <c r="F632" s="3"/>
    </row>
    <row r="633" spans="1:22" ht="17.25" hidden="1" outlineLevel="1" x14ac:dyDescent="0.3">
      <c r="C633" s="87" t="s">
        <v>191</v>
      </c>
      <c r="E633" s="51"/>
      <c r="F633" s="51"/>
      <c r="G633" s="51"/>
      <c r="N633" s="51"/>
      <c r="O633" s="51"/>
      <c r="P633" s="51"/>
      <c r="Q633" s="51"/>
    </row>
    <row r="634" spans="1:22" ht="17.25" hidden="1" outlineLevel="1" x14ac:dyDescent="0.3">
      <c r="C634" s="87"/>
      <c r="E634" s="51"/>
      <c r="F634" s="51"/>
      <c r="G634" s="51"/>
      <c r="H634" s="44" t="s">
        <v>192</v>
      </c>
      <c r="I634" s="44"/>
      <c r="J634" s="44"/>
      <c r="K634" s="44"/>
      <c r="L634" s="44"/>
      <c r="M634" s="44"/>
      <c r="N634" s="51"/>
      <c r="O634" s="44" t="s">
        <v>193</v>
      </c>
      <c r="P634" s="44"/>
      <c r="Q634" s="44"/>
      <c r="R634" s="44"/>
      <c r="S634" s="44"/>
      <c r="T634" s="44"/>
    </row>
    <row r="635" spans="1:22" hidden="1" outlineLevel="1" x14ac:dyDescent="0.25">
      <c r="E635" s="51"/>
      <c r="F635" s="51"/>
      <c r="G635" s="51"/>
      <c r="H635" s="203" t="e">
        <f>IF(ISNA($A636),"",#REF!)</f>
        <v>#REF!</v>
      </c>
      <c r="I635" s="203" t="e">
        <f>IF(ISNA($A636),"",#REF!)</f>
        <v>#REF!</v>
      </c>
      <c r="J635" s="203" t="e">
        <f>IF(ISNA($A636),"",#REF!)</f>
        <v>#REF!</v>
      </c>
      <c r="K635" s="203" t="e">
        <f>IF(ISNA($A636),"",#REF!)</f>
        <v>#REF!</v>
      </c>
      <c r="L635" s="203" t="e">
        <f>IF(ISNA($A636),"",#REF!)</f>
        <v>#REF!</v>
      </c>
      <c r="M635" s="203" t="e">
        <f>IF(ISNA($A636),"",#REF!)</f>
        <v>#REF!</v>
      </c>
      <c r="N635" s="51"/>
      <c r="O635" s="167" t="e">
        <f>+H635</f>
        <v>#REF!</v>
      </c>
      <c r="P635" s="167" t="e">
        <f t="shared" ref="P635:T635" si="155">+I635</f>
        <v>#REF!</v>
      </c>
      <c r="Q635" s="167" t="e">
        <f t="shared" si="155"/>
        <v>#REF!</v>
      </c>
      <c r="R635" s="167" t="e">
        <f t="shared" si="155"/>
        <v>#REF!</v>
      </c>
      <c r="S635" s="167" t="e">
        <f t="shared" si="155"/>
        <v>#REF!</v>
      </c>
      <c r="T635" s="167" t="e">
        <f t="shared" si="155"/>
        <v>#REF!</v>
      </c>
    </row>
    <row r="636" spans="1:22" hidden="1" outlineLevel="1" x14ac:dyDescent="0.25">
      <c r="A636" s="2"/>
      <c r="E636" s="51"/>
      <c r="F636" s="51"/>
      <c r="G636" s="304" t="s">
        <v>77</v>
      </c>
      <c r="H636" s="39" t="e">
        <f t="shared" ref="H636:M636" ca="1" si="156">+SUM(OFFSET(H$636,1,0,INT($A$635),1))</f>
        <v>#REF!</v>
      </c>
      <c r="I636" s="39" t="e">
        <f t="shared" ca="1" si="156"/>
        <v>#REF!</v>
      </c>
      <c r="J636" s="39" t="e">
        <f t="shared" ca="1" si="156"/>
        <v>#REF!</v>
      </c>
      <c r="K636" s="39" t="e">
        <f t="shared" ca="1" si="156"/>
        <v>#REF!</v>
      </c>
      <c r="L636" s="39" t="e">
        <f t="shared" ca="1" si="156"/>
        <v>#REF!</v>
      </c>
      <c r="M636" s="39" t="e">
        <f t="shared" ca="1" si="156"/>
        <v>#REF!</v>
      </c>
      <c r="N636" s="51"/>
      <c r="O636" s="305" t="e">
        <f t="shared" ref="O636:T636" ca="1" si="157">+SUM(OFFSET(O$636,1,0,INT($A$635),1))</f>
        <v>#REF!</v>
      </c>
      <c r="P636" s="305" t="e">
        <f t="shared" ca="1" si="157"/>
        <v>#REF!</v>
      </c>
      <c r="Q636" s="305" t="e">
        <f t="shared" ca="1" si="157"/>
        <v>#REF!</v>
      </c>
      <c r="R636" s="305" t="e">
        <f t="shared" ca="1" si="157"/>
        <v>#REF!</v>
      </c>
      <c r="S636" s="305" t="e">
        <f t="shared" ca="1" si="157"/>
        <v>#REF!</v>
      </c>
      <c r="T636" s="305" t="e">
        <f t="shared" ca="1" si="157"/>
        <v>#REF!</v>
      </c>
    </row>
    <row r="637" spans="1:22" hidden="1" outlineLevel="1" x14ac:dyDescent="0.25">
      <c r="E637" s="51"/>
      <c r="F637" s="51"/>
      <c r="G637" s="2" t="e">
        <f>IF(ISNA($A637),"",#REF!)</f>
        <v>#REF!</v>
      </c>
      <c r="H637" s="32" t="e">
        <f>IF(ISNA($A637),"",#REF!)</f>
        <v>#REF!</v>
      </c>
      <c r="I637" s="32" t="e">
        <f>IF(ISNA($A637),"",#REF!)</f>
        <v>#REF!</v>
      </c>
      <c r="J637" s="32" t="e">
        <f>IF(ISNA($A637),"",#REF!)</f>
        <v>#REF!</v>
      </c>
      <c r="K637" s="32" t="e">
        <f>IF(ISNA($A637),"",#REF!)</f>
        <v>#REF!</v>
      </c>
      <c r="L637" s="32" t="e">
        <f>IF(ISNA($A637),"",#REF!)</f>
        <v>#REF!</v>
      </c>
      <c r="M637" s="32" t="e">
        <f>IF(ISNA($A637),"",#REF!)</f>
        <v>#REF!</v>
      </c>
      <c r="N637" s="51"/>
      <c r="O637" s="212" t="e">
        <f>IF(ISNA($A637),"",H637/$F$5)</f>
        <v>#REF!</v>
      </c>
      <c r="P637" s="212" t="e">
        <f t="shared" ref="P637:T664" si="158">IF(ISNA($A637),"",I637/$F$5)</f>
        <v>#REF!</v>
      </c>
      <c r="Q637" s="212" t="e">
        <f t="shared" si="158"/>
        <v>#REF!</v>
      </c>
      <c r="R637" s="212" t="e">
        <f t="shared" si="158"/>
        <v>#REF!</v>
      </c>
      <c r="S637" s="212" t="e">
        <f t="shared" si="158"/>
        <v>#REF!</v>
      </c>
      <c r="T637" s="212" t="e">
        <f t="shared" si="158"/>
        <v>#REF!</v>
      </c>
    </row>
    <row r="638" spans="1:22" ht="17.25" hidden="1" outlineLevel="2" x14ac:dyDescent="0.3">
      <c r="C638" s="87"/>
      <c r="E638" s="51"/>
      <c r="F638" s="51"/>
      <c r="G638" s="2" t="e">
        <f>IF(ISNA($A638),"",#REF!)</f>
        <v>#REF!</v>
      </c>
      <c r="H638" s="32" t="e">
        <f>IF(ISNA($A638),"",#REF!)</f>
        <v>#REF!</v>
      </c>
      <c r="I638" s="32" t="e">
        <f>IF(ISNA($A638),"",#REF!)</f>
        <v>#REF!</v>
      </c>
      <c r="J638" s="32" t="e">
        <f>IF(ISNA($A638),"",#REF!)</f>
        <v>#REF!</v>
      </c>
      <c r="K638" s="32" t="e">
        <f>IF(ISNA($A638),"",#REF!)</f>
        <v>#REF!</v>
      </c>
      <c r="L638" s="32" t="e">
        <f>IF(ISNA($A638),"",#REF!)</f>
        <v>#REF!</v>
      </c>
      <c r="M638" s="32" t="e">
        <f>IF(ISNA($A638),"",#REF!)</f>
        <v>#REF!</v>
      </c>
      <c r="N638" s="51"/>
      <c r="O638" s="212" t="e">
        <f t="shared" ref="O638:T665" si="159">IF(ISNA($A638),"",H638/$F$5)</f>
        <v>#REF!</v>
      </c>
      <c r="P638" s="212" t="e">
        <f t="shared" si="158"/>
        <v>#REF!</v>
      </c>
      <c r="Q638" s="212" t="e">
        <f t="shared" si="158"/>
        <v>#REF!</v>
      </c>
      <c r="R638" s="212" t="e">
        <f t="shared" si="158"/>
        <v>#REF!</v>
      </c>
      <c r="S638" s="212" t="e">
        <f t="shared" si="158"/>
        <v>#REF!</v>
      </c>
      <c r="T638" s="212" t="e">
        <f t="shared" si="158"/>
        <v>#REF!</v>
      </c>
    </row>
    <row r="639" spans="1:22" ht="17.25" hidden="1" outlineLevel="1" x14ac:dyDescent="0.3">
      <c r="C639" s="87"/>
      <c r="E639" s="51"/>
      <c r="F639" s="51"/>
      <c r="G639" s="2" t="e">
        <f>IF(ISNA($A639),"",#REF!)</f>
        <v>#REF!</v>
      </c>
      <c r="H639" s="32" t="e">
        <f>IF(ISNA($A639),"",#REF!)</f>
        <v>#REF!</v>
      </c>
      <c r="I639" s="32" t="e">
        <f>IF(ISNA($A639),"",#REF!)</f>
        <v>#REF!</v>
      </c>
      <c r="J639" s="32" t="e">
        <f>IF(ISNA($A639),"",#REF!)</f>
        <v>#REF!</v>
      </c>
      <c r="K639" s="32" t="e">
        <f>IF(ISNA($A639),"",#REF!)</f>
        <v>#REF!</v>
      </c>
      <c r="L639" s="32" t="e">
        <f>IF(ISNA($A639),"",#REF!)</f>
        <v>#REF!</v>
      </c>
      <c r="M639" s="32" t="e">
        <f>IF(ISNA($A639),"",#REF!)</f>
        <v>#REF!</v>
      </c>
      <c r="N639" s="51"/>
      <c r="O639" s="212" t="e">
        <f t="shared" si="159"/>
        <v>#REF!</v>
      </c>
      <c r="P639" s="212" t="e">
        <f t="shared" si="158"/>
        <v>#REF!</v>
      </c>
      <c r="Q639" s="212" t="e">
        <f t="shared" si="158"/>
        <v>#REF!</v>
      </c>
      <c r="R639" s="212" t="e">
        <f t="shared" si="158"/>
        <v>#REF!</v>
      </c>
      <c r="S639" s="212" t="e">
        <f t="shared" si="158"/>
        <v>#REF!</v>
      </c>
      <c r="T639" s="212" t="e">
        <f t="shared" si="158"/>
        <v>#REF!</v>
      </c>
    </row>
    <row r="640" spans="1:22" hidden="1" outlineLevel="1" x14ac:dyDescent="0.25">
      <c r="E640" s="51"/>
      <c r="F640" s="51"/>
      <c r="G640" s="2" t="e">
        <f>IF(ISNA($A640),"",#REF!)</f>
        <v>#REF!</v>
      </c>
      <c r="H640" s="32" t="e">
        <f>IF(ISNA($A640),"",#REF!)</f>
        <v>#REF!</v>
      </c>
      <c r="I640" s="32" t="e">
        <f>IF(ISNA($A640),"",#REF!)</f>
        <v>#REF!</v>
      </c>
      <c r="J640" s="32" t="e">
        <f>IF(ISNA($A640),"",#REF!)</f>
        <v>#REF!</v>
      </c>
      <c r="K640" s="32" t="e">
        <f>IF(ISNA($A640),"",#REF!)</f>
        <v>#REF!</v>
      </c>
      <c r="L640" s="32" t="e">
        <f>IF(ISNA($A640),"",#REF!)</f>
        <v>#REF!</v>
      </c>
      <c r="M640" s="32" t="e">
        <f>IF(ISNA($A640),"",#REF!)</f>
        <v>#REF!</v>
      </c>
      <c r="N640" s="51"/>
      <c r="O640" s="212" t="e">
        <f t="shared" si="159"/>
        <v>#REF!</v>
      </c>
      <c r="P640" s="212" t="e">
        <f t="shared" si="158"/>
        <v>#REF!</v>
      </c>
      <c r="Q640" s="212" t="e">
        <f t="shared" si="158"/>
        <v>#REF!</v>
      </c>
      <c r="R640" s="212" t="e">
        <f t="shared" si="158"/>
        <v>#REF!</v>
      </c>
      <c r="S640" s="212" t="e">
        <f t="shared" si="158"/>
        <v>#REF!</v>
      </c>
      <c r="T640" s="212" t="e">
        <f t="shared" si="158"/>
        <v>#REF!</v>
      </c>
    </row>
    <row r="641" spans="3:20" hidden="1" outlineLevel="1" x14ac:dyDescent="0.25">
      <c r="E641" s="51"/>
      <c r="F641" s="51"/>
      <c r="G641" s="2" t="e">
        <f>IF(ISNA($A641),"",#REF!)</f>
        <v>#REF!</v>
      </c>
      <c r="H641" s="32" t="e">
        <f>IF(ISNA($A641),"",#REF!)</f>
        <v>#REF!</v>
      </c>
      <c r="I641" s="32" t="e">
        <f>IF(ISNA($A641),"",#REF!)</f>
        <v>#REF!</v>
      </c>
      <c r="J641" s="32" t="e">
        <f>IF(ISNA($A641),"",#REF!)</f>
        <v>#REF!</v>
      </c>
      <c r="K641" s="32" t="e">
        <f>IF(ISNA($A641),"",#REF!)</f>
        <v>#REF!</v>
      </c>
      <c r="L641" s="32" t="e">
        <f>IF(ISNA($A641),"",#REF!)</f>
        <v>#REF!</v>
      </c>
      <c r="M641" s="32" t="e">
        <f>IF(ISNA($A641),"",#REF!)</f>
        <v>#REF!</v>
      </c>
      <c r="N641" s="51"/>
      <c r="O641" s="212" t="e">
        <f t="shared" si="159"/>
        <v>#REF!</v>
      </c>
      <c r="P641" s="212" t="e">
        <f t="shared" si="158"/>
        <v>#REF!</v>
      </c>
      <c r="Q641" s="212" t="e">
        <f t="shared" si="158"/>
        <v>#REF!</v>
      </c>
      <c r="R641" s="212" t="e">
        <f t="shared" si="158"/>
        <v>#REF!</v>
      </c>
      <c r="S641" s="212" t="e">
        <f t="shared" si="158"/>
        <v>#REF!</v>
      </c>
      <c r="T641" s="212" t="e">
        <f t="shared" si="158"/>
        <v>#REF!</v>
      </c>
    </row>
    <row r="642" spans="3:20" hidden="1" outlineLevel="1" x14ac:dyDescent="0.25">
      <c r="E642" s="51"/>
      <c r="F642" s="51"/>
      <c r="G642" s="2" t="e">
        <f>IF(ISNA($A642),"",#REF!)</f>
        <v>#REF!</v>
      </c>
      <c r="H642" s="32" t="e">
        <f>IF(ISNA($A642),"",#REF!)</f>
        <v>#REF!</v>
      </c>
      <c r="I642" s="32" t="e">
        <f>IF(ISNA($A642),"",#REF!)</f>
        <v>#REF!</v>
      </c>
      <c r="J642" s="32" t="e">
        <f>IF(ISNA($A642),"",#REF!)</f>
        <v>#REF!</v>
      </c>
      <c r="K642" s="32" t="e">
        <f>IF(ISNA($A642),"",#REF!)</f>
        <v>#REF!</v>
      </c>
      <c r="L642" s="32" t="e">
        <f>IF(ISNA($A642),"",#REF!)</f>
        <v>#REF!</v>
      </c>
      <c r="M642" s="32" t="e">
        <f>IF(ISNA($A642),"",#REF!)</f>
        <v>#REF!</v>
      </c>
      <c r="N642" s="51"/>
      <c r="O642" s="212" t="e">
        <f t="shared" si="159"/>
        <v>#REF!</v>
      </c>
      <c r="P642" s="212" t="e">
        <f t="shared" si="158"/>
        <v>#REF!</v>
      </c>
      <c r="Q642" s="212" t="e">
        <f t="shared" si="158"/>
        <v>#REF!</v>
      </c>
      <c r="R642" s="212" t="e">
        <f t="shared" si="158"/>
        <v>#REF!</v>
      </c>
      <c r="S642" s="212" t="e">
        <f t="shared" si="158"/>
        <v>#REF!</v>
      </c>
      <c r="T642" s="212" t="e">
        <f t="shared" si="158"/>
        <v>#REF!</v>
      </c>
    </row>
    <row r="643" spans="3:20" hidden="1" outlineLevel="1" x14ac:dyDescent="0.25">
      <c r="E643" s="51"/>
      <c r="F643" s="51"/>
      <c r="G643" s="2" t="e">
        <f>IF(ISNA($A643),"",#REF!)</f>
        <v>#REF!</v>
      </c>
      <c r="H643" s="32" t="e">
        <f>IF(ISNA($A643),"",#REF!)</f>
        <v>#REF!</v>
      </c>
      <c r="I643" s="32" t="e">
        <f>IF(ISNA($A643),"",#REF!)</f>
        <v>#REF!</v>
      </c>
      <c r="J643" s="32" t="e">
        <f>IF(ISNA($A643),"",#REF!)</f>
        <v>#REF!</v>
      </c>
      <c r="K643" s="32" t="e">
        <f>IF(ISNA($A643),"",#REF!)</f>
        <v>#REF!</v>
      </c>
      <c r="L643" s="32" t="e">
        <f>IF(ISNA($A643),"",#REF!)</f>
        <v>#REF!</v>
      </c>
      <c r="M643" s="32" t="e">
        <f>IF(ISNA($A643),"",#REF!)</f>
        <v>#REF!</v>
      </c>
      <c r="N643" s="51"/>
      <c r="O643" s="212" t="e">
        <f t="shared" si="159"/>
        <v>#REF!</v>
      </c>
      <c r="P643" s="212" t="e">
        <f t="shared" si="158"/>
        <v>#REF!</v>
      </c>
      <c r="Q643" s="212" t="e">
        <f t="shared" si="158"/>
        <v>#REF!</v>
      </c>
      <c r="R643" s="212" t="e">
        <f t="shared" si="158"/>
        <v>#REF!</v>
      </c>
      <c r="S643" s="212" t="e">
        <f t="shared" si="158"/>
        <v>#REF!</v>
      </c>
      <c r="T643" s="212" t="e">
        <f t="shared" si="158"/>
        <v>#REF!</v>
      </c>
    </row>
    <row r="644" spans="3:20" hidden="1" outlineLevel="1" x14ac:dyDescent="0.25">
      <c r="E644" s="51"/>
      <c r="F644" s="51"/>
      <c r="G644" s="2" t="e">
        <f>IF(ISNA($A644),"",#REF!)</f>
        <v>#REF!</v>
      </c>
      <c r="H644" s="32" t="e">
        <f>IF(ISNA($A644),"",#REF!)</f>
        <v>#REF!</v>
      </c>
      <c r="I644" s="32" t="e">
        <f>IF(ISNA($A644),"",#REF!)</f>
        <v>#REF!</v>
      </c>
      <c r="J644" s="32" t="e">
        <f>IF(ISNA($A644),"",#REF!)</f>
        <v>#REF!</v>
      </c>
      <c r="K644" s="32" t="e">
        <f>IF(ISNA($A644),"",#REF!)</f>
        <v>#REF!</v>
      </c>
      <c r="L644" s="32" t="e">
        <f>IF(ISNA($A644),"",#REF!)</f>
        <v>#REF!</v>
      </c>
      <c r="M644" s="32" t="e">
        <f>IF(ISNA($A644),"",#REF!)</f>
        <v>#REF!</v>
      </c>
      <c r="N644" s="51"/>
      <c r="O644" s="212" t="e">
        <f t="shared" si="159"/>
        <v>#REF!</v>
      </c>
      <c r="P644" s="212" t="e">
        <f t="shared" si="158"/>
        <v>#REF!</v>
      </c>
      <c r="Q644" s="212" t="e">
        <f t="shared" si="158"/>
        <v>#REF!</v>
      </c>
      <c r="R644" s="212" t="e">
        <f t="shared" si="158"/>
        <v>#REF!</v>
      </c>
      <c r="S644" s="212" t="e">
        <f t="shared" si="158"/>
        <v>#REF!</v>
      </c>
      <c r="T644" s="212" t="e">
        <f t="shared" si="158"/>
        <v>#REF!</v>
      </c>
    </row>
    <row r="645" spans="3:20" hidden="1" outlineLevel="1" x14ac:dyDescent="0.25">
      <c r="E645" s="51"/>
      <c r="F645" s="51"/>
      <c r="G645" s="2" t="e">
        <f>IF(ISNA($A645),"",#REF!)</f>
        <v>#REF!</v>
      </c>
      <c r="H645" s="32" t="e">
        <f>IF(ISNA($A645),"",#REF!)</f>
        <v>#REF!</v>
      </c>
      <c r="I645" s="32" t="e">
        <f>IF(ISNA($A645),"",#REF!)</f>
        <v>#REF!</v>
      </c>
      <c r="J645" s="32" t="e">
        <f>IF(ISNA($A645),"",#REF!)</f>
        <v>#REF!</v>
      </c>
      <c r="K645" s="32" t="e">
        <f>IF(ISNA($A645),"",#REF!)</f>
        <v>#REF!</v>
      </c>
      <c r="L645" s="32" t="e">
        <f>IF(ISNA($A645),"",#REF!)</f>
        <v>#REF!</v>
      </c>
      <c r="M645" s="32" t="e">
        <f>IF(ISNA($A645),"",#REF!)</f>
        <v>#REF!</v>
      </c>
      <c r="N645" s="51"/>
      <c r="O645" s="212" t="e">
        <f t="shared" si="159"/>
        <v>#REF!</v>
      </c>
      <c r="P645" s="212" t="e">
        <f t="shared" si="158"/>
        <v>#REF!</v>
      </c>
      <c r="Q645" s="212" t="e">
        <f t="shared" si="158"/>
        <v>#REF!</v>
      </c>
      <c r="R645" s="212" t="e">
        <f t="shared" si="158"/>
        <v>#REF!</v>
      </c>
      <c r="S645" s="212" t="e">
        <f t="shared" si="158"/>
        <v>#REF!</v>
      </c>
      <c r="T645" s="212" t="e">
        <f t="shared" si="158"/>
        <v>#REF!</v>
      </c>
    </row>
    <row r="646" spans="3:20" hidden="1" outlineLevel="1" x14ac:dyDescent="0.25">
      <c r="E646" s="51"/>
      <c r="F646" s="51"/>
      <c r="G646" s="2" t="e">
        <f>IF(ISNA($A646),"",#REF!)</f>
        <v>#REF!</v>
      </c>
      <c r="H646" s="32" t="e">
        <f>IF(ISNA($A646),"",#REF!)</f>
        <v>#REF!</v>
      </c>
      <c r="I646" s="32" t="e">
        <f>IF(ISNA($A646),"",#REF!)</f>
        <v>#REF!</v>
      </c>
      <c r="J646" s="32" t="e">
        <f>IF(ISNA($A646),"",#REF!)</f>
        <v>#REF!</v>
      </c>
      <c r="K646" s="32" t="e">
        <f>IF(ISNA($A646),"",#REF!)</f>
        <v>#REF!</v>
      </c>
      <c r="L646" s="32" t="e">
        <f>IF(ISNA($A646),"",#REF!)</f>
        <v>#REF!</v>
      </c>
      <c r="M646" s="32" t="e">
        <f>IF(ISNA($A646),"",#REF!)</f>
        <v>#REF!</v>
      </c>
      <c r="N646" s="51"/>
      <c r="O646" s="212" t="e">
        <f t="shared" si="159"/>
        <v>#REF!</v>
      </c>
      <c r="P646" s="212" t="e">
        <f t="shared" si="158"/>
        <v>#REF!</v>
      </c>
      <c r="Q646" s="212" t="e">
        <f t="shared" si="158"/>
        <v>#REF!</v>
      </c>
      <c r="R646" s="212" t="e">
        <f t="shared" si="158"/>
        <v>#REF!</v>
      </c>
      <c r="S646" s="212" t="e">
        <f t="shared" si="158"/>
        <v>#REF!</v>
      </c>
      <c r="T646" s="212" t="e">
        <f t="shared" si="158"/>
        <v>#REF!</v>
      </c>
    </row>
    <row r="647" spans="3:20" hidden="1" outlineLevel="1" x14ac:dyDescent="0.25">
      <c r="E647" s="51"/>
      <c r="F647" s="51"/>
      <c r="G647" s="2" t="e">
        <f>IF(ISNA($A647),"",#REF!)</f>
        <v>#REF!</v>
      </c>
      <c r="H647" s="32" t="e">
        <f>IF(ISNA($A647),"",#REF!)</f>
        <v>#REF!</v>
      </c>
      <c r="I647" s="32" t="e">
        <f>IF(ISNA($A647),"",#REF!)</f>
        <v>#REF!</v>
      </c>
      <c r="J647" s="32" t="e">
        <f>IF(ISNA($A647),"",#REF!)</f>
        <v>#REF!</v>
      </c>
      <c r="K647" s="32" t="e">
        <f>IF(ISNA($A647),"",#REF!)</f>
        <v>#REF!</v>
      </c>
      <c r="L647" s="32" t="e">
        <f>IF(ISNA($A647),"",#REF!)</f>
        <v>#REF!</v>
      </c>
      <c r="M647" s="32" t="e">
        <f>IF(ISNA($A647),"",#REF!)</f>
        <v>#REF!</v>
      </c>
      <c r="N647" s="51"/>
      <c r="O647" s="212" t="e">
        <f t="shared" si="159"/>
        <v>#REF!</v>
      </c>
      <c r="P647" s="212" t="e">
        <f t="shared" si="158"/>
        <v>#REF!</v>
      </c>
      <c r="Q647" s="212" t="e">
        <f t="shared" si="158"/>
        <v>#REF!</v>
      </c>
      <c r="R647" s="212" t="e">
        <f t="shared" si="158"/>
        <v>#REF!</v>
      </c>
      <c r="S647" s="212" t="e">
        <f t="shared" si="158"/>
        <v>#REF!</v>
      </c>
      <c r="T647" s="212" t="e">
        <f t="shared" si="158"/>
        <v>#REF!</v>
      </c>
    </row>
    <row r="648" spans="3:20" hidden="1" outlineLevel="1" x14ac:dyDescent="0.25">
      <c r="E648" s="51"/>
      <c r="F648" s="51"/>
      <c r="G648" s="2" t="e">
        <f>IF(ISNA($A648),"",#REF!)</f>
        <v>#REF!</v>
      </c>
      <c r="H648" s="32" t="e">
        <f>IF(ISNA($A648),"",#REF!)</f>
        <v>#REF!</v>
      </c>
      <c r="I648" s="32" t="e">
        <f>IF(ISNA($A648),"",#REF!)</f>
        <v>#REF!</v>
      </c>
      <c r="J648" s="32" t="e">
        <f>IF(ISNA($A648),"",#REF!)</f>
        <v>#REF!</v>
      </c>
      <c r="K648" s="32" t="e">
        <f>IF(ISNA($A648),"",#REF!)</f>
        <v>#REF!</v>
      </c>
      <c r="L648" s="32" t="e">
        <f>IF(ISNA($A648),"",#REF!)</f>
        <v>#REF!</v>
      </c>
      <c r="M648" s="32" t="e">
        <f>IF(ISNA($A648),"",#REF!)</f>
        <v>#REF!</v>
      </c>
      <c r="N648" s="51"/>
      <c r="O648" s="212" t="e">
        <f t="shared" si="159"/>
        <v>#REF!</v>
      </c>
      <c r="P648" s="212" t="e">
        <f t="shared" si="158"/>
        <v>#REF!</v>
      </c>
      <c r="Q648" s="212" t="e">
        <f t="shared" si="158"/>
        <v>#REF!</v>
      </c>
      <c r="R648" s="212" t="e">
        <f t="shared" si="158"/>
        <v>#REF!</v>
      </c>
      <c r="S648" s="212" t="e">
        <f t="shared" si="158"/>
        <v>#REF!</v>
      </c>
      <c r="T648" s="212" t="e">
        <f t="shared" si="158"/>
        <v>#REF!</v>
      </c>
    </row>
    <row r="649" spans="3:20" hidden="1" outlineLevel="1" x14ac:dyDescent="0.25">
      <c r="E649" s="51"/>
      <c r="F649" s="51"/>
      <c r="G649" s="2" t="e">
        <f>IF(ISNA($A649),"",#REF!)</f>
        <v>#REF!</v>
      </c>
      <c r="H649" s="32" t="e">
        <f>IF(ISNA($A649),"",#REF!)</f>
        <v>#REF!</v>
      </c>
      <c r="I649" s="32" t="e">
        <f>IF(ISNA($A649),"",#REF!)</f>
        <v>#REF!</v>
      </c>
      <c r="J649" s="32" t="e">
        <f>IF(ISNA($A649),"",#REF!)</f>
        <v>#REF!</v>
      </c>
      <c r="K649" s="32" t="e">
        <f>IF(ISNA($A649),"",#REF!)</f>
        <v>#REF!</v>
      </c>
      <c r="L649" s="32" t="e">
        <f>IF(ISNA($A649),"",#REF!)</f>
        <v>#REF!</v>
      </c>
      <c r="M649" s="32" t="e">
        <f>IF(ISNA($A649),"",#REF!)</f>
        <v>#REF!</v>
      </c>
      <c r="N649" s="51"/>
      <c r="O649" s="212" t="e">
        <f t="shared" si="159"/>
        <v>#REF!</v>
      </c>
      <c r="P649" s="212" t="e">
        <f t="shared" si="158"/>
        <v>#REF!</v>
      </c>
      <c r="Q649" s="212" t="e">
        <f t="shared" si="158"/>
        <v>#REF!</v>
      </c>
      <c r="R649" s="212" t="e">
        <f t="shared" si="158"/>
        <v>#REF!</v>
      </c>
      <c r="S649" s="212" t="e">
        <f t="shared" si="158"/>
        <v>#REF!</v>
      </c>
      <c r="T649" s="212" t="e">
        <f t="shared" si="158"/>
        <v>#REF!</v>
      </c>
    </row>
    <row r="650" spans="3:20" hidden="1" outlineLevel="1" x14ac:dyDescent="0.25">
      <c r="E650" s="51"/>
      <c r="F650" s="51"/>
      <c r="G650" s="2" t="e">
        <f>IF(ISNA($A650),"",#REF!)</f>
        <v>#REF!</v>
      </c>
      <c r="H650" s="32" t="e">
        <f>IF(ISNA($A650),"",#REF!)</f>
        <v>#REF!</v>
      </c>
      <c r="I650" s="32" t="e">
        <f>IF(ISNA($A650),"",#REF!)</f>
        <v>#REF!</v>
      </c>
      <c r="J650" s="32" t="e">
        <f>IF(ISNA($A650),"",#REF!)</f>
        <v>#REF!</v>
      </c>
      <c r="K650" s="32" t="e">
        <f>IF(ISNA($A650),"",#REF!)</f>
        <v>#REF!</v>
      </c>
      <c r="L650" s="32" t="e">
        <f>IF(ISNA($A650),"",#REF!)</f>
        <v>#REF!</v>
      </c>
      <c r="M650" s="32" t="e">
        <f>IF(ISNA($A650),"",#REF!)</f>
        <v>#REF!</v>
      </c>
      <c r="N650" s="51"/>
      <c r="O650" s="212" t="e">
        <f t="shared" si="159"/>
        <v>#REF!</v>
      </c>
      <c r="P650" s="212" t="e">
        <f t="shared" si="158"/>
        <v>#REF!</v>
      </c>
      <c r="Q650" s="212" t="e">
        <f t="shared" si="158"/>
        <v>#REF!</v>
      </c>
      <c r="R650" s="212" t="e">
        <f t="shared" si="158"/>
        <v>#REF!</v>
      </c>
      <c r="S650" s="212" t="e">
        <f t="shared" si="158"/>
        <v>#REF!</v>
      </c>
      <c r="T650" s="212" t="e">
        <f t="shared" si="158"/>
        <v>#REF!</v>
      </c>
    </row>
    <row r="651" spans="3:20" hidden="1" outlineLevel="1" x14ac:dyDescent="0.25">
      <c r="E651" s="51"/>
      <c r="F651" s="51"/>
      <c r="G651" s="2" t="e">
        <f>IF(ISNA($A651),"",#REF!)</f>
        <v>#REF!</v>
      </c>
      <c r="H651" s="32" t="e">
        <f>IF(ISNA($A651),"",#REF!)</f>
        <v>#REF!</v>
      </c>
      <c r="I651" s="32" t="e">
        <f>IF(ISNA($A651),"",#REF!)</f>
        <v>#REF!</v>
      </c>
      <c r="J651" s="32" t="e">
        <f>IF(ISNA($A651),"",#REF!)</f>
        <v>#REF!</v>
      </c>
      <c r="K651" s="32" t="e">
        <f>IF(ISNA($A651),"",#REF!)</f>
        <v>#REF!</v>
      </c>
      <c r="L651" s="32" t="e">
        <f>IF(ISNA($A651),"",#REF!)</f>
        <v>#REF!</v>
      </c>
      <c r="M651" s="32" t="e">
        <f>IF(ISNA($A651),"",#REF!)</f>
        <v>#REF!</v>
      </c>
      <c r="N651" s="51"/>
      <c r="O651" s="212" t="e">
        <f t="shared" si="159"/>
        <v>#REF!</v>
      </c>
      <c r="P651" s="212" t="e">
        <f t="shared" si="158"/>
        <v>#REF!</v>
      </c>
      <c r="Q651" s="212" t="e">
        <f t="shared" si="158"/>
        <v>#REF!</v>
      </c>
      <c r="R651" s="212" t="e">
        <f t="shared" si="158"/>
        <v>#REF!</v>
      </c>
      <c r="S651" s="212" t="e">
        <f t="shared" si="158"/>
        <v>#REF!</v>
      </c>
      <c r="T651" s="212" t="e">
        <f t="shared" si="158"/>
        <v>#REF!</v>
      </c>
    </row>
    <row r="652" spans="3:20" ht="17.25" hidden="1" outlineLevel="1" x14ac:dyDescent="0.3">
      <c r="C652" s="87"/>
      <c r="E652" s="2"/>
      <c r="F652" s="51"/>
      <c r="G652" s="2" t="e">
        <f>IF(ISNA($A652),"",#REF!)</f>
        <v>#REF!</v>
      </c>
      <c r="H652" s="32" t="e">
        <f>IF(ISNA($A652),"",#REF!)</f>
        <v>#REF!</v>
      </c>
      <c r="I652" s="32" t="e">
        <f>IF(ISNA($A652),"",#REF!)</f>
        <v>#REF!</v>
      </c>
      <c r="J652" s="32" t="e">
        <f>IF(ISNA($A652),"",#REF!)</f>
        <v>#REF!</v>
      </c>
      <c r="K652" s="32" t="e">
        <f>IF(ISNA($A652),"",#REF!)</f>
        <v>#REF!</v>
      </c>
      <c r="L652" s="32" t="e">
        <f>IF(ISNA($A652),"",#REF!)</f>
        <v>#REF!</v>
      </c>
      <c r="M652" s="32" t="e">
        <f>IF(ISNA($A652),"",#REF!)</f>
        <v>#REF!</v>
      </c>
      <c r="N652" s="291"/>
      <c r="O652" s="212" t="e">
        <f t="shared" si="159"/>
        <v>#REF!</v>
      </c>
      <c r="P652" s="212" t="e">
        <f t="shared" si="158"/>
        <v>#REF!</v>
      </c>
      <c r="Q652" s="212" t="e">
        <f t="shared" si="158"/>
        <v>#REF!</v>
      </c>
      <c r="R652" s="212" t="e">
        <f t="shared" si="158"/>
        <v>#REF!</v>
      </c>
      <c r="S652" s="212" t="e">
        <f t="shared" si="158"/>
        <v>#REF!</v>
      </c>
      <c r="T652" s="212" t="e">
        <f t="shared" si="158"/>
        <v>#REF!</v>
      </c>
    </row>
    <row r="653" spans="3:20" hidden="1" outlineLevel="1" x14ac:dyDescent="0.25">
      <c r="E653" s="48"/>
      <c r="F653" s="51"/>
      <c r="G653" s="2" t="e">
        <f>IF(ISNA($A653),"",#REF!)</f>
        <v>#REF!</v>
      </c>
      <c r="H653" s="32" t="e">
        <f>IF(ISNA($A653),"",#REF!)</f>
        <v>#REF!</v>
      </c>
      <c r="I653" s="32" t="e">
        <f>IF(ISNA($A653),"",#REF!)</f>
        <v>#REF!</v>
      </c>
      <c r="J653" s="32" t="e">
        <f>IF(ISNA($A653),"",#REF!)</f>
        <v>#REF!</v>
      </c>
      <c r="K653" s="32" t="e">
        <f>IF(ISNA($A653),"",#REF!)</f>
        <v>#REF!</v>
      </c>
      <c r="L653" s="32" t="e">
        <f>IF(ISNA($A653),"",#REF!)</f>
        <v>#REF!</v>
      </c>
      <c r="M653" s="32" t="e">
        <f>IF(ISNA($A653),"",#REF!)</f>
        <v>#REF!</v>
      </c>
      <c r="N653" s="51"/>
      <c r="O653" s="212" t="e">
        <f t="shared" si="159"/>
        <v>#REF!</v>
      </c>
      <c r="P653" s="212" t="e">
        <f t="shared" si="158"/>
        <v>#REF!</v>
      </c>
      <c r="Q653" s="212" t="e">
        <f t="shared" si="158"/>
        <v>#REF!</v>
      </c>
      <c r="R653" s="212" t="e">
        <f t="shared" si="158"/>
        <v>#REF!</v>
      </c>
      <c r="S653" s="212" t="e">
        <f t="shared" si="158"/>
        <v>#REF!</v>
      </c>
      <c r="T653" s="212" t="e">
        <f t="shared" si="158"/>
        <v>#REF!</v>
      </c>
    </row>
    <row r="654" spans="3:20" hidden="1" outlineLevel="1" x14ac:dyDescent="0.25">
      <c r="E654" s="55"/>
      <c r="F654" s="51"/>
      <c r="G654" s="2" t="e">
        <f>IF(ISNA($A654),"",#REF!)</f>
        <v>#REF!</v>
      </c>
      <c r="H654" s="32" t="e">
        <f>IF(ISNA($A654),"",#REF!)</f>
        <v>#REF!</v>
      </c>
      <c r="I654" s="32" t="e">
        <f>IF(ISNA($A654),"",#REF!)</f>
        <v>#REF!</v>
      </c>
      <c r="J654" s="32" t="e">
        <f>IF(ISNA($A654),"",#REF!)</f>
        <v>#REF!</v>
      </c>
      <c r="K654" s="32" t="e">
        <f>IF(ISNA($A654),"",#REF!)</f>
        <v>#REF!</v>
      </c>
      <c r="L654" s="32" t="e">
        <f>IF(ISNA($A654),"",#REF!)</f>
        <v>#REF!</v>
      </c>
      <c r="M654" s="32" t="e">
        <f>IF(ISNA($A654),"",#REF!)</f>
        <v>#REF!</v>
      </c>
      <c r="N654" s="229"/>
      <c r="O654" s="212" t="e">
        <f t="shared" si="159"/>
        <v>#REF!</v>
      </c>
      <c r="P654" s="212" t="e">
        <f t="shared" si="158"/>
        <v>#REF!</v>
      </c>
      <c r="Q654" s="212" t="e">
        <f t="shared" si="158"/>
        <v>#REF!</v>
      </c>
      <c r="R654" s="212" t="e">
        <f t="shared" si="158"/>
        <v>#REF!</v>
      </c>
      <c r="S654" s="212" t="e">
        <f t="shared" si="158"/>
        <v>#REF!</v>
      </c>
      <c r="T654" s="212" t="e">
        <f t="shared" si="158"/>
        <v>#REF!</v>
      </c>
    </row>
    <row r="655" spans="3:20" hidden="1" outlineLevel="1" x14ac:dyDescent="0.25">
      <c r="E655" s="55"/>
      <c r="F655" s="51"/>
      <c r="G655" s="2" t="e">
        <f>IF(ISNA($A655),"",#REF!)</f>
        <v>#REF!</v>
      </c>
      <c r="H655" s="32" t="e">
        <f>IF(ISNA($A655),"",#REF!)</f>
        <v>#REF!</v>
      </c>
      <c r="I655" s="32" t="e">
        <f>IF(ISNA($A655),"",#REF!)</f>
        <v>#REF!</v>
      </c>
      <c r="J655" s="32" t="e">
        <f>IF(ISNA($A655),"",#REF!)</f>
        <v>#REF!</v>
      </c>
      <c r="K655" s="32" t="e">
        <f>IF(ISNA($A655),"",#REF!)</f>
        <v>#REF!</v>
      </c>
      <c r="L655" s="32" t="e">
        <f>IF(ISNA($A655),"",#REF!)</f>
        <v>#REF!</v>
      </c>
      <c r="M655" s="32" t="e">
        <f>IF(ISNA($A655),"",#REF!)</f>
        <v>#REF!</v>
      </c>
      <c r="N655" s="229"/>
      <c r="O655" s="212" t="e">
        <f t="shared" si="159"/>
        <v>#REF!</v>
      </c>
      <c r="P655" s="212" t="e">
        <f t="shared" si="158"/>
        <v>#REF!</v>
      </c>
      <c r="Q655" s="212" t="e">
        <f t="shared" si="158"/>
        <v>#REF!</v>
      </c>
      <c r="R655" s="212" t="e">
        <f t="shared" si="158"/>
        <v>#REF!</v>
      </c>
      <c r="S655" s="212" t="e">
        <f t="shared" si="158"/>
        <v>#REF!</v>
      </c>
      <c r="T655" s="212" t="e">
        <f t="shared" si="158"/>
        <v>#REF!</v>
      </c>
    </row>
    <row r="656" spans="3:20" hidden="1" outlineLevel="1" x14ac:dyDescent="0.25">
      <c r="E656" s="55"/>
      <c r="F656" s="51"/>
      <c r="G656" s="2" t="e">
        <f>IF(ISNA($A656),"",#REF!)</f>
        <v>#REF!</v>
      </c>
      <c r="H656" s="32" t="e">
        <f>IF(ISNA($A656),"",#REF!)</f>
        <v>#REF!</v>
      </c>
      <c r="I656" s="32" t="e">
        <f>IF(ISNA($A656),"",#REF!)</f>
        <v>#REF!</v>
      </c>
      <c r="J656" s="32" t="e">
        <f>IF(ISNA($A656),"",#REF!)</f>
        <v>#REF!</v>
      </c>
      <c r="K656" s="32" t="e">
        <f>IF(ISNA($A656),"",#REF!)</f>
        <v>#REF!</v>
      </c>
      <c r="L656" s="32" t="e">
        <f>IF(ISNA($A656),"",#REF!)</f>
        <v>#REF!</v>
      </c>
      <c r="M656" s="32" t="e">
        <f>IF(ISNA($A656),"",#REF!)</f>
        <v>#REF!</v>
      </c>
      <c r="N656" s="229"/>
      <c r="O656" s="212" t="e">
        <f t="shared" si="159"/>
        <v>#REF!</v>
      </c>
      <c r="P656" s="212" t="e">
        <f t="shared" si="158"/>
        <v>#REF!</v>
      </c>
      <c r="Q656" s="212" t="e">
        <f t="shared" si="158"/>
        <v>#REF!</v>
      </c>
      <c r="R656" s="212" t="e">
        <f t="shared" si="158"/>
        <v>#REF!</v>
      </c>
      <c r="S656" s="212" t="e">
        <f t="shared" si="158"/>
        <v>#REF!</v>
      </c>
      <c r="T656" s="212" t="e">
        <f t="shared" si="158"/>
        <v>#REF!</v>
      </c>
    </row>
    <row r="657" spans="5:20" hidden="1" outlineLevel="1" x14ac:dyDescent="0.25">
      <c r="E657" s="55"/>
      <c r="F657" s="51"/>
      <c r="G657" s="2" t="e">
        <f>IF(ISNA($A657),"",#REF!)</f>
        <v>#REF!</v>
      </c>
      <c r="H657" s="32" t="e">
        <f>IF(ISNA($A657),"",#REF!)</f>
        <v>#REF!</v>
      </c>
      <c r="I657" s="32" t="e">
        <f>IF(ISNA($A657),"",#REF!)</f>
        <v>#REF!</v>
      </c>
      <c r="J657" s="32" t="e">
        <f>IF(ISNA($A657),"",#REF!)</f>
        <v>#REF!</v>
      </c>
      <c r="K657" s="32" t="e">
        <f>IF(ISNA($A657),"",#REF!)</f>
        <v>#REF!</v>
      </c>
      <c r="L657" s="32" t="e">
        <f>IF(ISNA($A657),"",#REF!)</f>
        <v>#REF!</v>
      </c>
      <c r="M657" s="32" t="e">
        <f>IF(ISNA($A657),"",#REF!)</f>
        <v>#REF!</v>
      </c>
      <c r="O657" s="212" t="e">
        <f t="shared" si="159"/>
        <v>#REF!</v>
      </c>
      <c r="P657" s="212" t="e">
        <f t="shared" si="158"/>
        <v>#REF!</v>
      </c>
      <c r="Q657" s="212" t="e">
        <f t="shared" si="158"/>
        <v>#REF!</v>
      </c>
      <c r="R657" s="212" t="e">
        <f t="shared" si="158"/>
        <v>#REF!</v>
      </c>
      <c r="S657" s="212" t="e">
        <f t="shared" si="158"/>
        <v>#REF!</v>
      </c>
      <c r="T657" s="212" t="e">
        <f t="shared" si="158"/>
        <v>#REF!</v>
      </c>
    </row>
    <row r="658" spans="5:20" hidden="1" outlineLevel="1" x14ac:dyDescent="0.25">
      <c r="E658" s="55"/>
      <c r="F658" s="51"/>
      <c r="G658" s="2" t="e">
        <f>IF(ISNA($A658),"",#REF!)</f>
        <v>#REF!</v>
      </c>
      <c r="H658" s="32" t="e">
        <f>IF(ISNA($A658),"",#REF!)</f>
        <v>#REF!</v>
      </c>
      <c r="I658" s="32" t="e">
        <f>IF(ISNA($A658),"",#REF!)</f>
        <v>#REF!</v>
      </c>
      <c r="J658" s="32" t="e">
        <f>IF(ISNA($A658),"",#REF!)</f>
        <v>#REF!</v>
      </c>
      <c r="K658" s="32" t="e">
        <f>IF(ISNA($A658),"",#REF!)</f>
        <v>#REF!</v>
      </c>
      <c r="L658" s="32" t="e">
        <f>IF(ISNA($A658),"",#REF!)</f>
        <v>#REF!</v>
      </c>
      <c r="M658" s="32" t="e">
        <f>IF(ISNA($A658),"",#REF!)</f>
        <v>#REF!</v>
      </c>
      <c r="O658" s="212" t="e">
        <f t="shared" si="159"/>
        <v>#REF!</v>
      </c>
      <c r="P658" s="212" t="e">
        <f t="shared" si="158"/>
        <v>#REF!</v>
      </c>
      <c r="Q658" s="212" t="e">
        <f t="shared" si="158"/>
        <v>#REF!</v>
      </c>
      <c r="R658" s="212" t="e">
        <f t="shared" si="158"/>
        <v>#REF!</v>
      </c>
      <c r="S658" s="212" t="e">
        <f t="shared" si="158"/>
        <v>#REF!</v>
      </c>
      <c r="T658" s="212" t="e">
        <f t="shared" si="158"/>
        <v>#REF!</v>
      </c>
    </row>
    <row r="659" spans="5:20" hidden="1" outlineLevel="1" x14ac:dyDescent="0.25">
      <c r="E659" s="55"/>
      <c r="F659" s="51"/>
      <c r="G659" s="2" t="e">
        <f>IF(ISNA($A659),"",#REF!)</f>
        <v>#REF!</v>
      </c>
      <c r="H659" s="32" t="e">
        <f>IF(ISNA($A659),"",#REF!)</f>
        <v>#REF!</v>
      </c>
      <c r="I659" s="32" t="e">
        <f>IF(ISNA($A659),"",#REF!)</f>
        <v>#REF!</v>
      </c>
      <c r="J659" s="32" t="e">
        <f>IF(ISNA($A659),"",#REF!)</f>
        <v>#REF!</v>
      </c>
      <c r="K659" s="32" t="e">
        <f>IF(ISNA($A659),"",#REF!)</f>
        <v>#REF!</v>
      </c>
      <c r="L659" s="32" t="e">
        <f>IF(ISNA($A659),"",#REF!)</f>
        <v>#REF!</v>
      </c>
      <c r="M659" s="32" t="e">
        <f>IF(ISNA($A659),"",#REF!)</f>
        <v>#REF!</v>
      </c>
      <c r="O659" s="212" t="e">
        <f t="shared" si="159"/>
        <v>#REF!</v>
      </c>
      <c r="P659" s="212" t="e">
        <f t="shared" si="158"/>
        <v>#REF!</v>
      </c>
      <c r="Q659" s="212" t="e">
        <f t="shared" si="158"/>
        <v>#REF!</v>
      </c>
      <c r="R659" s="212" t="e">
        <f t="shared" si="158"/>
        <v>#REF!</v>
      </c>
      <c r="S659" s="212" t="e">
        <f t="shared" si="158"/>
        <v>#REF!</v>
      </c>
      <c r="T659" s="212" t="e">
        <f t="shared" si="158"/>
        <v>#REF!</v>
      </c>
    </row>
    <row r="660" spans="5:20" hidden="1" outlineLevel="1" x14ac:dyDescent="0.25">
      <c r="E660" s="68"/>
      <c r="F660" s="51"/>
      <c r="G660" s="2" t="e">
        <f>IF(ISNA($A660),"",#REF!)</f>
        <v>#REF!</v>
      </c>
      <c r="H660" s="32" t="e">
        <f>IF(ISNA($A660),"",#REF!)</f>
        <v>#REF!</v>
      </c>
      <c r="I660" s="32" t="e">
        <f>IF(ISNA($A660),"",#REF!)</f>
        <v>#REF!</v>
      </c>
      <c r="J660" s="32" t="e">
        <f>IF(ISNA($A660),"",#REF!)</f>
        <v>#REF!</v>
      </c>
      <c r="K660" s="32" t="e">
        <f>IF(ISNA($A660),"",#REF!)</f>
        <v>#REF!</v>
      </c>
      <c r="L660" s="32" t="e">
        <f>IF(ISNA($A660),"",#REF!)</f>
        <v>#REF!</v>
      </c>
      <c r="M660" s="32" t="e">
        <f>IF(ISNA($A660),"",#REF!)</f>
        <v>#REF!</v>
      </c>
      <c r="O660" s="212" t="e">
        <f t="shared" si="159"/>
        <v>#REF!</v>
      </c>
      <c r="P660" s="212" t="e">
        <f t="shared" si="158"/>
        <v>#REF!</v>
      </c>
      <c r="Q660" s="212" t="e">
        <f t="shared" si="158"/>
        <v>#REF!</v>
      </c>
      <c r="R660" s="212" t="e">
        <f t="shared" si="158"/>
        <v>#REF!</v>
      </c>
      <c r="S660" s="212" t="e">
        <f t="shared" si="158"/>
        <v>#REF!</v>
      </c>
      <c r="T660" s="212" t="e">
        <f t="shared" si="158"/>
        <v>#REF!</v>
      </c>
    </row>
    <row r="661" spans="5:20" hidden="1" outlineLevel="1" x14ac:dyDescent="0.25">
      <c r="E661" s="68"/>
      <c r="F661" s="51"/>
      <c r="G661" s="2" t="e">
        <f>IF(ISNA($A661),"",#REF!)</f>
        <v>#REF!</v>
      </c>
      <c r="H661" s="32" t="e">
        <f>IF(ISNA($A661),"",#REF!)</f>
        <v>#REF!</v>
      </c>
      <c r="I661" s="32" t="e">
        <f>IF(ISNA($A661),"",#REF!)</f>
        <v>#REF!</v>
      </c>
      <c r="J661" s="32" t="e">
        <f>IF(ISNA($A661),"",#REF!)</f>
        <v>#REF!</v>
      </c>
      <c r="K661" s="32" t="e">
        <f>IF(ISNA($A661),"",#REF!)</f>
        <v>#REF!</v>
      </c>
      <c r="L661" s="32" t="e">
        <f>IF(ISNA($A661),"",#REF!)</f>
        <v>#REF!</v>
      </c>
      <c r="M661" s="32" t="e">
        <f>IF(ISNA($A661),"",#REF!)</f>
        <v>#REF!</v>
      </c>
      <c r="O661" s="212" t="e">
        <f t="shared" si="159"/>
        <v>#REF!</v>
      </c>
      <c r="P661" s="212" t="e">
        <f t="shared" si="158"/>
        <v>#REF!</v>
      </c>
      <c r="Q661" s="212" t="e">
        <f t="shared" si="158"/>
        <v>#REF!</v>
      </c>
      <c r="R661" s="212" t="e">
        <f t="shared" si="158"/>
        <v>#REF!</v>
      </c>
      <c r="S661" s="212" t="e">
        <f t="shared" si="158"/>
        <v>#REF!</v>
      </c>
      <c r="T661" s="212" t="e">
        <f t="shared" si="158"/>
        <v>#REF!</v>
      </c>
    </row>
    <row r="662" spans="5:20" hidden="1" outlineLevel="1" x14ac:dyDescent="0.25">
      <c r="F662" s="51"/>
      <c r="G662" s="2" t="e">
        <f>IF(ISNA($A662),"",#REF!)</f>
        <v>#REF!</v>
      </c>
      <c r="H662" s="32" t="e">
        <f>IF(ISNA($A662),"",#REF!)</f>
        <v>#REF!</v>
      </c>
      <c r="I662" s="32" t="e">
        <f>IF(ISNA($A662),"",#REF!)</f>
        <v>#REF!</v>
      </c>
      <c r="J662" s="32" t="e">
        <f>IF(ISNA($A662),"",#REF!)</f>
        <v>#REF!</v>
      </c>
      <c r="K662" s="32" t="e">
        <f>IF(ISNA($A662),"",#REF!)</f>
        <v>#REF!</v>
      </c>
      <c r="L662" s="32" t="e">
        <f>IF(ISNA($A662),"",#REF!)</f>
        <v>#REF!</v>
      </c>
      <c r="M662" s="32" t="e">
        <f>IF(ISNA($A662),"",#REF!)</f>
        <v>#REF!</v>
      </c>
      <c r="O662" s="212" t="e">
        <f t="shared" si="159"/>
        <v>#REF!</v>
      </c>
      <c r="P662" s="212" t="e">
        <f t="shared" si="158"/>
        <v>#REF!</v>
      </c>
      <c r="Q662" s="212" t="e">
        <f t="shared" si="158"/>
        <v>#REF!</v>
      </c>
      <c r="R662" s="212" t="e">
        <f t="shared" si="158"/>
        <v>#REF!</v>
      </c>
      <c r="S662" s="212" t="e">
        <f t="shared" si="158"/>
        <v>#REF!</v>
      </c>
      <c r="T662" s="212" t="e">
        <f t="shared" si="158"/>
        <v>#REF!</v>
      </c>
    </row>
    <row r="663" spans="5:20" hidden="1" outlineLevel="1" x14ac:dyDescent="0.25">
      <c r="E663" s="2"/>
      <c r="F663" s="51"/>
      <c r="G663" s="2" t="e">
        <f>IF(ISNA($A663),"",#REF!)</f>
        <v>#REF!</v>
      </c>
      <c r="H663" s="32" t="e">
        <f>IF(ISNA($A663),"",#REF!)</f>
        <v>#REF!</v>
      </c>
      <c r="I663" s="32" t="e">
        <f>IF(ISNA($A663),"",#REF!)</f>
        <v>#REF!</v>
      </c>
      <c r="J663" s="32" t="e">
        <f>IF(ISNA($A663),"",#REF!)</f>
        <v>#REF!</v>
      </c>
      <c r="K663" s="32" t="e">
        <f>IF(ISNA($A663),"",#REF!)</f>
        <v>#REF!</v>
      </c>
      <c r="L663" s="32" t="e">
        <f>IF(ISNA($A663),"",#REF!)</f>
        <v>#REF!</v>
      </c>
      <c r="M663" s="32" t="e">
        <f>IF(ISNA($A663),"",#REF!)</f>
        <v>#REF!</v>
      </c>
      <c r="O663" s="212" t="e">
        <f t="shared" si="159"/>
        <v>#REF!</v>
      </c>
      <c r="P663" s="212" t="e">
        <f t="shared" si="158"/>
        <v>#REF!</v>
      </c>
      <c r="Q663" s="212" t="e">
        <f t="shared" si="158"/>
        <v>#REF!</v>
      </c>
      <c r="R663" s="212" t="e">
        <f t="shared" si="158"/>
        <v>#REF!</v>
      </c>
      <c r="S663" s="212" t="e">
        <f t="shared" si="158"/>
        <v>#REF!</v>
      </c>
      <c r="T663" s="212" t="e">
        <f t="shared" si="158"/>
        <v>#REF!</v>
      </c>
    </row>
    <row r="664" spans="5:20" hidden="1" outlineLevel="1" x14ac:dyDescent="0.25">
      <c r="E664" s="2"/>
      <c r="F664" s="51"/>
      <c r="G664" s="2" t="e">
        <f>IF(ISNA($A664),"",#REF!)</f>
        <v>#REF!</v>
      </c>
      <c r="H664" s="32" t="e">
        <f>IF(ISNA($A664),"",#REF!)</f>
        <v>#REF!</v>
      </c>
      <c r="I664" s="32" t="e">
        <f>IF(ISNA($A664),"",#REF!)</f>
        <v>#REF!</v>
      </c>
      <c r="J664" s="32" t="e">
        <f>IF(ISNA($A664),"",#REF!)</f>
        <v>#REF!</v>
      </c>
      <c r="K664" s="32" t="e">
        <f>IF(ISNA($A664),"",#REF!)</f>
        <v>#REF!</v>
      </c>
      <c r="L664" s="32" t="e">
        <f>IF(ISNA($A664),"",#REF!)</f>
        <v>#REF!</v>
      </c>
      <c r="M664" s="32" t="e">
        <f>IF(ISNA($A664),"",#REF!)</f>
        <v>#REF!</v>
      </c>
      <c r="O664" s="212" t="e">
        <f t="shared" si="159"/>
        <v>#REF!</v>
      </c>
      <c r="P664" s="212" t="e">
        <f t="shared" si="158"/>
        <v>#REF!</v>
      </c>
      <c r="Q664" s="212" t="e">
        <f t="shared" si="158"/>
        <v>#REF!</v>
      </c>
      <c r="R664" s="212" t="e">
        <f t="shared" si="158"/>
        <v>#REF!</v>
      </c>
      <c r="S664" s="212" t="e">
        <f t="shared" si="158"/>
        <v>#REF!</v>
      </c>
      <c r="T664" s="212" t="e">
        <f t="shared" si="158"/>
        <v>#REF!</v>
      </c>
    </row>
    <row r="665" spans="5:20" hidden="1" outlineLevel="1" x14ac:dyDescent="0.25">
      <c r="E665" s="2"/>
      <c r="F665" s="51"/>
      <c r="G665" s="2" t="e">
        <f>IF(ISNA($A665),"",#REF!)</f>
        <v>#REF!</v>
      </c>
      <c r="H665" s="32" t="e">
        <f>IF(ISNA($A665),"",#REF!)</f>
        <v>#REF!</v>
      </c>
      <c r="I665" s="32" t="e">
        <f>IF(ISNA($A665),"",#REF!)</f>
        <v>#REF!</v>
      </c>
      <c r="J665" s="32" t="e">
        <f>IF(ISNA($A665),"",#REF!)</f>
        <v>#REF!</v>
      </c>
      <c r="K665" s="32" t="e">
        <f>IF(ISNA($A665),"",#REF!)</f>
        <v>#REF!</v>
      </c>
      <c r="L665" s="32" t="e">
        <f>IF(ISNA($A665),"",#REF!)</f>
        <v>#REF!</v>
      </c>
      <c r="M665" s="32" t="e">
        <f>IF(ISNA($A665),"",#REF!)</f>
        <v>#REF!</v>
      </c>
      <c r="O665" s="212" t="e">
        <f t="shared" si="159"/>
        <v>#REF!</v>
      </c>
      <c r="P665" s="212" t="e">
        <f t="shared" si="159"/>
        <v>#REF!</v>
      </c>
      <c r="Q665" s="212" t="e">
        <f t="shared" si="159"/>
        <v>#REF!</v>
      </c>
      <c r="R665" s="212" t="e">
        <f t="shared" si="159"/>
        <v>#REF!</v>
      </c>
      <c r="S665" s="212" t="e">
        <f t="shared" si="159"/>
        <v>#REF!</v>
      </c>
      <c r="T665" s="212" t="e">
        <f t="shared" si="159"/>
        <v>#REF!</v>
      </c>
    </row>
    <row r="666" spans="5:20" hidden="1" outlineLevel="1" x14ac:dyDescent="0.25">
      <c r="E666" s="2"/>
      <c r="F666" s="51"/>
      <c r="G666" s="2" t="e">
        <f>IF(ISNA($A666),"",#REF!)</f>
        <v>#REF!</v>
      </c>
      <c r="H666" s="32" t="e">
        <f>IF(ISNA($A666),"",#REF!)</f>
        <v>#REF!</v>
      </c>
      <c r="I666" s="32" t="e">
        <f>IF(ISNA($A666),"",#REF!)</f>
        <v>#REF!</v>
      </c>
      <c r="J666" s="32" t="e">
        <f>IF(ISNA($A666),"",#REF!)</f>
        <v>#REF!</v>
      </c>
      <c r="K666" s="32" t="e">
        <f>IF(ISNA($A666),"",#REF!)</f>
        <v>#REF!</v>
      </c>
      <c r="L666" s="32" t="e">
        <f>IF(ISNA($A666),"",#REF!)</f>
        <v>#REF!</v>
      </c>
      <c r="M666" s="32" t="e">
        <f>IF(ISNA($A666),"",#REF!)</f>
        <v>#REF!</v>
      </c>
      <c r="O666" s="212" t="e">
        <f t="shared" ref="O666:T675" si="160">IF(ISNA($A666),"",H666/$F$5)</f>
        <v>#REF!</v>
      </c>
      <c r="P666" s="212" t="e">
        <f t="shared" si="160"/>
        <v>#REF!</v>
      </c>
      <c r="Q666" s="212" t="e">
        <f t="shared" si="160"/>
        <v>#REF!</v>
      </c>
      <c r="R666" s="212" t="e">
        <f t="shared" si="160"/>
        <v>#REF!</v>
      </c>
      <c r="S666" s="212" t="e">
        <f t="shared" si="160"/>
        <v>#REF!</v>
      </c>
      <c r="T666" s="212" t="e">
        <f t="shared" si="160"/>
        <v>#REF!</v>
      </c>
    </row>
    <row r="667" spans="5:20" hidden="1" outlineLevel="1" x14ac:dyDescent="0.25">
      <c r="E667" s="2"/>
      <c r="F667" s="51"/>
      <c r="G667" s="2" t="e">
        <f>IF(ISNA($A667),"",#REF!)</f>
        <v>#REF!</v>
      </c>
      <c r="H667" s="32" t="e">
        <f>IF(ISNA($A667),"",#REF!)</f>
        <v>#REF!</v>
      </c>
      <c r="I667" s="32" t="e">
        <f>IF(ISNA($A667),"",#REF!)</f>
        <v>#REF!</v>
      </c>
      <c r="J667" s="32" t="e">
        <f>IF(ISNA($A667),"",#REF!)</f>
        <v>#REF!</v>
      </c>
      <c r="K667" s="32" t="e">
        <f>IF(ISNA($A667),"",#REF!)</f>
        <v>#REF!</v>
      </c>
      <c r="L667" s="32" t="e">
        <f>IF(ISNA($A667),"",#REF!)</f>
        <v>#REF!</v>
      </c>
      <c r="M667" s="32" t="e">
        <f>IF(ISNA($A667),"",#REF!)</f>
        <v>#REF!</v>
      </c>
      <c r="O667" s="212" t="e">
        <f t="shared" si="160"/>
        <v>#REF!</v>
      </c>
      <c r="P667" s="212" t="e">
        <f t="shared" si="160"/>
        <v>#REF!</v>
      </c>
      <c r="Q667" s="212" t="e">
        <f t="shared" si="160"/>
        <v>#REF!</v>
      </c>
      <c r="R667" s="212" t="e">
        <f t="shared" si="160"/>
        <v>#REF!</v>
      </c>
      <c r="S667" s="212" t="e">
        <f t="shared" si="160"/>
        <v>#REF!</v>
      </c>
      <c r="T667" s="212" t="e">
        <f t="shared" si="160"/>
        <v>#REF!</v>
      </c>
    </row>
    <row r="668" spans="5:20" hidden="1" outlineLevel="1" x14ac:dyDescent="0.25">
      <c r="E668" s="2"/>
      <c r="F668" s="51"/>
      <c r="G668" s="2" t="e">
        <f>IF(ISNA($A668),"",#REF!)</f>
        <v>#REF!</v>
      </c>
      <c r="H668" s="32" t="e">
        <f>IF(ISNA($A668),"",#REF!)</f>
        <v>#REF!</v>
      </c>
      <c r="I668" s="32" t="e">
        <f>IF(ISNA($A668),"",#REF!)</f>
        <v>#REF!</v>
      </c>
      <c r="J668" s="32" t="e">
        <f>IF(ISNA($A668),"",#REF!)</f>
        <v>#REF!</v>
      </c>
      <c r="K668" s="32" t="e">
        <f>IF(ISNA($A668),"",#REF!)</f>
        <v>#REF!</v>
      </c>
      <c r="L668" s="32" t="e">
        <f>IF(ISNA($A668),"",#REF!)</f>
        <v>#REF!</v>
      </c>
      <c r="M668" s="32" t="e">
        <f>IF(ISNA($A668),"",#REF!)</f>
        <v>#REF!</v>
      </c>
      <c r="O668" s="212" t="e">
        <f t="shared" si="160"/>
        <v>#REF!</v>
      </c>
      <c r="P668" s="212" t="e">
        <f t="shared" si="160"/>
        <v>#REF!</v>
      </c>
      <c r="Q668" s="212" t="e">
        <f t="shared" si="160"/>
        <v>#REF!</v>
      </c>
      <c r="R668" s="212" t="e">
        <f t="shared" si="160"/>
        <v>#REF!</v>
      </c>
      <c r="S668" s="212" t="e">
        <f t="shared" si="160"/>
        <v>#REF!</v>
      </c>
      <c r="T668" s="212" t="e">
        <f t="shared" si="160"/>
        <v>#REF!</v>
      </c>
    </row>
    <row r="669" spans="5:20" hidden="1" outlineLevel="1" x14ac:dyDescent="0.25">
      <c r="E669" s="2"/>
      <c r="F669" s="51"/>
      <c r="G669" s="2" t="e">
        <f>IF(ISNA($A669),"",#REF!)</f>
        <v>#REF!</v>
      </c>
      <c r="H669" s="32" t="e">
        <f>IF(ISNA($A669),"",#REF!)</f>
        <v>#REF!</v>
      </c>
      <c r="I669" s="32" t="e">
        <f>IF(ISNA($A669),"",#REF!)</f>
        <v>#REF!</v>
      </c>
      <c r="J669" s="32" t="e">
        <f>IF(ISNA($A669),"",#REF!)</f>
        <v>#REF!</v>
      </c>
      <c r="K669" s="32" t="e">
        <f>IF(ISNA($A669),"",#REF!)</f>
        <v>#REF!</v>
      </c>
      <c r="L669" s="32" t="e">
        <f>IF(ISNA($A669),"",#REF!)</f>
        <v>#REF!</v>
      </c>
      <c r="M669" s="32" t="e">
        <f>IF(ISNA($A669),"",#REF!)</f>
        <v>#REF!</v>
      </c>
      <c r="O669" s="212" t="e">
        <f t="shared" si="160"/>
        <v>#REF!</v>
      </c>
      <c r="P669" s="212" t="e">
        <f t="shared" si="160"/>
        <v>#REF!</v>
      </c>
      <c r="Q669" s="212" t="e">
        <f t="shared" si="160"/>
        <v>#REF!</v>
      </c>
      <c r="R669" s="212" t="e">
        <f t="shared" si="160"/>
        <v>#REF!</v>
      </c>
      <c r="S669" s="212" t="e">
        <f t="shared" si="160"/>
        <v>#REF!</v>
      </c>
      <c r="T669" s="212" t="e">
        <f t="shared" si="160"/>
        <v>#REF!</v>
      </c>
    </row>
    <row r="670" spans="5:20" hidden="1" outlineLevel="1" x14ac:dyDescent="0.25">
      <c r="E670" s="2"/>
      <c r="F670" s="51"/>
      <c r="G670" s="2" t="e">
        <f>IF(ISNA($A670),"",#REF!)</f>
        <v>#REF!</v>
      </c>
      <c r="H670" s="32" t="e">
        <f>IF(ISNA($A670),"",#REF!)</f>
        <v>#REF!</v>
      </c>
      <c r="I670" s="32" t="e">
        <f>IF(ISNA($A670),"",#REF!)</f>
        <v>#REF!</v>
      </c>
      <c r="J670" s="32" t="e">
        <f>IF(ISNA($A670),"",#REF!)</f>
        <v>#REF!</v>
      </c>
      <c r="K670" s="32" t="e">
        <f>IF(ISNA($A670),"",#REF!)</f>
        <v>#REF!</v>
      </c>
      <c r="L670" s="32" t="e">
        <f>IF(ISNA($A670),"",#REF!)</f>
        <v>#REF!</v>
      </c>
      <c r="M670" s="32" t="e">
        <f>IF(ISNA($A670),"",#REF!)</f>
        <v>#REF!</v>
      </c>
      <c r="O670" s="212" t="e">
        <f t="shared" si="160"/>
        <v>#REF!</v>
      </c>
      <c r="P670" s="212" t="e">
        <f t="shared" si="160"/>
        <v>#REF!</v>
      </c>
      <c r="Q670" s="212" t="e">
        <f t="shared" si="160"/>
        <v>#REF!</v>
      </c>
      <c r="R670" s="212" t="e">
        <f t="shared" si="160"/>
        <v>#REF!</v>
      </c>
      <c r="S670" s="212" t="e">
        <f t="shared" si="160"/>
        <v>#REF!</v>
      </c>
      <c r="T670" s="212" t="e">
        <f t="shared" si="160"/>
        <v>#REF!</v>
      </c>
    </row>
    <row r="671" spans="5:20" hidden="1" outlineLevel="1" x14ac:dyDescent="0.25">
      <c r="E671" s="2"/>
      <c r="F671" s="51"/>
      <c r="G671" s="2" t="e">
        <f>IF(ISNA($A671),"",#REF!)</f>
        <v>#REF!</v>
      </c>
      <c r="H671" s="32" t="e">
        <f>IF(ISNA($A671),"",#REF!)</f>
        <v>#REF!</v>
      </c>
      <c r="I671" s="32" t="e">
        <f>IF(ISNA($A671),"",#REF!)</f>
        <v>#REF!</v>
      </c>
      <c r="J671" s="32" t="e">
        <f>IF(ISNA($A671),"",#REF!)</f>
        <v>#REF!</v>
      </c>
      <c r="K671" s="32" t="e">
        <f>IF(ISNA($A671),"",#REF!)</f>
        <v>#REF!</v>
      </c>
      <c r="L671" s="32" t="e">
        <f>IF(ISNA($A671),"",#REF!)</f>
        <v>#REF!</v>
      </c>
      <c r="M671" s="32" t="e">
        <f>IF(ISNA($A671),"",#REF!)</f>
        <v>#REF!</v>
      </c>
      <c r="O671" s="212" t="e">
        <f t="shared" si="160"/>
        <v>#REF!</v>
      </c>
      <c r="P671" s="212" t="e">
        <f t="shared" si="160"/>
        <v>#REF!</v>
      </c>
      <c r="Q671" s="212" t="e">
        <f t="shared" si="160"/>
        <v>#REF!</v>
      </c>
      <c r="R671" s="212" t="e">
        <f t="shared" si="160"/>
        <v>#REF!</v>
      </c>
      <c r="S671" s="212" t="e">
        <f t="shared" si="160"/>
        <v>#REF!</v>
      </c>
      <c r="T671" s="212" t="e">
        <f t="shared" si="160"/>
        <v>#REF!</v>
      </c>
    </row>
    <row r="672" spans="5:20" hidden="1" outlineLevel="1" x14ac:dyDescent="0.25">
      <c r="E672" s="2"/>
      <c r="F672" s="51"/>
      <c r="G672" s="2" t="e">
        <f>IF(ISNA($A672),"",#REF!)</f>
        <v>#REF!</v>
      </c>
      <c r="H672" s="32" t="e">
        <f>IF(ISNA($A672),"",#REF!)</f>
        <v>#REF!</v>
      </c>
      <c r="I672" s="32" t="e">
        <f>IF(ISNA($A672),"",#REF!)</f>
        <v>#REF!</v>
      </c>
      <c r="J672" s="32" t="e">
        <f>IF(ISNA($A672),"",#REF!)</f>
        <v>#REF!</v>
      </c>
      <c r="K672" s="32" t="e">
        <f>IF(ISNA($A672),"",#REF!)</f>
        <v>#REF!</v>
      </c>
      <c r="L672" s="32" t="e">
        <f>IF(ISNA($A672),"",#REF!)</f>
        <v>#REF!</v>
      </c>
      <c r="M672" s="32" t="e">
        <f>IF(ISNA($A672),"",#REF!)</f>
        <v>#REF!</v>
      </c>
      <c r="O672" s="212" t="e">
        <f t="shared" si="160"/>
        <v>#REF!</v>
      </c>
      <c r="P672" s="212" t="e">
        <f t="shared" si="160"/>
        <v>#REF!</v>
      </c>
      <c r="Q672" s="212" t="e">
        <f t="shared" si="160"/>
        <v>#REF!</v>
      </c>
      <c r="R672" s="212" t="e">
        <f t="shared" si="160"/>
        <v>#REF!</v>
      </c>
      <c r="S672" s="212" t="e">
        <f t="shared" si="160"/>
        <v>#REF!</v>
      </c>
      <c r="T672" s="212" t="e">
        <f t="shared" si="160"/>
        <v>#REF!</v>
      </c>
    </row>
    <row r="673" spans="5:20" hidden="1" outlineLevel="1" x14ac:dyDescent="0.25">
      <c r="E673" s="2"/>
      <c r="F673" s="51"/>
      <c r="G673" s="2" t="e">
        <f>IF(ISNA($A673),"",#REF!)</f>
        <v>#REF!</v>
      </c>
      <c r="H673" s="32" t="e">
        <f>IF(ISNA($A673),"",#REF!)</f>
        <v>#REF!</v>
      </c>
      <c r="I673" s="32" t="e">
        <f>IF(ISNA($A673),"",#REF!)</f>
        <v>#REF!</v>
      </c>
      <c r="J673" s="32" t="e">
        <f>IF(ISNA($A673),"",#REF!)</f>
        <v>#REF!</v>
      </c>
      <c r="K673" s="32" t="e">
        <f>IF(ISNA($A673),"",#REF!)</f>
        <v>#REF!</v>
      </c>
      <c r="L673" s="32" t="e">
        <f>IF(ISNA($A673),"",#REF!)</f>
        <v>#REF!</v>
      </c>
      <c r="M673" s="32" t="e">
        <f>IF(ISNA($A673),"",#REF!)</f>
        <v>#REF!</v>
      </c>
      <c r="O673" s="212" t="e">
        <f t="shared" si="160"/>
        <v>#REF!</v>
      </c>
      <c r="P673" s="212" t="e">
        <f t="shared" si="160"/>
        <v>#REF!</v>
      </c>
      <c r="Q673" s="212" t="e">
        <f t="shared" si="160"/>
        <v>#REF!</v>
      </c>
      <c r="R673" s="212" t="e">
        <f t="shared" si="160"/>
        <v>#REF!</v>
      </c>
      <c r="S673" s="212" t="e">
        <f t="shared" si="160"/>
        <v>#REF!</v>
      </c>
      <c r="T673" s="212" t="e">
        <f t="shared" si="160"/>
        <v>#REF!</v>
      </c>
    </row>
    <row r="674" spans="5:20" hidden="1" outlineLevel="1" x14ac:dyDescent="0.25">
      <c r="E674" s="2"/>
      <c r="F674" s="51"/>
      <c r="G674" s="2" t="e">
        <f>IF(ISNA($A674),"",#REF!)</f>
        <v>#REF!</v>
      </c>
      <c r="H674" s="32" t="e">
        <f>IF(ISNA($A674),"",#REF!)</f>
        <v>#REF!</v>
      </c>
      <c r="I674" s="32" t="e">
        <f>IF(ISNA($A674),"",#REF!)</f>
        <v>#REF!</v>
      </c>
      <c r="J674" s="32" t="e">
        <f>IF(ISNA($A674),"",#REF!)</f>
        <v>#REF!</v>
      </c>
      <c r="K674" s="32" t="e">
        <f>IF(ISNA($A674),"",#REF!)</f>
        <v>#REF!</v>
      </c>
      <c r="L674" s="32" t="e">
        <f>IF(ISNA($A674),"",#REF!)</f>
        <v>#REF!</v>
      </c>
      <c r="M674" s="32" t="e">
        <f>IF(ISNA($A674),"",#REF!)</f>
        <v>#REF!</v>
      </c>
      <c r="O674" s="212" t="e">
        <f t="shared" si="160"/>
        <v>#REF!</v>
      </c>
      <c r="P674" s="212" t="e">
        <f t="shared" si="160"/>
        <v>#REF!</v>
      </c>
      <c r="Q674" s="212" t="e">
        <f t="shared" si="160"/>
        <v>#REF!</v>
      </c>
      <c r="R674" s="212" t="e">
        <f t="shared" si="160"/>
        <v>#REF!</v>
      </c>
      <c r="S674" s="212" t="e">
        <f t="shared" si="160"/>
        <v>#REF!</v>
      </c>
      <c r="T674" s="212" t="e">
        <f t="shared" si="160"/>
        <v>#REF!</v>
      </c>
    </row>
    <row r="675" spans="5:20" hidden="1" outlineLevel="1" x14ac:dyDescent="0.25">
      <c r="E675" s="2"/>
      <c r="F675" s="51"/>
      <c r="G675" s="2" t="e">
        <f>IF(ISNA($A675),"",#REF!)</f>
        <v>#REF!</v>
      </c>
      <c r="H675" s="32" t="e">
        <f>IF(ISNA($A675),"",#REF!)</f>
        <v>#REF!</v>
      </c>
      <c r="I675" s="32" t="e">
        <f>IF(ISNA($A675),"",#REF!)</f>
        <v>#REF!</v>
      </c>
      <c r="J675" s="32" t="e">
        <f>IF(ISNA($A675),"",#REF!)</f>
        <v>#REF!</v>
      </c>
      <c r="K675" s="32" t="e">
        <f>IF(ISNA($A675),"",#REF!)</f>
        <v>#REF!</v>
      </c>
      <c r="L675" s="32" t="e">
        <f>IF(ISNA($A675),"",#REF!)</f>
        <v>#REF!</v>
      </c>
      <c r="M675" s="32" t="e">
        <f>IF(ISNA($A675),"",#REF!)</f>
        <v>#REF!</v>
      </c>
      <c r="O675" s="212" t="e">
        <f t="shared" si="160"/>
        <v>#REF!</v>
      </c>
      <c r="P675" s="212" t="e">
        <f t="shared" si="160"/>
        <v>#REF!</v>
      </c>
      <c r="Q675" s="212" t="e">
        <f t="shared" si="160"/>
        <v>#REF!</v>
      </c>
      <c r="R675" s="212" t="e">
        <f t="shared" si="160"/>
        <v>#REF!</v>
      </c>
      <c r="S675" s="212" t="e">
        <f t="shared" si="160"/>
        <v>#REF!</v>
      </c>
      <c r="T675" s="212" t="e">
        <f t="shared" si="160"/>
        <v>#REF!</v>
      </c>
    </row>
    <row r="676" spans="5:20" hidden="1" outlineLevel="1" x14ac:dyDescent="0.25">
      <c r="E676" s="55"/>
      <c r="F676" s="51"/>
      <c r="G676" s="51"/>
      <c r="H676" s="51"/>
      <c r="I676" s="51"/>
      <c r="J676" s="51"/>
      <c r="K676" s="51"/>
      <c r="L676" s="51"/>
      <c r="M676" s="51"/>
    </row>
    <row r="677" spans="5:20" hidden="1" outlineLevel="1" x14ac:dyDescent="0.25">
      <c r="E677" s="68"/>
      <c r="F677" s="51"/>
      <c r="G677" s="51"/>
      <c r="H677" s="51"/>
      <c r="I677" s="51"/>
      <c r="J677" s="51"/>
      <c r="K677" s="51"/>
      <c r="L677" s="51"/>
      <c r="M677" s="51"/>
    </row>
    <row r="678" spans="5:20" hidden="1" outlineLevel="1" x14ac:dyDescent="0.25">
      <c r="E678" s="68"/>
      <c r="F678" s="32"/>
      <c r="G678" s="38"/>
    </row>
    <row r="679" spans="5:20" collapsed="1" x14ac:dyDescent="0.25"/>
    <row r="680" spans="5:20" collapsed="1" x14ac:dyDescent="0.25"/>
    <row r="681" spans="5:20" ht="15.75" customHeight="1" x14ac:dyDescent="0.25"/>
    <row r="682" spans="5:20" ht="15.75" customHeight="1" x14ac:dyDescent="0.25"/>
    <row r="683" spans="5:20" ht="15.75" customHeight="1" x14ac:dyDescent="0.25"/>
    <row r="684" spans="5:20" ht="15.75" customHeight="1" x14ac:dyDescent="0.25"/>
    <row r="685" spans="5:20" ht="15.75" customHeight="1" x14ac:dyDescent="0.25"/>
    <row r="686" spans="5:20" ht="15.75" customHeight="1" x14ac:dyDescent="0.25"/>
    <row r="687" spans="5:20" ht="15.75" customHeight="1" x14ac:dyDescent="0.25"/>
    <row r="688" spans="5:20"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sheetData>
  <mergeCells count="21">
    <mergeCell ref="D628:T631"/>
    <mergeCell ref="H616:J616"/>
    <mergeCell ref="C347:T347"/>
    <mergeCell ref="C427:T427"/>
    <mergeCell ref="C569:T569"/>
    <mergeCell ref="C599:T599"/>
    <mergeCell ref="C2:T2"/>
    <mergeCell ref="E4:F4"/>
    <mergeCell ref="C14:T14"/>
    <mergeCell ref="C61:T61"/>
    <mergeCell ref="F64:H65"/>
    <mergeCell ref="K64:M65"/>
    <mergeCell ref="C88:T88"/>
    <mergeCell ref="L92:L93"/>
    <mergeCell ref="C104:T104"/>
    <mergeCell ref="C190:T190"/>
    <mergeCell ref="H272:K272"/>
    <mergeCell ref="D187:T188"/>
    <mergeCell ref="R272:S272"/>
    <mergeCell ref="F272:G272"/>
    <mergeCell ref="S194:T194"/>
  </mergeCells>
  <conditionalFormatting sqref="F627:H627">
    <cfRule type="colorScale" priority="313">
      <colorScale>
        <cfvo type="min"/>
        <cfvo type="max"/>
        <color rgb="FFFCFCFF"/>
        <color rgb="FF63BE7B"/>
      </colorScale>
    </cfRule>
  </conditionalFormatting>
  <conditionalFormatting sqref="I627:K627 K619:K626">
    <cfRule type="colorScale" priority="312">
      <colorScale>
        <cfvo type="min"/>
        <cfvo type="max"/>
        <color rgb="FFFCFCFF"/>
        <color rgb="FF63BE7B"/>
      </colorScale>
    </cfRule>
  </conditionalFormatting>
  <conditionalFormatting sqref="O637:T675">
    <cfRule type="colorScale" priority="311">
      <colorScale>
        <cfvo type="min"/>
        <cfvo type="percentile" val="50"/>
        <cfvo type="max"/>
        <color rgb="FFF8696B"/>
        <color rgb="FFFCFCFF"/>
        <color rgb="FF5A8AC6"/>
      </colorScale>
    </cfRule>
  </conditionalFormatting>
  <conditionalFormatting sqref="F613:F618">
    <cfRule type="colorScale" priority="310">
      <colorScale>
        <cfvo type="min"/>
        <cfvo type="max"/>
        <color rgb="FFFCFCFF"/>
        <color rgb="FF63BE7B"/>
      </colorScale>
    </cfRule>
  </conditionalFormatting>
  <conditionalFormatting sqref="P613:P618">
    <cfRule type="colorScale" priority="309">
      <colorScale>
        <cfvo type="min"/>
        <cfvo type="percentile" val="50"/>
        <cfvo type="max"/>
        <color rgb="FFF8696B"/>
        <color rgb="FFFCFCFF"/>
        <color rgb="FF5A8AC6"/>
      </colorScale>
    </cfRule>
  </conditionalFormatting>
  <conditionalFormatting sqref="P613:P618">
    <cfRule type="colorScale" priority="307">
      <colorScale>
        <cfvo type="min"/>
        <cfvo type="percentile" val="50"/>
        <cfvo type="max"/>
        <color rgb="FF5A8AC6"/>
        <color rgb="FFFCFCFF"/>
        <color rgb="FFF8696B"/>
      </colorScale>
    </cfRule>
  </conditionalFormatting>
  <conditionalFormatting sqref="O613:O618">
    <cfRule type="colorScale" priority="306">
      <colorScale>
        <cfvo type="min"/>
        <cfvo type="percentile" val="50"/>
        <cfvo type="max"/>
        <color rgb="FF5A8AC6"/>
        <color rgb="FFFCFCFF"/>
        <color rgb="FFF8696B"/>
      </colorScale>
    </cfRule>
  </conditionalFormatting>
  <conditionalFormatting sqref="N613:N618">
    <cfRule type="colorScale" priority="305">
      <colorScale>
        <cfvo type="min"/>
        <cfvo type="percentile" val="50"/>
        <cfvo type="max"/>
        <color rgb="FF5A8AC6"/>
        <color rgb="FFFCFCFF"/>
        <color rgb="FFF8696B"/>
      </colorScale>
    </cfRule>
  </conditionalFormatting>
  <conditionalFormatting sqref="M196:N196">
    <cfRule type="colorScale" priority="290">
      <colorScale>
        <cfvo type="min"/>
        <cfvo type="percentile" val="50"/>
        <cfvo type="max"/>
        <color rgb="FFF8696B"/>
        <color rgb="FFFCFCFF"/>
        <color rgb="FF63BE7B"/>
      </colorScale>
    </cfRule>
  </conditionalFormatting>
  <conditionalFormatting sqref="T136:T138">
    <cfRule type="colorScale" priority="287">
      <colorScale>
        <cfvo type="min"/>
        <cfvo type="percentile" val="50"/>
        <cfvo type="max"/>
        <color rgb="FFF8696B"/>
        <color rgb="FFFCFCFF"/>
        <color rgb="FF5A8AC6"/>
      </colorScale>
    </cfRule>
  </conditionalFormatting>
  <conditionalFormatting sqref="J197:J217">
    <cfRule type="colorScale" priority="286">
      <colorScale>
        <cfvo type="min"/>
        <cfvo type="percentile" val="50"/>
        <cfvo type="max"/>
        <color rgb="FFF8696B"/>
        <color rgb="FFFCFCFF"/>
        <color rgb="FF5A8AC6"/>
      </colorScale>
    </cfRule>
  </conditionalFormatting>
  <conditionalFormatting sqref="G467:G472 G477">
    <cfRule type="colorScale" priority="284">
      <colorScale>
        <cfvo type="min"/>
        <cfvo type="percentile" val="50"/>
        <cfvo type="max"/>
        <color rgb="FFF8696B"/>
        <color rgb="FFFCFCFF"/>
        <color rgb="FF63BE7B"/>
      </colorScale>
    </cfRule>
  </conditionalFormatting>
  <conditionalFormatting sqref="T197:T217">
    <cfRule type="colorScale" priority="283">
      <colorScale>
        <cfvo type="min"/>
        <cfvo type="max"/>
        <color rgb="FFFCFCFF"/>
        <color rgb="FFF8696B"/>
      </colorScale>
    </cfRule>
  </conditionalFormatting>
  <conditionalFormatting sqref="S197:S225">
    <cfRule type="colorScale" priority="282">
      <colorScale>
        <cfvo type="min"/>
        <cfvo type="max"/>
        <color rgb="FFFCFCFF"/>
        <color rgb="FFF8696B"/>
      </colorScale>
    </cfRule>
  </conditionalFormatting>
  <conditionalFormatting sqref="S274">
    <cfRule type="colorScale" priority="281">
      <colorScale>
        <cfvo type="min"/>
        <cfvo type="max"/>
        <color rgb="FFFCFCFF"/>
        <color rgb="FFF8696B"/>
      </colorScale>
    </cfRule>
  </conditionalFormatting>
  <conditionalFormatting sqref="N274:O345">
    <cfRule type="colorScale" priority="280">
      <colorScale>
        <cfvo type="min"/>
        <cfvo type="max"/>
        <color rgb="FFFCFCFF"/>
        <color rgb="FFF8696B"/>
      </colorScale>
    </cfRule>
  </conditionalFormatting>
  <conditionalFormatting sqref="P274:P345">
    <cfRule type="colorScale" priority="279">
      <colorScale>
        <cfvo type="min"/>
        <cfvo type="max"/>
        <color rgb="FFFCFCFF"/>
        <color rgb="FFF8696B"/>
      </colorScale>
    </cfRule>
  </conditionalFormatting>
  <conditionalFormatting sqref="G473:G474">
    <cfRule type="colorScale" priority="278">
      <colorScale>
        <cfvo type="min"/>
        <cfvo type="percentile" val="50"/>
        <cfvo type="max"/>
        <color rgb="FFF8696B"/>
        <color rgb="FFFCFCFF"/>
        <color rgb="FF63BE7B"/>
      </colorScale>
    </cfRule>
  </conditionalFormatting>
  <conditionalFormatting sqref="F575:H580">
    <cfRule type="colorScale" priority="277">
      <colorScale>
        <cfvo type="min"/>
        <cfvo type="max"/>
        <color rgb="FFFCFCFF"/>
        <color rgb="FF63BE7B"/>
      </colorScale>
    </cfRule>
  </conditionalFormatting>
  <conditionalFormatting sqref="I575:K580">
    <cfRule type="colorScale" priority="276">
      <colorScale>
        <cfvo type="min"/>
        <cfvo type="max"/>
        <color rgb="FFFCFCFF"/>
        <color rgb="FF63BE7B"/>
      </colorScale>
    </cfRule>
  </conditionalFormatting>
  <conditionalFormatting sqref="F588:H593">
    <cfRule type="colorScale" priority="275">
      <colorScale>
        <cfvo type="min"/>
        <cfvo type="max"/>
        <color rgb="FFFCFCFF"/>
        <color rgb="FF63BE7B"/>
      </colorScale>
    </cfRule>
  </conditionalFormatting>
  <conditionalFormatting sqref="G475">
    <cfRule type="colorScale" priority="292">
      <colorScale>
        <cfvo type="min"/>
        <cfvo type="percentile" val="50"/>
        <cfvo type="max"/>
        <color rgb="FFF8696B"/>
        <color rgb="FFFCFCFF"/>
        <color rgb="FF63BE7B"/>
      </colorScale>
    </cfRule>
  </conditionalFormatting>
  <conditionalFormatting sqref="G476">
    <cfRule type="colorScale" priority="274">
      <colorScale>
        <cfvo type="min"/>
        <cfvo type="percentile" val="50"/>
        <cfvo type="max"/>
        <color rgb="FFF8696B"/>
        <color rgb="FFFCFCFF"/>
        <color rgb="FF63BE7B"/>
      </colorScale>
    </cfRule>
  </conditionalFormatting>
  <conditionalFormatting sqref="F94:H99">
    <cfRule type="colorScale" priority="271">
      <colorScale>
        <cfvo type="min"/>
        <cfvo type="max"/>
        <color rgb="FFFCFCFF"/>
        <color rgb="FF63BE7B"/>
      </colorScale>
    </cfRule>
  </conditionalFormatting>
  <conditionalFormatting sqref="I94:L99">
    <cfRule type="colorScale" priority="270">
      <colorScale>
        <cfvo type="min"/>
        <cfvo type="max"/>
        <color rgb="FFFCFCFF"/>
        <color rgb="FF63BE7B"/>
      </colorScale>
    </cfRule>
  </conditionalFormatting>
  <conditionalFormatting sqref="S275:S278">
    <cfRule type="colorScale" priority="268">
      <colorScale>
        <cfvo type="min"/>
        <cfvo type="max"/>
        <color rgb="FFFCFCFF"/>
        <color rgb="FFF8696B"/>
      </colorScale>
    </cfRule>
  </conditionalFormatting>
  <conditionalFormatting sqref="S280:S287 Q197:Q225">
    <cfRule type="colorScale" priority="293">
      <colorScale>
        <cfvo type="min"/>
        <cfvo type="max"/>
        <color rgb="FFFCFCFF"/>
        <color rgb="FFF8696B"/>
      </colorScale>
    </cfRule>
  </conditionalFormatting>
  <conditionalFormatting sqref="T280:T328 R197:R217">
    <cfRule type="colorScale" priority="294">
      <colorScale>
        <cfvo type="min"/>
        <cfvo type="max"/>
        <color rgb="FFFCFCFF"/>
        <color rgb="FFF8696B"/>
      </colorScale>
    </cfRule>
  </conditionalFormatting>
  <conditionalFormatting sqref="J218:J221">
    <cfRule type="colorScale" priority="265">
      <colorScale>
        <cfvo type="min"/>
        <cfvo type="percentile" val="50"/>
        <cfvo type="max"/>
        <color rgb="FFF8696B"/>
        <color rgb="FFFCFCFF"/>
        <color rgb="FF5A8AC6"/>
      </colorScale>
    </cfRule>
  </conditionalFormatting>
  <conditionalFormatting sqref="T218:T221">
    <cfRule type="colorScale" priority="264">
      <colorScale>
        <cfvo type="min"/>
        <cfvo type="max"/>
        <color rgb="FFFCFCFF"/>
        <color rgb="FFF8696B"/>
      </colorScale>
    </cfRule>
  </conditionalFormatting>
  <conditionalFormatting sqref="S218:S221">
    <cfRule type="colorScale" priority="263">
      <colorScale>
        <cfvo type="min"/>
        <cfvo type="max"/>
        <color rgb="FFFCFCFF"/>
        <color rgb="FFF8696B"/>
      </colorScale>
    </cfRule>
  </conditionalFormatting>
  <conditionalFormatting sqref="Q218:Q221">
    <cfRule type="colorScale" priority="266">
      <colorScale>
        <cfvo type="min"/>
        <cfvo type="max"/>
        <color rgb="FFFCFCFF"/>
        <color rgb="FFF8696B"/>
      </colorScale>
    </cfRule>
  </conditionalFormatting>
  <conditionalFormatting sqref="R218:R221">
    <cfRule type="colorScale" priority="267">
      <colorScale>
        <cfvo type="min"/>
        <cfvo type="max"/>
        <color rgb="FFFCFCFF"/>
        <color rgb="FFF8696B"/>
      </colorScale>
    </cfRule>
  </conditionalFormatting>
  <conditionalFormatting sqref="J197:J221">
    <cfRule type="colorScale" priority="262">
      <colorScale>
        <cfvo type="min"/>
        <cfvo type="percentile" val="50"/>
        <cfvo type="max"/>
        <color rgb="FFF8696B"/>
        <color rgb="FFFCFCFF"/>
        <color rgb="FF5A8AC6"/>
      </colorScale>
    </cfRule>
  </conditionalFormatting>
  <conditionalFormatting sqref="T197:T221">
    <cfRule type="colorScale" priority="261">
      <colorScale>
        <cfvo type="min"/>
        <cfvo type="max"/>
        <color rgb="FFFCFCFF"/>
        <color rgb="FFF8696B"/>
      </colorScale>
    </cfRule>
  </conditionalFormatting>
  <conditionalFormatting sqref="R197:R221">
    <cfRule type="colorScale" priority="259">
      <colorScale>
        <cfvo type="min"/>
        <cfvo type="max"/>
        <color rgb="FFFCFCFF"/>
        <color rgb="FFF8696B"/>
      </colorScale>
    </cfRule>
  </conditionalFormatting>
  <conditionalFormatting sqref="Q197:Q225">
    <cfRule type="colorScale" priority="258">
      <colorScale>
        <cfvo type="min"/>
        <cfvo type="max"/>
        <color rgb="FFFCFCFF"/>
        <color rgb="FFF8696B"/>
      </colorScale>
    </cfRule>
  </conditionalFormatting>
  <conditionalFormatting sqref="J222:J225">
    <cfRule type="colorScale" priority="255">
      <colorScale>
        <cfvo type="min"/>
        <cfvo type="percentile" val="50"/>
        <cfvo type="max"/>
        <color rgb="FFF8696B"/>
        <color rgb="FFFCFCFF"/>
        <color rgb="FF5A8AC6"/>
      </colorScale>
    </cfRule>
  </conditionalFormatting>
  <conditionalFormatting sqref="T222:T225">
    <cfRule type="colorScale" priority="254">
      <colorScale>
        <cfvo type="min"/>
        <cfvo type="max"/>
        <color rgb="FFFCFCFF"/>
        <color rgb="FFF8696B"/>
      </colorScale>
    </cfRule>
  </conditionalFormatting>
  <conditionalFormatting sqref="S222:S225">
    <cfRule type="colorScale" priority="253">
      <colorScale>
        <cfvo type="min"/>
        <cfvo type="max"/>
        <color rgb="FFFCFCFF"/>
        <color rgb="FFF8696B"/>
      </colorScale>
    </cfRule>
  </conditionalFormatting>
  <conditionalFormatting sqref="Q222:Q225">
    <cfRule type="colorScale" priority="256">
      <colorScale>
        <cfvo type="min"/>
        <cfvo type="max"/>
        <color rgb="FFFCFCFF"/>
        <color rgb="FFF8696B"/>
      </colorScale>
    </cfRule>
  </conditionalFormatting>
  <conditionalFormatting sqref="R222:R225">
    <cfRule type="colorScale" priority="257">
      <colorScale>
        <cfvo type="min"/>
        <cfvo type="max"/>
        <color rgb="FFFCFCFF"/>
        <color rgb="FFF8696B"/>
      </colorScale>
    </cfRule>
  </conditionalFormatting>
  <conditionalFormatting sqref="J197:J225">
    <cfRule type="colorScale" priority="247">
      <colorScale>
        <cfvo type="min"/>
        <cfvo type="percentile" val="50"/>
        <cfvo type="max"/>
        <color rgb="FFF8696B"/>
        <color rgb="FFFCFCFF"/>
        <color rgb="FF5A8AC6"/>
      </colorScale>
    </cfRule>
  </conditionalFormatting>
  <conditionalFormatting sqref="R197:R225">
    <cfRule type="colorScale" priority="244">
      <colorScale>
        <cfvo type="min"/>
        <cfvo type="max"/>
        <color rgb="FFFCFCFF"/>
        <color rgb="FFF8696B"/>
      </colorScale>
    </cfRule>
  </conditionalFormatting>
  <conditionalFormatting sqref="T197:T225">
    <cfRule type="colorScale" priority="242">
      <colorScale>
        <cfvo type="min"/>
        <cfvo type="max"/>
        <color rgb="FFFCFCFF"/>
        <color rgb="FFF8696B"/>
      </colorScale>
    </cfRule>
  </conditionalFormatting>
  <conditionalFormatting sqref="S329:S332 S410:S425">
    <cfRule type="colorScale" priority="240">
      <colorScale>
        <cfvo type="min"/>
        <cfvo type="max"/>
        <color rgb="FFFCFCFF"/>
        <color rgb="FFF8696B"/>
      </colorScale>
    </cfRule>
  </conditionalFormatting>
  <conditionalFormatting sqref="T329:T332 T410:T425">
    <cfRule type="colorScale" priority="241">
      <colorScale>
        <cfvo type="min"/>
        <cfvo type="max"/>
        <color rgb="FFFCFCFF"/>
        <color rgb="FFF8696B"/>
      </colorScale>
    </cfRule>
  </conditionalFormatting>
  <conditionalFormatting sqref="L12">
    <cfRule type="expression" dxfId="27" priority="234">
      <formula>$L$12&gt;0.052</formula>
    </cfRule>
  </conditionalFormatting>
  <conditionalFormatting sqref="M274:M345">
    <cfRule type="colorScale" priority="203">
      <colorScale>
        <cfvo type="min"/>
        <cfvo type="max"/>
        <color rgb="FFFCFCFF"/>
        <color rgb="FFF8696B"/>
      </colorScale>
    </cfRule>
  </conditionalFormatting>
  <conditionalFormatting sqref="H477:J477 H467:J472 L467:P477">
    <cfRule type="colorScale" priority="295">
      <colorScale>
        <cfvo type="min"/>
        <cfvo type="percentile" val="50"/>
        <cfvo type="max"/>
        <color rgb="FFF8696B"/>
        <color rgb="FFFCFCFF"/>
        <color rgb="FF63BE7B"/>
      </colorScale>
    </cfRule>
  </conditionalFormatting>
  <conditionalFormatting sqref="G477:J477 G467:J472 L467:P477">
    <cfRule type="colorScale" priority="296">
      <colorScale>
        <cfvo type="min"/>
        <cfvo type="percentile" val="50"/>
        <cfvo type="max"/>
        <color rgb="FFF8696B"/>
        <color rgb="FFFCFCFF"/>
        <color rgb="FF63BE7B"/>
      </colorScale>
    </cfRule>
  </conditionalFormatting>
  <conditionalFormatting sqref="H473:J474 L473:P474">
    <cfRule type="colorScale" priority="297">
      <colorScale>
        <cfvo type="min"/>
        <cfvo type="percentile" val="50"/>
        <cfvo type="max"/>
        <color rgb="FFF8696B"/>
        <color rgb="FFFCFCFF"/>
        <color rgb="FF63BE7B"/>
      </colorScale>
    </cfRule>
  </conditionalFormatting>
  <conditionalFormatting sqref="G473:J474 L473:P474">
    <cfRule type="colorScale" priority="298">
      <colorScale>
        <cfvo type="min"/>
        <cfvo type="percentile" val="50"/>
        <cfvo type="max"/>
        <color rgb="FFF8696B"/>
        <color rgb="FFFCFCFF"/>
        <color rgb="FF63BE7B"/>
      </colorScale>
    </cfRule>
  </conditionalFormatting>
  <conditionalFormatting sqref="H475:J475 L475:P475">
    <cfRule type="colorScale" priority="299">
      <colorScale>
        <cfvo type="min"/>
        <cfvo type="percentile" val="50"/>
        <cfvo type="max"/>
        <color rgb="FFF8696B"/>
        <color rgb="FFFCFCFF"/>
        <color rgb="FF63BE7B"/>
      </colorScale>
    </cfRule>
  </conditionalFormatting>
  <conditionalFormatting sqref="G475:J475 L475:P475">
    <cfRule type="colorScale" priority="300">
      <colorScale>
        <cfvo type="min"/>
        <cfvo type="percentile" val="50"/>
        <cfvo type="max"/>
        <color rgb="FFF8696B"/>
        <color rgb="FFFCFCFF"/>
        <color rgb="FF63BE7B"/>
      </colorScale>
    </cfRule>
  </conditionalFormatting>
  <conditionalFormatting sqref="G467:J475 G477:J477 L467:P477">
    <cfRule type="colorScale" priority="301">
      <colorScale>
        <cfvo type="min"/>
        <cfvo type="percentile" val="50"/>
        <cfvo type="max"/>
        <color rgb="FFF8696B"/>
        <color rgb="FFFCFCFF"/>
        <color rgb="FF63BE7B"/>
      </colorScale>
    </cfRule>
  </conditionalFormatting>
  <conditionalFormatting sqref="H476:J476 L476:P476">
    <cfRule type="colorScale" priority="302">
      <colorScale>
        <cfvo type="min"/>
        <cfvo type="percentile" val="50"/>
        <cfvo type="max"/>
        <color rgb="FFF8696B"/>
        <color rgb="FFFCFCFF"/>
        <color rgb="FF63BE7B"/>
      </colorScale>
    </cfRule>
  </conditionalFormatting>
  <conditionalFormatting sqref="G476:J476 L476:P476">
    <cfRule type="colorScale" priority="303">
      <colorScale>
        <cfvo type="min"/>
        <cfvo type="percentile" val="50"/>
        <cfvo type="max"/>
        <color rgb="FFF8696B"/>
        <color rgb="FFFCFCFF"/>
        <color rgb="FF63BE7B"/>
      </colorScale>
    </cfRule>
  </conditionalFormatting>
  <conditionalFormatting sqref="G467:J477 L467:P477">
    <cfRule type="colorScale" priority="304">
      <colorScale>
        <cfvo type="min"/>
        <cfvo type="percentile" val="50"/>
        <cfvo type="max"/>
        <color rgb="FFF8696B"/>
        <color rgb="FFFCFCFF"/>
        <color rgb="FF63BE7B"/>
      </colorScale>
    </cfRule>
  </conditionalFormatting>
  <conditionalFormatting sqref="K467:K472 K477">
    <cfRule type="colorScale" priority="224">
      <colorScale>
        <cfvo type="min"/>
        <cfvo type="percentile" val="50"/>
        <cfvo type="max"/>
        <color rgb="FFF8696B"/>
        <color rgb="FFFCFCFF"/>
        <color rgb="FF63BE7B"/>
      </colorScale>
    </cfRule>
  </conditionalFormatting>
  <conditionalFormatting sqref="K467:K472">
    <cfRule type="colorScale" priority="225">
      <colorScale>
        <cfvo type="min"/>
        <cfvo type="percentile" val="50"/>
        <cfvo type="max"/>
        <color rgb="FFF8696B"/>
        <color rgb="FFFCFCFF"/>
        <color rgb="FF63BE7B"/>
      </colorScale>
    </cfRule>
  </conditionalFormatting>
  <conditionalFormatting sqref="K473:K474">
    <cfRule type="colorScale" priority="226">
      <colorScale>
        <cfvo type="min"/>
        <cfvo type="percentile" val="50"/>
        <cfvo type="max"/>
        <color rgb="FFF8696B"/>
        <color rgb="FFFCFCFF"/>
        <color rgb="FF63BE7B"/>
      </colorScale>
    </cfRule>
  </conditionalFormatting>
  <conditionalFormatting sqref="K475">
    <cfRule type="colorScale" priority="228">
      <colorScale>
        <cfvo type="min"/>
        <cfvo type="percentile" val="50"/>
        <cfvo type="max"/>
        <color rgb="FFF8696B"/>
        <color rgb="FFFCFCFF"/>
        <color rgb="FF63BE7B"/>
      </colorScale>
    </cfRule>
  </conditionalFormatting>
  <conditionalFormatting sqref="K467:K475 K477">
    <cfRule type="colorScale" priority="230">
      <colorScale>
        <cfvo type="min"/>
        <cfvo type="percentile" val="50"/>
        <cfvo type="max"/>
        <color rgb="FFF8696B"/>
        <color rgb="FFFCFCFF"/>
        <color rgb="FF63BE7B"/>
      </colorScale>
    </cfRule>
  </conditionalFormatting>
  <conditionalFormatting sqref="K476">
    <cfRule type="colorScale" priority="231">
      <colorScale>
        <cfvo type="min"/>
        <cfvo type="percentile" val="50"/>
        <cfvo type="max"/>
        <color rgb="FFF8696B"/>
        <color rgb="FFFCFCFF"/>
        <color rgb="FF63BE7B"/>
      </colorScale>
    </cfRule>
  </conditionalFormatting>
  <conditionalFormatting sqref="K467:K477">
    <cfRule type="colorScale" priority="233">
      <colorScale>
        <cfvo type="min"/>
        <cfvo type="percentile" val="50"/>
        <cfvo type="max"/>
        <color rgb="FFF8696B"/>
        <color rgb="FFFCFCFF"/>
        <color rgb="FF63BE7B"/>
      </colorScale>
    </cfRule>
  </conditionalFormatting>
  <conditionalFormatting sqref="G467:P477">
    <cfRule type="colorScale" priority="223">
      <colorScale>
        <cfvo type="min"/>
        <cfvo type="percentile" val="50"/>
        <cfvo type="max"/>
        <color rgb="FFF8696B"/>
        <color rgb="FFFCFCFF"/>
        <color rgb="FF63BE7B"/>
      </colorScale>
    </cfRule>
  </conditionalFormatting>
  <conditionalFormatting sqref="G483:P487">
    <cfRule type="colorScale" priority="222">
      <colorScale>
        <cfvo type="min"/>
        <cfvo type="percentile" val="50"/>
        <cfvo type="max"/>
        <color rgb="FFF8696B"/>
        <color rgb="FFFCFCFF"/>
        <color rgb="FF63BE7B"/>
      </colorScale>
    </cfRule>
  </conditionalFormatting>
  <conditionalFormatting sqref="F608:F612">
    <cfRule type="colorScale" priority="221">
      <colorScale>
        <cfvo type="min"/>
        <cfvo type="max"/>
        <color rgb="FFFCFCFF"/>
        <color rgb="FF63BE7B"/>
      </colorScale>
    </cfRule>
  </conditionalFormatting>
  <conditionalFormatting sqref="P607:P612">
    <cfRule type="colorScale" priority="217">
      <colorScale>
        <cfvo type="min"/>
        <cfvo type="percentile" val="50"/>
        <cfvo type="max"/>
        <color rgb="FFF8696B"/>
        <color rgb="FFFCFCFF"/>
        <color rgb="FF5A8AC6"/>
      </colorScale>
    </cfRule>
  </conditionalFormatting>
  <conditionalFormatting sqref="P607:P612">
    <cfRule type="colorScale" priority="215">
      <colorScale>
        <cfvo type="min"/>
        <cfvo type="percentile" val="50"/>
        <cfvo type="max"/>
        <color rgb="FF5A8AC6"/>
        <color rgb="FFFCFCFF"/>
        <color rgb="FFF8696B"/>
      </colorScale>
    </cfRule>
  </conditionalFormatting>
  <conditionalFormatting sqref="O606:O612">
    <cfRule type="colorScale" priority="214">
      <colorScale>
        <cfvo type="min"/>
        <cfvo type="percentile" val="50"/>
        <cfvo type="max"/>
        <color rgb="FF5A8AC6"/>
        <color rgb="FFFCFCFF"/>
        <color rgb="FFF8696B"/>
      </colorScale>
    </cfRule>
  </conditionalFormatting>
  <conditionalFormatting sqref="N143:N146">
    <cfRule type="colorScale" priority="201">
      <colorScale>
        <cfvo type="min"/>
        <cfvo type="max"/>
        <color rgb="FFFCFCFF"/>
        <color rgb="FFF8696B"/>
      </colorScale>
    </cfRule>
    <cfRule type="colorScale" priority="213">
      <colorScale>
        <cfvo type="min"/>
        <cfvo type="percentile" val="50"/>
        <cfvo type="max"/>
        <color rgb="FF5A8AC6"/>
        <color rgb="FFFCFCFF"/>
        <color rgb="FFF8696B"/>
      </colorScale>
    </cfRule>
  </conditionalFormatting>
  <conditionalFormatting sqref="O143:O146">
    <cfRule type="colorScale" priority="212">
      <colorScale>
        <cfvo type="min"/>
        <cfvo type="percentile" val="50"/>
        <cfvo type="max"/>
        <color rgb="FF5A8AC6"/>
        <color rgb="FFFCFCFF"/>
        <color rgb="FFF8696B"/>
      </colorScale>
    </cfRule>
  </conditionalFormatting>
  <conditionalFormatting sqref="P143:P146">
    <cfRule type="colorScale" priority="202">
      <colorScale>
        <cfvo type="min"/>
        <cfvo type="max"/>
        <color rgb="FFFCFCFF"/>
        <color rgb="FFF8696B"/>
      </colorScale>
    </cfRule>
    <cfRule type="colorScale" priority="211">
      <colorScale>
        <cfvo type="min"/>
        <cfvo type="percentile" val="50"/>
        <cfvo type="max"/>
        <color rgb="FF5A8AC6"/>
        <color rgb="FFFCFCFF"/>
        <color rgb="FFF8696B"/>
      </colorScale>
    </cfRule>
  </conditionalFormatting>
  <conditionalFormatting sqref="Q143:Q146">
    <cfRule type="colorScale" priority="210">
      <colorScale>
        <cfvo type="min"/>
        <cfvo type="percentile" val="50"/>
        <cfvo type="max"/>
        <color rgb="FF5A8AC6"/>
        <color rgb="FFFCFCFF"/>
        <color rgb="FFF8696B"/>
      </colorScale>
    </cfRule>
  </conditionalFormatting>
  <conditionalFormatting sqref="R143:R146">
    <cfRule type="colorScale" priority="209">
      <colorScale>
        <cfvo type="min"/>
        <cfvo type="percentile" val="50"/>
        <cfvo type="max"/>
        <color rgb="FF5A8AC6"/>
        <color rgb="FFFCFCFF"/>
        <color rgb="FFF8696B"/>
      </colorScale>
    </cfRule>
  </conditionalFormatting>
  <conditionalFormatting sqref="S143:S146">
    <cfRule type="colorScale" priority="208">
      <colorScale>
        <cfvo type="min"/>
        <cfvo type="percentile" val="50"/>
        <cfvo type="max"/>
        <color rgb="FF5A8AC6"/>
        <color rgb="FFFCFCFF"/>
        <color rgb="FFF8696B"/>
      </colorScale>
    </cfRule>
  </conditionalFormatting>
  <conditionalFormatting sqref="N606:N612">
    <cfRule type="colorScale" priority="207">
      <colorScale>
        <cfvo type="min"/>
        <cfvo type="percentile" val="50"/>
        <cfvo type="max"/>
        <color rgb="FF5A8AC6"/>
        <color rgb="FFFCFCFF"/>
        <color rgb="FFF8696B"/>
      </colorScale>
    </cfRule>
  </conditionalFormatting>
  <conditionalFormatting sqref="P197:P268">
    <cfRule type="colorScale" priority="206">
      <colorScale>
        <cfvo type="min"/>
        <cfvo type="max"/>
        <color rgb="FFFCFCFF"/>
        <color rgb="FFF8696B"/>
      </colorScale>
    </cfRule>
  </conditionalFormatting>
  <conditionalFormatting sqref="P274:P345">
    <cfRule type="colorScale" priority="205">
      <colorScale>
        <cfvo type="min"/>
        <cfvo type="max"/>
        <color rgb="FFFCFCFF"/>
        <color rgb="FFF8696B"/>
      </colorScale>
    </cfRule>
  </conditionalFormatting>
  <conditionalFormatting sqref="N274:P345">
    <cfRule type="colorScale" priority="204">
      <colorScale>
        <cfvo type="min"/>
        <cfvo type="max"/>
        <color rgb="FFFCFCFF"/>
        <color rgb="FFF8696B"/>
      </colorScale>
    </cfRule>
  </conditionalFormatting>
  <conditionalFormatting sqref="N349:O351">
    <cfRule type="colorScale" priority="193">
      <colorScale>
        <cfvo type="min"/>
        <cfvo type="max"/>
        <color rgb="FFFCFCFF"/>
        <color rgb="FFF8696B"/>
      </colorScale>
    </cfRule>
  </conditionalFormatting>
  <conditionalFormatting sqref="P349:P351">
    <cfRule type="colorScale" priority="192">
      <colorScale>
        <cfvo type="min"/>
        <cfvo type="max"/>
        <color rgb="FFFCFCFF"/>
        <color rgb="FFF8696B"/>
      </colorScale>
    </cfRule>
  </conditionalFormatting>
  <conditionalFormatting sqref="S349:S351 S333:S334 S359:S409">
    <cfRule type="colorScale" priority="194">
      <colorScale>
        <cfvo type="min"/>
        <cfvo type="max"/>
        <color rgb="FFFCFCFF"/>
        <color rgb="FFF8696B"/>
      </colorScale>
    </cfRule>
  </conditionalFormatting>
  <conditionalFormatting sqref="T349:T351 T333:T334 T359:T409">
    <cfRule type="colorScale" priority="195">
      <colorScale>
        <cfvo type="min"/>
        <cfvo type="max"/>
        <color rgb="FFFCFCFF"/>
        <color rgb="FFF8696B"/>
      </colorScale>
    </cfRule>
  </conditionalFormatting>
  <conditionalFormatting sqref="M349:M351">
    <cfRule type="colorScale" priority="189">
      <colorScale>
        <cfvo type="min"/>
        <cfvo type="max"/>
        <color rgb="FFFCFCFF"/>
        <color rgb="FFF8696B"/>
      </colorScale>
    </cfRule>
  </conditionalFormatting>
  <conditionalFormatting sqref="N349:P351">
    <cfRule type="colorScale" priority="190">
      <colorScale>
        <cfvo type="min"/>
        <cfvo type="max"/>
        <color rgb="FFFCFCFF"/>
        <color rgb="FFF8696B"/>
      </colorScale>
    </cfRule>
  </conditionalFormatting>
  <conditionalFormatting sqref="N117:O141">
    <cfRule type="colorScale" priority="188">
      <colorScale>
        <cfvo type="min"/>
        <cfvo type="percentile" val="50"/>
        <cfvo type="max"/>
        <color rgb="FFF8696B"/>
        <color rgb="FFFCFCFF"/>
        <color rgb="FF5A8AC6"/>
      </colorScale>
    </cfRule>
  </conditionalFormatting>
  <conditionalFormatting sqref="P117:Q137">
    <cfRule type="colorScale" priority="187">
      <colorScale>
        <cfvo type="min"/>
        <cfvo type="percentile" val="50"/>
        <cfvo type="max"/>
        <color rgb="FFF8696B"/>
        <color rgb="FFFCFCFF"/>
        <color rgb="FF5A8AC6"/>
      </colorScale>
    </cfRule>
  </conditionalFormatting>
  <conditionalFormatting sqref="S117:S141">
    <cfRule type="colorScale" priority="186">
      <colorScale>
        <cfvo type="min"/>
        <cfvo type="percentile" val="50"/>
        <cfvo type="max"/>
        <color rgb="FFF8696B"/>
        <color rgb="FFFCFCFF"/>
        <color rgb="FF5A8AC6"/>
      </colorScale>
    </cfRule>
  </conditionalFormatting>
  <conditionalFormatting sqref="R117:R147">
    <cfRule type="colorScale" priority="184">
      <colorScale>
        <cfvo type="min"/>
        <cfvo type="percentile" val="50"/>
        <cfvo type="max"/>
        <color rgb="FFF8696B"/>
        <color rgb="FFFCFCFF"/>
        <color rgb="FF5A8AC6"/>
      </colorScale>
    </cfRule>
  </conditionalFormatting>
  <conditionalFormatting sqref="O117:O137">
    <cfRule type="colorScale" priority="183">
      <colorScale>
        <cfvo type="min"/>
        <cfvo type="percentile" val="50"/>
        <cfvo type="max"/>
        <color rgb="FFF8696B"/>
        <color rgb="FFFCFCFF"/>
        <color rgb="FF5A8AC6"/>
      </colorScale>
    </cfRule>
  </conditionalFormatting>
  <conditionalFormatting sqref="Q117:Q137">
    <cfRule type="colorScale" priority="182">
      <colorScale>
        <cfvo type="min"/>
        <cfvo type="percentile" val="50"/>
        <cfvo type="max"/>
        <color rgb="FFF8696B"/>
        <color rgb="FFFCFCFF"/>
        <color rgb="FF5A8AC6"/>
      </colorScale>
    </cfRule>
  </conditionalFormatting>
  <conditionalFormatting sqref="O142">
    <cfRule type="colorScale" priority="181">
      <colorScale>
        <cfvo type="min"/>
        <cfvo type="percentile" val="50"/>
        <cfvo type="max"/>
        <color rgb="FFF8696B"/>
        <color rgb="FFFCFCFF"/>
        <color rgb="FF5A8AC6"/>
      </colorScale>
    </cfRule>
  </conditionalFormatting>
  <conditionalFormatting sqref="S142">
    <cfRule type="colorScale" priority="180">
      <colorScale>
        <cfvo type="min"/>
        <cfvo type="percentile" val="50"/>
        <cfvo type="max"/>
        <color rgb="FFF8696B"/>
        <color rgb="FFFCFCFF"/>
        <color rgb="FF5A8AC6"/>
      </colorScale>
    </cfRule>
  </conditionalFormatting>
  <conditionalFormatting sqref="R142">
    <cfRule type="colorScale" priority="178">
      <colorScale>
        <cfvo type="min"/>
        <cfvo type="percentile" val="50"/>
        <cfvo type="max"/>
        <color rgb="FFF8696B"/>
        <color rgb="FFFCFCFF"/>
        <color rgb="FF5A8AC6"/>
      </colorScale>
    </cfRule>
  </conditionalFormatting>
  <conditionalFormatting sqref="N142">
    <cfRule type="colorScale" priority="177">
      <colorScale>
        <cfvo type="min"/>
        <cfvo type="percentile" val="50"/>
        <cfvo type="max"/>
        <color rgb="FFF8696B"/>
        <color rgb="FFFCFCFF"/>
        <color rgb="FF5A8AC6"/>
      </colorScale>
    </cfRule>
  </conditionalFormatting>
  <conditionalFormatting sqref="N117:N146">
    <cfRule type="colorScale" priority="176">
      <colorScale>
        <cfvo type="min"/>
        <cfvo type="max"/>
        <color rgb="FFFCFCFF"/>
        <color rgb="FFF8696B"/>
      </colorScale>
    </cfRule>
  </conditionalFormatting>
  <conditionalFormatting sqref="O117:O146">
    <cfRule type="colorScale" priority="175">
      <colorScale>
        <cfvo type="min"/>
        <cfvo type="percentile" val="50"/>
        <cfvo type="max"/>
        <color rgb="FF5A8AC6"/>
        <color rgb="FFFCFCFF"/>
        <color rgb="FFF8696B"/>
      </colorScale>
    </cfRule>
  </conditionalFormatting>
  <conditionalFormatting sqref="P117:P146">
    <cfRule type="colorScale" priority="174">
      <colorScale>
        <cfvo type="min"/>
        <cfvo type="max"/>
        <color rgb="FFFCFCFF"/>
        <color rgb="FFF8696B"/>
      </colorScale>
    </cfRule>
  </conditionalFormatting>
  <conditionalFormatting sqref="Q117:Q146">
    <cfRule type="colorScale" priority="173">
      <colorScale>
        <cfvo type="min"/>
        <cfvo type="percentile" val="50"/>
        <cfvo type="max"/>
        <color rgb="FF5A8AC6"/>
        <color rgb="FFFCFCFF"/>
        <color rgb="FFF8696B"/>
      </colorScale>
    </cfRule>
  </conditionalFormatting>
  <conditionalFormatting sqref="R117:R147">
    <cfRule type="colorScale" priority="172">
      <colorScale>
        <cfvo type="min"/>
        <cfvo type="percentile" val="50"/>
        <cfvo type="max"/>
        <color rgb="FF5A8AC6"/>
        <color rgb="FFFCFCFF"/>
        <color rgb="FFF8696B"/>
      </colorScale>
    </cfRule>
  </conditionalFormatting>
  <conditionalFormatting sqref="S117:S146">
    <cfRule type="colorScale" priority="170">
      <colorScale>
        <cfvo type="min"/>
        <cfvo type="percentile" val="50"/>
        <cfvo type="max"/>
        <color rgb="FF5A8AC6"/>
        <color rgb="FFFCFCFF"/>
        <color rgb="FFF8696B"/>
      </colorScale>
    </cfRule>
    <cfRule type="colorScale" priority="171">
      <colorScale>
        <cfvo type="min"/>
        <cfvo type="percentile" val="50"/>
        <cfvo type="max"/>
        <color rgb="FF5A8AC6"/>
        <color rgb="FFFCFCFF"/>
        <color rgb="FFF8696B"/>
      </colorScale>
    </cfRule>
  </conditionalFormatting>
  <conditionalFormatting sqref="T274:T278">
    <cfRule type="expression" dxfId="26" priority="169">
      <formula>"&gt;0.03"</formula>
    </cfRule>
  </conditionalFormatting>
  <conditionalFormatting sqref="K353:P423">
    <cfRule type="colorScale" priority="168">
      <colorScale>
        <cfvo type="min"/>
        <cfvo type="max"/>
        <color rgb="FFFCFCFF"/>
        <color rgb="FFF8696B"/>
      </colorScale>
    </cfRule>
  </conditionalFormatting>
  <conditionalFormatting sqref="J353:J423">
    <cfRule type="colorScale" priority="167">
      <colorScale>
        <cfvo type="min"/>
        <cfvo type="max"/>
        <color rgb="FFFCFCFF"/>
        <color rgb="FFF8696B"/>
      </colorScale>
    </cfRule>
  </conditionalFormatting>
  <conditionalFormatting sqref="I353:I423">
    <cfRule type="colorScale" priority="166">
      <colorScale>
        <cfvo type="min"/>
        <cfvo type="max"/>
        <color rgb="FFFCFCFF"/>
        <color rgb="FFF8696B"/>
      </colorScale>
    </cfRule>
  </conditionalFormatting>
  <conditionalFormatting sqref="H353:H423">
    <cfRule type="colorScale" priority="165">
      <colorScale>
        <cfvo type="min"/>
        <cfvo type="max"/>
        <color rgb="FFFCFCFF"/>
        <color rgb="FFF8696B"/>
      </colorScale>
    </cfRule>
  </conditionalFormatting>
  <conditionalFormatting sqref="S352:S357">
    <cfRule type="colorScale" priority="164">
      <colorScale>
        <cfvo type="min"/>
        <cfvo type="max"/>
        <color rgb="FFFCFCFF"/>
        <color rgb="FFF8696B"/>
      </colorScale>
    </cfRule>
  </conditionalFormatting>
  <conditionalFormatting sqref="T352:T357">
    <cfRule type="colorScale" priority="163">
      <colorScale>
        <cfvo type="min"/>
        <cfvo type="max"/>
        <color rgb="FFFCFCFF"/>
        <color rgb="FFF8696B"/>
      </colorScale>
    </cfRule>
  </conditionalFormatting>
  <conditionalFormatting sqref="H353:H423">
    <cfRule type="colorScale" priority="158">
      <colorScale>
        <cfvo type="min"/>
        <cfvo type="max"/>
        <color rgb="FFFCFCFF"/>
        <color rgb="FFF8696B"/>
      </colorScale>
    </cfRule>
  </conditionalFormatting>
  <conditionalFormatting sqref="I353:I423">
    <cfRule type="colorScale" priority="157">
      <colorScale>
        <cfvo type="min"/>
        <cfvo type="max"/>
        <color rgb="FFFCFCFF"/>
        <color rgb="FFF8696B"/>
      </colorScale>
    </cfRule>
  </conditionalFormatting>
  <conditionalFormatting sqref="J353:J423">
    <cfRule type="colorScale" priority="156">
      <colorScale>
        <cfvo type="min"/>
        <cfvo type="max"/>
        <color rgb="FFFCFCFF"/>
        <color rgb="FFF8696B"/>
      </colorScale>
    </cfRule>
  </conditionalFormatting>
  <conditionalFormatting sqref="K353:P423">
    <cfRule type="colorScale" priority="155">
      <colorScale>
        <cfvo type="min"/>
        <cfvo type="max"/>
        <color rgb="FFFCFCFF"/>
        <color rgb="FFF8696B"/>
      </colorScale>
    </cfRule>
  </conditionalFormatting>
  <conditionalFormatting sqref="K424:P425">
    <cfRule type="colorScale" priority="154">
      <colorScale>
        <cfvo type="min"/>
        <cfvo type="max"/>
        <color rgb="FFFCFCFF"/>
        <color rgb="FFF8696B"/>
      </colorScale>
    </cfRule>
  </conditionalFormatting>
  <conditionalFormatting sqref="J424:J425">
    <cfRule type="colorScale" priority="153">
      <colorScale>
        <cfvo type="min"/>
        <cfvo type="max"/>
        <color rgb="FFFCFCFF"/>
        <color rgb="FFF8696B"/>
      </colorScale>
    </cfRule>
  </conditionalFormatting>
  <conditionalFormatting sqref="I424:I425">
    <cfRule type="colorScale" priority="152">
      <colorScale>
        <cfvo type="min"/>
        <cfvo type="max"/>
        <color rgb="FFFCFCFF"/>
        <color rgb="FFF8696B"/>
      </colorScale>
    </cfRule>
  </conditionalFormatting>
  <conditionalFormatting sqref="H424:H425">
    <cfRule type="colorScale" priority="151">
      <colorScale>
        <cfvo type="min"/>
        <cfvo type="max"/>
        <color rgb="FFFCFCFF"/>
        <color rgb="FFF8696B"/>
      </colorScale>
    </cfRule>
  </conditionalFormatting>
  <conditionalFormatting sqref="S226">
    <cfRule type="colorScale" priority="145">
      <colorScale>
        <cfvo type="min"/>
        <cfvo type="max"/>
        <color rgb="FFFCFCFF"/>
        <color rgb="FFF8696B"/>
      </colorScale>
    </cfRule>
  </conditionalFormatting>
  <conditionalFormatting sqref="Q226">
    <cfRule type="colorScale" priority="146">
      <colorScale>
        <cfvo type="min"/>
        <cfvo type="max"/>
        <color rgb="FFFCFCFF"/>
        <color rgb="FFF8696B"/>
      </colorScale>
    </cfRule>
  </conditionalFormatting>
  <conditionalFormatting sqref="J226">
    <cfRule type="colorScale" priority="140">
      <colorScale>
        <cfvo type="min"/>
        <cfvo type="percentile" val="50"/>
        <cfvo type="max"/>
        <color rgb="FFF8696B"/>
        <color rgb="FFFCFCFF"/>
        <color rgb="FF5A8AC6"/>
      </colorScale>
    </cfRule>
  </conditionalFormatting>
  <conditionalFormatting sqref="T226">
    <cfRule type="colorScale" priority="139">
      <colorScale>
        <cfvo type="min"/>
        <cfvo type="max"/>
        <color rgb="FFFCFCFF"/>
        <color rgb="FFF8696B"/>
      </colorScale>
    </cfRule>
  </conditionalFormatting>
  <conditionalFormatting sqref="R226">
    <cfRule type="colorScale" priority="142">
      <colorScale>
        <cfvo type="min"/>
        <cfvo type="max"/>
        <color rgb="FFFCFCFF"/>
        <color rgb="FFF8696B"/>
      </colorScale>
    </cfRule>
  </conditionalFormatting>
  <conditionalFormatting sqref="P226">
    <cfRule type="colorScale" priority="126">
      <colorScale>
        <cfvo type="min"/>
        <cfvo type="max"/>
        <color rgb="FFFCFCFF"/>
        <color rgb="FFF8696B"/>
      </colorScale>
    </cfRule>
  </conditionalFormatting>
  <conditionalFormatting sqref="S335:S345">
    <cfRule type="colorScale" priority="123">
      <colorScale>
        <cfvo type="min"/>
        <cfvo type="max"/>
        <color rgb="FFFCFCFF"/>
        <color rgb="FFF8696B"/>
      </colorScale>
    </cfRule>
  </conditionalFormatting>
  <conditionalFormatting sqref="T335:T345">
    <cfRule type="colorScale" priority="124">
      <colorScale>
        <cfvo type="min"/>
        <cfvo type="max"/>
        <color rgb="FFFCFCFF"/>
        <color rgb="FFF8696B"/>
      </colorScale>
    </cfRule>
  </conditionalFormatting>
  <conditionalFormatting sqref="H353:H425">
    <cfRule type="colorScale" priority="117">
      <colorScale>
        <cfvo type="min"/>
        <cfvo type="max"/>
        <color rgb="FFFCFCFF"/>
        <color rgb="FFF8696B"/>
      </colorScale>
    </cfRule>
  </conditionalFormatting>
  <conditionalFormatting sqref="I353:I425">
    <cfRule type="colorScale" priority="116">
      <colorScale>
        <cfvo type="min"/>
        <cfvo type="max"/>
        <color rgb="FFFCFCFF"/>
        <color rgb="FFF8696B"/>
      </colorScale>
    </cfRule>
  </conditionalFormatting>
  <conditionalFormatting sqref="J353:J425">
    <cfRule type="colorScale" priority="115">
      <colorScale>
        <cfvo type="min"/>
        <cfvo type="max"/>
        <color rgb="FFFCFCFF"/>
        <color rgb="FFF8696B"/>
      </colorScale>
    </cfRule>
  </conditionalFormatting>
  <conditionalFormatting sqref="K353:P425">
    <cfRule type="colorScale" priority="114">
      <colorScale>
        <cfvo type="min"/>
        <cfvo type="max"/>
        <color rgb="FFFCFCFF"/>
        <color rgb="FFF8696B"/>
      </colorScale>
    </cfRule>
  </conditionalFormatting>
  <conditionalFormatting sqref="Q197:Q226">
    <cfRule type="colorScale" priority="112">
      <colorScale>
        <cfvo type="min"/>
        <cfvo type="max"/>
        <color rgb="FFFCFCFF"/>
        <color rgb="FFF8696B"/>
      </colorScale>
    </cfRule>
  </conditionalFormatting>
  <conditionalFormatting sqref="R197:R226">
    <cfRule type="colorScale" priority="111">
      <colorScale>
        <cfvo type="min"/>
        <cfvo type="max"/>
        <color rgb="FFFCFCFF"/>
        <color rgb="FFF8696B"/>
      </colorScale>
    </cfRule>
  </conditionalFormatting>
  <conditionalFormatting sqref="S197:S226">
    <cfRule type="colorScale" priority="110">
      <colorScale>
        <cfvo type="min"/>
        <cfvo type="max"/>
        <color rgb="FFFCFCFF"/>
        <color rgb="FFF8696B"/>
      </colorScale>
    </cfRule>
  </conditionalFormatting>
  <conditionalFormatting sqref="T197:T226">
    <cfRule type="colorScale" priority="109">
      <colorScale>
        <cfvo type="min"/>
        <cfvo type="max"/>
        <color rgb="FFFCFCFF"/>
        <color rgb="FFF8696B"/>
      </colorScale>
    </cfRule>
  </conditionalFormatting>
  <conditionalFormatting sqref="M274:M345">
    <cfRule type="colorScale" priority="108">
      <colorScale>
        <cfvo type="min"/>
        <cfvo type="max"/>
        <color rgb="FFFCFCFF"/>
        <color rgb="FFF8696B"/>
      </colorScale>
    </cfRule>
  </conditionalFormatting>
  <conditionalFormatting sqref="N274:P345">
    <cfRule type="colorScale" priority="107">
      <colorScale>
        <cfvo type="min"/>
        <cfvo type="max"/>
        <color rgb="FFFCFCFF"/>
        <color rgb="FFF8696B"/>
      </colorScale>
    </cfRule>
  </conditionalFormatting>
  <conditionalFormatting sqref="S227:S268">
    <cfRule type="colorScale" priority="90">
      <colorScale>
        <cfvo type="min"/>
        <cfvo type="max"/>
        <color rgb="FFFCFCFF"/>
        <color rgb="FFF8696B"/>
      </colorScale>
    </cfRule>
  </conditionalFormatting>
  <conditionalFormatting sqref="Q227:Q268">
    <cfRule type="colorScale" priority="91">
      <colorScale>
        <cfvo type="min"/>
        <cfvo type="max"/>
        <color rgb="FFFCFCFF"/>
        <color rgb="FFF8696B"/>
      </colorScale>
    </cfRule>
  </conditionalFormatting>
  <conditionalFormatting sqref="J227:J268">
    <cfRule type="colorScale" priority="85">
      <colorScale>
        <cfvo type="min"/>
        <cfvo type="percentile" val="50"/>
        <cfvo type="max"/>
        <color rgb="FFF8696B"/>
        <color rgb="FFFCFCFF"/>
        <color rgb="FF5A8AC6"/>
      </colorScale>
    </cfRule>
  </conditionalFormatting>
  <conditionalFormatting sqref="T227:T268">
    <cfRule type="colorScale" priority="84">
      <colorScale>
        <cfvo type="min"/>
        <cfvo type="max"/>
        <color rgb="FFFCFCFF"/>
        <color rgb="FFF8696B"/>
      </colorScale>
    </cfRule>
  </conditionalFormatting>
  <conditionalFormatting sqref="R227:R268">
    <cfRule type="colorScale" priority="87">
      <colorScale>
        <cfvo type="min"/>
        <cfvo type="max"/>
        <color rgb="FFFCFCFF"/>
        <color rgb="FFF8696B"/>
      </colorScale>
    </cfRule>
  </conditionalFormatting>
  <conditionalFormatting sqref="P227:P268">
    <cfRule type="colorScale" priority="71">
      <colorScale>
        <cfvo type="min"/>
        <cfvo type="max"/>
        <color rgb="FFFCFCFF"/>
        <color rgb="FFF8696B"/>
      </colorScale>
    </cfRule>
  </conditionalFormatting>
  <conditionalFormatting sqref="J197:J268">
    <cfRule type="colorScale" priority="57">
      <colorScale>
        <cfvo type="min"/>
        <cfvo type="percentile" val="50"/>
        <cfvo type="max"/>
        <color rgb="FFF8696B"/>
        <color rgb="FFFCFCFF"/>
        <color rgb="FF5A8AC6"/>
      </colorScale>
    </cfRule>
  </conditionalFormatting>
  <conditionalFormatting sqref="Q197:Q268">
    <cfRule type="colorScale" priority="55">
      <colorScale>
        <cfvo type="min"/>
        <cfvo type="max"/>
        <color rgb="FFFCFCFF"/>
        <color rgb="FFF8696B"/>
      </colorScale>
    </cfRule>
  </conditionalFormatting>
  <conditionalFormatting sqref="R197:R268">
    <cfRule type="colorScale" priority="54">
      <colorScale>
        <cfvo type="min"/>
        <cfvo type="max"/>
        <color rgb="FFFCFCFF"/>
        <color rgb="FFF8696B"/>
      </colorScale>
    </cfRule>
  </conditionalFormatting>
  <conditionalFormatting sqref="S197:S268">
    <cfRule type="colorScale" priority="53">
      <colorScale>
        <cfvo type="min"/>
        <cfvo type="max"/>
        <color rgb="FFFCFCFF"/>
        <color rgb="FFF8696B"/>
      </colorScale>
    </cfRule>
  </conditionalFormatting>
  <conditionalFormatting sqref="T197:T268">
    <cfRule type="colorScale" priority="52">
      <colorScale>
        <cfvo type="min"/>
        <cfvo type="max"/>
        <color rgb="FFFCFCFF"/>
        <color rgb="FFF8696B"/>
      </colorScale>
    </cfRule>
  </conditionalFormatting>
  <conditionalFormatting sqref="E467:E477">
    <cfRule type="cellIs" dxfId="25" priority="27" operator="equal">
      <formula>0</formula>
    </cfRule>
  </conditionalFormatting>
  <conditionalFormatting sqref="E449:E459">
    <cfRule type="cellIs" dxfId="24" priority="26" operator="equal">
      <formula>0</formula>
    </cfRule>
  </conditionalFormatting>
  <conditionalFormatting sqref="E432:E444">
    <cfRule type="cellIs" dxfId="23" priority="25" operator="equal">
      <formula>0</formula>
    </cfRule>
  </conditionalFormatting>
  <conditionalFormatting sqref="G353:G424">
    <cfRule type="cellIs" dxfId="22" priority="24" operator="equal">
      <formula>0</formula>
    </cfRule>
  </conditionalFormatting>
  <conditionalFormatting sqref="G274:G345">
    <cfRule type="cellIs" dxfId="21" priority="23" operator="equal">
      <formula>0</formula>
    </cfRule>
  </conditionalFormatting>
  <conditionalFormatting sqref="G197">
    <cfRule type="cellIs" dxfId="20" priority="22" operator="equal">
      <formula>0</formula>
    </cfRule>
  </conditionalFormatting>
  <conditionalFormatting sqref="G117:G118">
    <cfRule type="cellIs" dxfId="19" priority="21" operator="equal">
      <formula>0</formula>
    </cfRule>
  </conditionalFormatting>
  <conditionalFormatting sqref="G494:G566">
    <cfRule type="cellIs" dxfId="18" priority="20" operator="equal">
      <formula>0</formula>
    </cfRule>
  </conditionalFormatting>
  <conditionalFormatting sqref="K197:P268">
    <cfRule type="cellIs" dxfId="17" priority="16" operator="between">
      <formula>-1000000</formula>
      <formula>-999999999</formula>
    </cfRule>
    <cfRule type="cellIs" dxfId="16" priority="17" operator="between">
      <formula>-1000</formula>
      <formula>-999999</formula>
    </cfRule>
    <cfRule type="cellIs" dxfId="15" priority="18" operator="between">
      <formula>1000000</formula>
      <formula>999999999</formula>
    </cfRule>
    <cfRule type="cellIs" dxfId="14" priority="19" operator="between">
      <formula>1000</formula>
      <formula>999999</formula>
    </cfRule>
  </conditionalFormatting>
  <conditionalFormatting sqref="I494:P566">
    <cfRule type="colorScale" priority="12">
      <colorScale>
        <cfvo type="min"/>
        <cfvo type="percentile" val="50"/>
        <cfvo type="max"/>
        <color rgb="FFF8696B"/>
        <color rgb="FFFCFCFF"/>
        <color rgb="FF63BE7B"/>
      </colorScale>
    </cfRule>
  </conditionalFormatting>
  <conditionalFormatting sqref="G198:G227">
    <cfRule type="cellIs" dxfId="13" priority="10" operator="equal">
      <formula>0</formula>
    </cfRule>
  </conditionalFormatting>
  <conditionalFormatting sqref="G119:G150">
    <cfRule type="cellIs" dxfId="12" priority="9" operator="equal">
      <formula>0</formula>
    </cfRule>
  </conditionalFormatting>
  <conditionalFormatting sqref="L432:L444">
    <cfRule type="expression" dxfId="11" priority="8">
      <formula>ABS(L432)&gt;500000</formula>
    </cfRule>
  </conditionalFormatting>
  <conditionalFormatting sqref="G151:G182">
    <cfRule type="cellIs" dxfId="10" priority="5" operator="equal">
      <formula>0</formula>
    </cfRule>
  </conditionalFormatting>
  <conditionalFormatting sqref="G228:G268">
    <cfRule type="cellIs" dxfId="9" priority="2" operator="equal">
      <formula>0</formula>
    </cfRule>
  </conditionalFormatting>
  <conditionalFormatting sqref="J449:S460">
    <cfRule type="colorScale" priority="199">
      <colorScale>
        <cfvo type="min"/>
        <cfvo type="max"/>
        <color rgb="FFFCFCFF"/>
        <color rgb="FF63BE7B"/>
      </colorScale>
    </cfRule>
  </conditionalFormatting>
  <conditionalFormatting sqref="N147:N186">
    <cfRule type="colorScale" priority="389">
      <colorScale>
        <cfvo type="min"/>
        <cfvo type="max"/>
        <color rgb="FFFCFCFF"/>
        <color rgb="FFF8696B"/>
      </colorScale>
    </cfRule>
    <cfRule type="colorScale" priority="390">
      <colorScale>
        <cfvo type="min"/>
        <cfvo type="percentile" val="50"/>
        <cfvo type="max"/>
        <color rgb="FF5A8AC6"/>
        <color rgb="FFFCFCFF"/>
        <color rgb="FFF8696B"/>
      </colorScale>
    </cfRule>
  </conditionalFormatting>
  <conditionalFormatting sqref="O147:O186">
    <cfRule type="colorScale" priority="391">
      <colorScale>
        <cfvo type="min"/>
        <cfvo type="percentile" val="50"/>
        <cfvo type="max"/>
        <color rgb="FF5A8AC6"/>
        <color rgb="FFFCFCFF"/>
        <color rgb="FFF8696B"/>
      </colorScale>
    </cfRule>
  </conditionalFormatting>
  <conditionalFormatting sqref="P147:P186">
    <cfRule type="colorScale" priority="392">
      <colorScale>
        <cfvo type="min"/>
        <cfvo type="max"/>
        <color rgb="FFFCFCFF"/>
        <color rgb="FFF8696B"/>
      </colorScale>
    </cfRule>
    <cfRule type="colorScale" priority="393">
      <colorScale>
        <cfvo type="min"/>
        <cfvo type="percentile" val="50"/>
        <cfvo type="max"/>
        <color rgb="FF5A8AC6"/>
        <color rgb="FFFCFCFF"/>
        <color rgb="FFF8696B"/>
      </colorScale>
    </cfRule>
  </conditionalFormatting>
  <conditionalFormatting sqref="Q147:Q186">
    <cfRule type="colorScale" priority="394">
      <colorScale>
        <cfvo type="min"/>
        <cfvo type="percentile" val="50"/>
        <cfvo type="max"/>
        <color rgb="FF5A8AC6"/>
        <color rgb="FFFCFCFF"/>
        <color rgb="FFF8696B"/>
      </colorScale>
    </cfRule>
  </conditionalFormatting>
  <conditionalFormatting sqref="R147:R186">
    <cfRule type="colorScale" priority="395">
      <colorScale>
        <cfvo type="min"/>
        <cfvo type="percentile" val="50"/>
        <cfvo type="max"/>
        <color rgb="FF5A8AC6"/>
        <color rgb="FFFCFCFF"/>
        <color rgb="FFF8696B"/>
      </colorScale>
    </cfRule>
  </conditionalFormatting>
  <conditionalFormatting sqref="S147:S186">
    <cfRule type="colorScale" priority="396">
      <colorScale>
        <cfvo type="min"/>
        <cfvo type="percentile" val="50"/>
        <cfvo type="max"/>
        <color rgb="FF5A8AC6"/>
        <color rgb="FFFCFCFF"/>
        <color rgb="FFF8696B"/>
      </colorScale>
    </cfRule>
  </conditionalFormatting>
  <conditionalFormatting sqref="N147:N186">
    <cfRule type="colorScale" priority="397">
      <colorScale>
        <cfvo type="min"/>
        <cfvo type="max"/>
        <color rgb="FFFCFCFF"/>
        <color rgb="FFF8696B"/>
      </colorScale>
    </cfRule>
  </conditionalFormatting>
  <conditionalFormatting sqref="P147:P186">
    <cfRule type="colorScale" priority="398">
      <colorScale>
        <cfvo type="min"/>
        <cfvo type="max"/>
        <color rgb="FFFCFCFF"/>
        <color rgb="FFF8696B"/>
      </colorScale>
    </cfRule>
  </conditionalFormatting>
  <conditionalFormatting sqref="N117:N186">
    <cfRule type="colorScale" priority="399">
      <colorScale>
        <cfvo type="min"/>
        <cfvo type="max"/>
        <color rgb="FFFCFCFF"/>
        <color rgb="FFF8696B"/>
      </colorScale>
    </cfRule>
  </conditionalFormatting>
  <conditionalFormatting sqref="O117:O186">
    <cfRule type="colorScale" priority="400">
      <colorScale>
        <cfvo type="min"/>
        <cfvo type="percentile" val="50"/>
        <cfvo type="max"/>
        <color rgb="FF5A8AC6"/>
        <color rgb="FFFCFCFF"/>
        <color rgb="FFF8696B"/>
      </colorScale>
    </cfRule>
    <cfRule type="colorScale" priority="401">
      <colorScale>
        <cfvo type="min"/>
        <cfvo type="max"/>
        <color rgb="FFFCFCFF"/>
        <color rgb="FFF8696B"/>
      </colorScale>
    </cfRule>
  </conditionalFormatting>
  <conditionalFormatting sqref="P117:P186">
    <cfRule type="colorScale" priority="402">
      <colorScale>
        <cfvo type="min"/>
        <cfvo type="max"/>
        <color rgb="FFFCFCFF"/>
        <color rgb="FFF8696B"/>
      </colorScale>
    </cfRule>
  </conditionalFormatting>
  <conditionalFormatting sqref="Q117:Q186">
    <cfRule type="colorScale" priority="403">
      <colorScale>
        <cfvo type="min"/>
        <cfvo type="percentile" val="50"/>
        <cfvo type="max"/>
        <color rgb="FF5A8AC6"/>
        <color rgb="FFFCFCFF"/>
        <color rgb="FFF8696B"/>
      </colorScale>
    </cfRule>
  </conditionalFormatting>
  <conditionalFormatting sqref="R117:R186">
    <cfRule type="colorScale" priority="404">
      <colorScale>
        <cfvo type="min"/>
        <cfvo type="percentile" val="50"/>
        <cfvo type="max"/>
        <color rgb="FF5A8AC6"/>
        <color rgb="FFFCFCFF"/>
        <color rgb="FFF8696B"/>
      </colorScale>
    </cfRule>
  </conditionalFormatting>
  <conditionalFormatting sqref="S117:S186">
    <cfRule type="colorScale" priority="405">
      <colorScale>
        <cfvo type="min"/>
        <cfvo type="percentile" val="50"/>
        <cfvo type="max"/>
        <color rgb="FF5A8AC6"/>
        <color rgb="FFFCFCFF"/>
        <color rgb="FFF8696B"/>
      </colorScale>
    </cfRule>
  </conditionalFormatting>
  <conditionalFormatting sqref="G183:G186">
    <cfRule type="cellIs" dxfId="8" priority="1" operator="equal">
      <formula>0</formula>
    </cfRule>
  </conditionalFormatting>
  <pageMargins left="0.25" right="0.25" top="0.25" bottom="0.25" header="0.05" footer="0.05"/>
  <pageSetup scale="56" orientation="portrait" horizontalDpi="4294967295" verticalDpi="4294967295" r:id="rId1"/>
  <headerFooter>
    <oddFooter>&amp;CPage &amp;P</oddFooter>
  </headerFooter>
  <rowBreaks count="9" manualBreakCount="9">
    <brk id="102" min="1" max="19" man="1"/>
    <brk id="188" min="1" max="19" man="1"/>
    <brk id="269" min="1" max="19" man="1"/>
    <brk id="346" min="1" max="19" man="1"/>
    <brk id="425" min="1" max="19" man="1"/>
    <brk id="488" min="1" max="19" man="1"/>
    <brk id="568" min="1" max="19" man="1"/>
    <brk id="679" min="1" max="19" man="1"/>
    <brk id="749" min="1" max="1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9" tint="-0.249977111117893"/>
  </sheetPr>
  <dimension ref="A6:AY198"/>
  <sheetViews>
    <sheetView view="pageBreakPreview" topLeftCell="A84" zoomScale="60" zoomScaleNormal="85" zoomScalePageLayoutView="25" workbookViewId="0">
      <selection activeCell="M118" sqref="M118"/>
    </sheetView>
  </sheetViews>
  <sheetFormatPr defaultRowHeight="15" x14ac:dyDescent="0.25"/>
  <cols>
    <col min="14" max="14" width="3.5703125" customWidth="1"/>
    <col min="18" max="18" width="3.5703125" customWidth="1"/>
    <col min="31" max="31" width="24.28515625" bestFit="1" customWidth="1"/>
    <col min="33" max="33" width="6" bestFit="1" customWidth="1"/>
    <col min="34" max="34" width="8.5703125" customWidth="1"/>
    <col min="37" max="37" width="29" bestFit="1" customWidth="1"/>
    <col min="38" max="38" width="28" bestFit="1" customWidth="1"/>
    <col min="39" max="39" width="6" customWidth="1"/>
    <col min="40" max="40" width="6.5703125" bestFit="1" customWidth="1"/>
    <col min="44" max="44" width="7.140625" customWidth="1"/>
  </cols>
  <sheetData>
    <row r="6" spans="9:51" x14ac:dyDescent="0.25">
      <c r="V6" s="378" t="s">
        <v>89</v>
      </c>
      <c r="W6" t="s">
        <v>288</v>
      </c>
    </row>
    <row r="7" spans="9:51" x14ac:dyDescent="0.25">
      <c r="W7" t="s">
        <v>289</v>
      </c>
    </row>
    <row r="8" spans="9:51" x14ac:dyDescent="0.25">
      <c r="V8" s="378" t="s">
        <v>89</v>
      </c>
      <c r="W8" t="s">
        <v>290</v>
      </c>
    </row>
    <row r="9" spans="9:51" x14ac:dyDescent="0.25">
      <c r="V9" s="378" t="s">
        <v>89</v>
      </c>
      <c r="W9" t="s">
        <v>291</v>
      </c>
    </row>
    <row r="12" spans="9:51" x14ac:dyDescent="0.25">
      <c r="K12" s="379"/>
      <c r="L12" s="379"/>
      <c r="M12" s="379"/>
      <c r="O12" s="380"/>
    </row>
    <row r="13" spans="9:51" x14ac:dyDescent="0.25">
      <c r="K13" s="376"/>
      <c r="L13" s="376"/>
      <c r="M13" s="376"/>
      <c r="AY13" s="150"/>
    </row>
    <row r="14" spans="9:51" x14ac:dyDescent="0.25">
      <c r="AY14" s="150"/>
    </row>
    <row r="15" spans="9:51" x14ac:dyDescent="0.25">
      <c r="AY15" s="150"/>
    </row>
    <row r="16" spans="9:51" s="377" customFormat="1" ht="6" customHeight="1" thickBot="1" x14ac:dyDescent="0.3">
      <c r="I16" s="2"/>
      <c r="J16" s="3"/>
      <c r="V16"/>
      <c r="W16"/>
      <c r="X16"/>
      <c r="Y16"/>
      <c r="AY16" s="13"/>
    </row>
    <row r="17" spans="1:51" s="377" customFormat="1" ht="20.25" thickBot="1" x14ac:dyDescent="0.3">
      <c r="G17" s="439" t="s">
        <v>284</v>
      </c>
      <c r="H17" s="440"/>
      <c r="I17" s="440"/>
      <c r="J17" s="440"/>
      <c r="K17" s="440"/>
      <c r="L17" s="440"/>
      <c r="M17" s="440"/>
      <c r="N17" s="440"/>
      <c r="O17" s="440"/>
      <c r="P17" s="440"/>
      <c r="Q17" s="440"/>
      <c r="R17" s="440"/>
      <c r="S17" s="440"/>
      <c r="T17" s="440"/>
      <c r="U17" s="440"/>
      <c r="V17"/>
      <c r="W17"/>
      <c r="X17"/>
      <c r="Y17"/>
      <c r="AA17" s="381"/>
      <c r="AY17" s="13"/>
    </row>
    <row r="18" spans="1:51" s="377" customFormat="1" ht="6" customHeight="1" x14ac:dyDescent="0.25">
      <c r="I18" s="2"/>
      <c r="J18" s="3"/>
      <c r="V18"/>
      <c r="W18"/>
      <c r="X18"/>
      <c r="Y18"/>
    </row>
    <row r="19" spans="1:51" x14ac:dyDescent="0.25">
      <c r="G19" s="382" t="s">
        <v>0</v>
      </c>
      <c r="H19" s="441">
        <f>asof2</f>
        <v>43397</v>
      </c>
      <c r="I19" s="441"/>
      <c r="K19" s="121" t="s">
        <v>292</v>
      </c>
      <c r="L19" s="121"/>
      <c r="M19" s="121"/>
      <c r="O19" s="121" t="s">
        <v>76</v>
      </c>
      <c r="P19" s="121"/>
      <c r="Q19" s="121"/>
      <c r="S19" s="121" t="s">
        <v>293</v>
      </c>
      <c r="T19" s="121"/>
      <c r="U19" s="121"/>
      <c r="Z19" s="383"/>
      <c r="AD19" s="384">
        <f ca="1">INT(SUMPRODUCT((OFFSET($AL$20,1,0,$AJ$19,1)&lt;&gt;"")*1/COUNTIF(OFFSET($AL$20,1,0,$AJ$19,1),OFFSET($AL$20,1,0,$AJ$19,1))))</f>
        <v>14</v>
      </c>
      <c r="AF19" s="385"/>
      <c r="AJ19" s="386">
        <f>investment_themes_count</f>
        <v>43</v>
      </c>
    </row>
    <row r="20" spans="1:51" ht="30" x14ac:dyDescent="0.25">
      <c r="G20" s="387" t="s">
        <v>294</v>
      </c>
      <c r="H20" s="388">
        <f ca="1">+AD19-1</f>
        <v>13</v>
      </c>
      <c r="I20" s="389"/>
      <c r="J20" s="389"/>
      <c r="K20" s="390" t="s">
        <v>213</v>
      </c>
      <c r="L20" s="390" t="s">
        <v>295</v>
      </c>
      <c r="M20" s="390" t="s">
        <v>50</v>
      </c>
      <c r="N20" s="389"/>
      <c r="O20" s="390" t="s">
        <v>213</v>
      </c>
      <c r="P20" s="390" t="s">
        <v>295</v>
      </c>
      <c r="Q20" s="390" t="s">
        <v>50</v>
      </c>
      <c r="R20" s="389"/>
      <c r="S20" s="390"/>
      <c r="T20" s="390" t="s">
        <v>6</v>
      </c>
      <c r="U20" s="390" t="s">
        <v>296</v>
      </c>
      <c r="Z20" s="383"/>
      <c r="AC20" s="378"/>
      <c r="AD20" t="s">
        <v>297</v>
      </c>
      <c r="AE20" t="s">
        <v>284</v>
      </c>
      <c r="AF20" t="s">
        <v>298</v>
      </c>
      <c r="AG20" s="389" t="s">
        <v>299</v>
      </c>
      <c r="AH20" s="389" t="s">
        <v>300</v>
      </c>
      <c r="AJ20" t="s">
        <v>297</v>
      </c>
      <c r="AK20" t="s">
        <v>94</v>
      </c>
      <c r="AL20" t="s">
        <v>261</v>
      </c>
      <c r="AM20" t="s">
        <v>297</v>
      </c>
      <c r="AN20" t="s">
        <v>301</v>
      </c>
      <c r="AO20" s="391" t="s">
        <v>302</v>
      </c>
      <c r="AP20" s="391" t="s">
        <v>303</v>
      </c>
    </row>
    <row r="21" spans="1:51" ht="15.75" x14ac:dyDescent="0.25">
      <c r="A21" t="s">
        <v>304</v>
      </c>
      <c r="B21">
        <f ca="1">+AD19*2+AJ19</f>
        <v>71</v>
      </c>
      <c r="D21" s="378" t="s">
        <v>305</v>
      </c>
      <c r="E21" t="s">
        <v>306</v>
      </c>
      <c r="J21" s="377" t="s">
        <v>77</v>
      </c>
      <c r="K21" s="392">
        <f ca="1">+Report!$P$116</f>
        <v>3.1744889320566773E-2</v>
      </c>
      <c r="L21" s="392">
        <f ca="1">+Report!$R$196</f>
        <v>0.20791817446917316</v>
      </c>
      <c r="M21" s="392">
        <f ca="1">+Report!J352</f>
        <v>5.3240641420444226E-2</v>
      </c>
      <c r="O21" s="393">
        <v>1</v>
      </c>
      <c r="P21" s="393">
        <v>1</v>
      </c>
      <c r="Q21" s="393">
        <v>1</v>
      </c>
      <c r="S21" s="194"/>
      <c r="T21" s="394">
        <f ca="1">SUM(OFFSET($T$22,1,0,$B$21,1))/2</f>
        <v>-2587559.7884978075</v>
      </c>
      <c r="U21" s="393">
        <v>1</v>
      </c>
      <c r="Z21" s="383"/>
      <c r="AC21" s="378"/>
      <c r="AD21">
        <v>1</v>
      </c>
      <c r="AE21" t="str">
        <f ca="1">IF(ISNA($AD21),NA(),OFFSET($AL$20,MATCH($AD21,OFFSET($AP$20,1,0,$AJ$19,1),0),0,1,1))</f>
        <v>USD FI RISK PREMIA</v>
      </c>
      <c r="AF21">
        <f t="shared" ref="AF21:AF23" ca="1" si="0">IF(ISNA($AD21),NA(),SUMPRODUCT(1*($AE21=OFFSET($AL$20,1,0,$AJ$19,1))))</f>
        <v>3</v>
      </c>
      <c r="AG21">
        <f ca="1">IF(ISNA($AD21),NA(),AF21+2)</f>
        <v>5</v>
      </c>
      <c r="AH21">
        <f>IF(ISNA($AD21),NA(),1)</f>
        <v>1</v>
      </c>
      <c r="AJ21">
        <v>1</v>
      </c>
      <c r="AK21" s="386" t="str">
        <f t="array" aca="1" ref="AK21:AL132" ca="1">OFFSET(investment_themes,1,0,,)</f>
        <v>10Y-2Y CMS CURVE CAP</v>
      </c>
      <c r="AL21" s="386" t="str">
        <f ca="1"/>
        <v>USD FI RISK PREMIA</v>
      </c>
      <c r="AM21">
        <f ca="1">+IF(ISNA($AJ21),"",COUNTIF(OFFSET($AL21,0,0,-$AJ21,1),$AL21))</f>
        <v>1</v>
      </c>
      <c r="AN21">
        <f ca="1">+IF(ISNA($AJ21),"",OFFSET($AH$20,MATCH($AL21,OFFSET($AE$20,1,0,$AD$19,1),0),0,1,1)+AM21)</f>
        <v>2</v>
      </c>
      <c r="AO21">
        <v>1</v>
      </c>
      <c r="AP21">
        <f ca="1">+IF(ISNA($AJ21),"",IF($AO21=0,0,IF($AJ21=1,IF($AL21="CASH MANAGEMENT",$AD$19,$AO21),IF($AL21="CASH MANAGEMENT",$AD$19,IF(MAX(OFFSET(AP21,-1,0,-$AJ21,1))=$AD$19,$AO21-1,$AO21)))))</f>
        <v>1</v>
      </c>
      <c r="AR21" s="395"/>
    </row>
    <row r="22" spans="1:51" x14ac:dyDescent="0.25">
      <c r="B22">
        <v>1</v>
      </c>
      <c r="D22">
        <v>1</v>
      </c>
      <c r="E22" t="str">
        <f ca="1">+IF(ISNA($B22),"",IF($G22&lt;&gt;"","",IF(#REF!="",1,1+#REF!)))</f>
        <v/>
      </c>
      <c r="G22" s="382" t="str">
        <f t="shared" ref="G22:G85" ca="1" si="1">+IF(ISNA($B22),"",_xlfn.IFNA(OFFSET($AE$20,MATCH($B22,OFFSET($AH$20,1,0,$AD$19,1),0),0,1,1),""))</f>
        <v>USD FI RISK PREMIA</v>
      </c>
      <c r="J22" s="378" t="str">
        <f ca="1">+IF(ISNA($B22),"",IF($G22&lt;&gt;"","",IF($E22&gt;OFFSET($AF$20,MATCH($D22,OFFSET($AD$20,1,0,$AD$19,1),0),0,1,1),"Total",OFFSET($AK$20,MATCH($B22,OFFSET($AN$20,1,0,$AJ$19,1),0),0,1,1))))</f>
        <v/>
      </c>
      <c r="Z22" s="383"/>
      <c r="AC22" s="378"/>
      <c r="AD22">
        <f ca="1">+IF(OR(ISNA(AD21),1+AD21&gt;$AD$19),NA(),1+AD21)</f>
        <v>2</v>
      </c>
      <c r="AE22" t="str">
        <f t="shared" ref="AE22:AE48" ca="1" si="2">IF(ISNA($AD22),NA(),OFFSET($AL$20,MATCH($AD22,OFFSET($AP$20,1,0,$AJ$19,1),0),0,1,1))</f>
        <v>US FI SEQUENTIAL FED</v>
      </c>
      <c r="AF22">
        <f t="shared" ca="1" si="0"/>
        <v>8</v>
      </c>
      <c r="AG22">
        <f ca="1">IF(ISNA($AD22),NA(),AF22+2+AG21)</f>
        <v>15</v>
      </c>
      <c r="AH22">
        <f t="shared" ref="AH22:AH48" ca="1" si="3">IF(ISNA($AD22),NA(),ROUND(AG21+1,0))</f>
        <v>6</v>
      </c>
      <c r="AJ22">
        <f>+IF(OR(ISNA(AJ21),1+AJ21&gt;$AJ$19),NA(),1+AJ21)</f>
        <v>2</v>
      </c>
      <c r="AK22" s="386" t="str">
        <f ca="1"/>
        <v>USD MIDCURVE WEDGE 18M3Y VS 18M1Y/18M1Y1Y/18M2Y1Y</v>
      </c>
      <c r="AL22" s="386" t="str">
        <f ca="1"/>
        <v>USD FI RISK PREMIA</v>
      </c>
      <c r="AM22">
        <f t="shared" ref="AM22:AM85" ca="1" si="4">+IF(ISNA($AJ22),"",COUNTIF(OFFSET($AL22,0,0,-$AJ22,1),$AL22))</f>
        <v>2</v>
      </c>
      <c r="AN22">
        <f t="shared" ref="AN22:AN85" ca="1" si="5">+IF(ISNA($AJ22),"",OFFSET($AH$20,MATCH($AL22,OFFSET($AE$20,1,0,$AD$19,1),0),0,1,1)+AM22)</f>
        <v>3</v>
      </c>
      <c r="AO22">
        <f ca="1">+IF(ISNA($AJ22),"",IF(ISNA(MATCH($AL22,OFFSET($AL22,-1,0,-$AJ22,1),0)),1+MAX(OFFSET($AO22,-1,0,-$AJ22,1)),0))</f>
        <v>0</v>
      </c>
      <c r="AP22">
        <f t="shared" ref="AP22:AP85" ca="1" si="6">+IF(ISNA($AJ22),"",IF($AO22=0,0,IF($AJ22=1,IF($AL22="CASH MANAGEMENT",$AD$19,$AO22),IF($AL22="CASH MANAGEMENT",$AD$19,IF(MAX(OFFSET(AP22,-1,0,-$AJ22,1))=$AD$19,$AO22-1,$AO22)))))</f>
        <v>0</v>
      </c>
      <c r="AR22" s="395"/>
    </row>
    <row r="23" spans="1:51" x14ac:dyDescent="0.25">
      <c r="A23" t="str">
        <f ca="1">+IF(ISNA($B23),"",IF($G23&lt;&gt;"","",OFFSET($AK$20,MATCH($B23,OFFSET($AN$20,1,0,$AJ$19,1),0),0,1,1)))</f>
        <v>10Y-2Y CMS CURVE CAP</v>
      </c>
      <c r="B23">
        <f t="shared" ref="B23:B86" ca="1" si="7">+IF(OR(ISNA(B22),1+B22&gt;$B$21),NA(),1+B22)</f>
        <v>2</v>
      </c>
      <c r="D23">
        <f ca="1">+IF(ISNA($B23),"",IF(G23="",D22,1+D22))</f>
        <v>1</v>
      </c>
      <c r="E23">
        <f t="shared" ref="E23:E86" ca="1" si="8">+IF(ISNA($B23),"",IF($G23&lt;&gt;"","",IF(E22="",1,1+E22)))</f>
        <v>1</v>
      </c>
      <c r="G23" s="382" t="str">
        <f t="shared" ca="1" si="1"/>
        <v/>
      </c>
      <c r="J23" s="378" t="str">
        <f t="shared" ref="J23:J86" ca="1" si="9">+IF(ISNA($B23),"",IF($G23&lt;&gt;"","",IF($E23&gt;OFFSET($AF$20,MATCH($D23,OFFSET($AD$20,1,0,$AD$19,1),0),0,1,1),"Total",OFFSET($AK$20,MATCH($B23,OFFSET($AN$20,1,0,$AJ$19,1),0),0,1,1))))</f>
        <v>10Y-2Y CMS CURVE CAP</v>
      </c>
      <c r="K23" s="396">
        <f ca="1">+IF(J23="","",IF($J23="Total",SUM(OFFSET(K23,-1,0,-OFFSET($AF$20,MATCH($D23,OFFSET($AD$20,1,0,$AD$19,1),0),0,1,1)-1,1)),_xlfn.IFNA(OFFSET(Report!$Q$116,MATCH($J23,OFFSET(Report!$G$116,1,0,$AJ$19,1),0),0,1,1),0)))</f>
        <v>1.3178470949437443E-2</v>
      </c>
      <c r="L23" s="396">
        <f ca="1">+IF(J23="","",IF($J23="Total",SUM(OFFSET(L23,-1,0,-OFFSET($AF$20,MATCH($D23,OFFSET($AD$20,1,0,$AD$19,1),0),0,1,1)-1,1)),_xlfn.IFNA(OFFSET(Report!$R$196,MATCH($J23,OFFSET(Report!$G$196,1,0,$AJ$19,1),0),0,1,1),0)))</f>
        <v>3.3586083732206444E-2</v>
      </c>
      <c r="M23" s="396">
        <f ca="1">+IF(J23="","",IF($J23="Total",SUM(OFFSET(M23,-1,0,-OFFSET($AF$20,MATCH($D23,OFFSET($AD$20,1,0,$AD$19,1),0),0,1,1)-1,1)),_xlfn.IFNA(OFFSET(Report!$J$352,MATCH($J23,OFFSET(Report!$G$352,1,0,$AJ$19,1),0),0,1,1),0)))</f>
        <v>1.2487219550207981E-2</v>
      </c>
      <c r="O23" s="396">
        <f ca="1">+IF($J23="","",K23/K$21)</f>
        <v>0.41513677418618117</v>
      </c>
      <c r="P23" s="396">
        <f ca="1">+IF($J23="","",L23/L$21)</f>
        <v>0.16153510301806762</v>
      </c>
      <c r="Q23" s="396">
        <f ca="1">+IF($J23="","",M23/M$21)</f>
        <v>0.23454299604686826</v>
      </c>
      <c r="T23" s="397">
        <f ca="1">+IF(J23="","",IF($J23="Total",SUM(OFFSET(T23,-1,0,-OFFSET($AF$20,MATCH($D23,OFFSET($AD$20,1,0,$AD$19,1),0),0,1,1)-1,1)),_xlfn.IFNA(OFFSET(Report!$J$196,MATCH($J23,OFFSET(Report!$G$196,1,0,$AJ$19,1),0),0,1,1),0)))</f>
        <v>275172.56762787001</v>
      </c>
      <c r="U23" s="396">
        <f ca="1">+IF(J23="","",IF($J23="Total",SUM(OFFSET(U23,-1,0,-OFFSET($AF$20,MATCH($D23,OFFSET($AD$20,1,0,$AD$19,1),0),0,1,1)-1,1)),$T23/T$21))</f>
        <v>-0.10634442877457909</v>
      </c>
      <c r="W23" s="379"/>
      <c r="X23" s="379"/>
      <c r="Y23" s="383"/>
      <c r="Z23" s="383"/>
      <c r="AC23" s="378"/>
      <c r="AD23">
        <f t="shared" ref="AD23:AD48" ca="1" si="10">+IF(OR(ISNA(AD22),1+AD22&gt;$AD$19),NA(),1+AD22)</f>
        <v>3</v>
      </c>
      <c r="AE23" t="str">
        <f t="shared" ca="1" si="2"/>
        <v>FX TACTICAL/MEAN REVERSION</v>
      </c>
      <c r="AF23">
        <f t="shared" ca="1" si="0"/>
        <v>5</v>
      </c>
      <c r="AG23">
        <f t="shared" ref="AG23:AG48" ca="1" si="11">IF(ISNA($AD23),NA(),AF23+2+AG22)</f>
        <v>22</v>
      </c>
      <c r="AH23">
        <f t="shared" ca="1" si="3"/>
        <v>16</v>
      </c>
      <c r="AJ23">
        <f t="shared" ref="AJ23:AJ86" si="12">+IF(OR(ISNA(AJ22),1+AJ22&gt;$AJ$19),NA(),1+AJ22)</f>
        <v>3</v>
      </c>
      <c r="AK23" s="386" t="str">
        <f ca="1"/>
        <v>CONTINGENT 10Y-2Y CMS CURVE CAP</v>
      </c>
      <c r="AL23" s="386" t="str">
        <f ca="1"/>
        <v>USD FI RISK PREMIA</v>
      </c>
      <c r="AM23">
        <f t="shared" ca="1" si="4"/>
        <v>3</v>
      </c>
      <c r="AN23">
        <f t="shared" ca="1" si="5"/>
        <v>4</v>
      </c>
      <c r="AO23">
        <f t="shared" ref="AO23:AO86" ca="1" si="13">+IF(ISNA($AJ23),"",IF(ISNA(MATCH($AL23,OFFSET($AL23,-1,0,-$AJ23,1),0)),1+MAX(OFFSET($AO23,-1,0,-$AJ23,1)),0))</f>
        <v>0</v>
      </c>
      <c r="AP23">
        <f t="shared" ca="1" si="6"/>
        <v>0</v>
      </c>
      <c r="AR23" s="395"/>
    </row>
    <row r="24" spans="1:51" x14ac:dyDescent="0.25">
      <c r="A24" t="str">
        <f t="shared" ref="A24:A87" ca="1" si="14">+IF(ISNA($B24),"",IF($G24&lt;&gt;"","",OFFSET($AK$20,MATCH($B24,OFFSET($AN$20,1,0,$AJ$19,1),0),0,1,1)))</f>
        <v>USD MIDCURVE WEDGE 18M3Y VS 18M1Y/18M1Y1Y/18M2Y1Y</v>
      </c>
      <c r="B24">
        <f t="shared" ca="1" si="7"/>
        <v>3</v>
      </c>
      <c r="D24">
        <f t="shared" ref="D24:D87" ca="1" si="15">+IF(ISNA($B24),"",IF(G24="",D23,1+D23))</f>
        <v>1</v>
      </c>
      <c r="E24">
        <f t="shared" ca="1" si="8"/>
        <v>2</v>
      </c>
      <c r="G24" s="382" t="str">
        <f t="shared" ca="1" si="1"/>
        <v/>
      </c>
      <c r="J24" s="378" t="str">
        <f t="shared" ca="1" si="9"/>
        <v>USD MIDCURVE WEDGE 18M3Y VS 18M1Y/18M1Y1Y/18M2Y1Y</v>
      </c>
      <c r="K24" s="396">
        <f ca="1">+IF(J24="","",IF($J24="Total",SUM(OFFSET(K24,-1,0,-OFFSET($AF$20,MATCH($D24,OFFSET($AD$20,1,0,$AD$19,1),0),0,1,1)-1,1)),_xlfn.IFNA(OFFSET(Report!$Q$116,MATCH($J24,OFFSET(Report!$G$116,1,0,$AJ$19,1),0),0,1,1),0)))</f>
        <v>-2.1807963398107824E-3</v>
      </c>
      <c r="L24" s="396">
        <f ca="1">+IF(J24="","",IF($J24="Total",SUM(OFFSET(L24,-1,0,-OFFSET($AF$20,MATCH($D24,OFFSET($AD$20,1,0,$AD$19,1),0),0,1,1)-1,1)),_xlfn.IFNA(OFFSET(Report!$R$196,MATCH($J24,OFFSET(Report!$G$196,1,0,$AJ$19,1),0),0,1,1),0)))</f>
        <v>1.6009843994665502E-2</v>
      </c>
      <c r="M24" s="396">
        <f ca="1">+IF(J24="","",IF($J24="Total",SUM(OFFSET(M24,-1,0,-OFFSET($AF$20,MATCH($D24,OFFSET($AD$20,1,0,$AD$19,1),0),0,1,1)-1,1)),_xlfn.IFNA(OFFSET(Report!$J$352,MATCH($J24,OFFSET(Report!$G$352,1,0,$AJ$19,1),0),0,1,1),0)))</f>
        <v>5.8116538954424883E-3</v>
      </c>
      <c r="O24" s="396">
        <f t="shared" ref="O24:Q87" ca="1" si="16">+IF($J24="","",K24/K$21)</f>
        <v>-6.8697556881948091E-2</v>
      </c>
      <c r="P24" s="396">
        <f t="shared" ca="1" si="16"/>
        <v>7.70006952761082E-2</v>
      </c>
      <c r="Q24" s="396">
        <f t="shared" ca="1" si="16"/>
        <v>0.10915822462670093</v>
      </c>
      <c r="T24" s="397">
        <f ca="1">+IF(J24="","",IF($J24="Total",SUM(OFFSET(T24,-1,0,-OFFSET($AF$20,MATCH($D24,OFFSET($AD$20,1,0,$AD$19,1),0),0,1,1)-1,1)),_xlfn.IFNA(OFFSET(Report!$J$196,MATCH($J24,OFFSET(Report!$G$196,1,0,$AJ$19,1),0),0,1,1),0)))</f>
        <v>680386.06607014313</v>
      </c>
      <c r="U24" s="396">
        <f t="shared" ref="U24:U87" ca="1" si="17">+IF(J24="","",IF($J24="Total",SUM(OFFSET(U24,-1,0,-OFFSET($AF$20,MATCH($D24,OFFSET($AD$20,1,0,$AD$19,1),0),0,1,1)-1,1)),$T24/T$21))</f>
        <v>-0.26294506086181579</v>
      </c>
      <c r="W24" s="379"/>
      <c r="X24" s="379"/>
      <c r="Y24" s="383"/>
      <c r="Z24" s="383"/>
      <c r="AC24" s="378"/>
      <c r="AD24">
        <f t="shared" ca="1" si="10"/>
        <v>4</v>
      </c>
      <c r="AE24" t="str">
        <f t="shared" ca="1" si="2"/>
        <v>FX GAMMA/VEGA</v>
      </c>
      <c r="AF24">
        <f ca="1">IF(ISNA($AD24),NA(),SUMPRODUCT(1*($AE24=OFFSET($AL$20,1,0,$AJ$19,1))))</f>
        <v>1</v>
      </c>
      <c r="AG24">
        <f t="shared" ca="1" si="11"/>
        <v>25</v>
      </c>
      <c r="AH24">
        <f t="shared" ca="1" si="3"/>
        <v>23</v>
      </c>
      <c r="AJ24">
        <f t="shared" si="12"/>
        <v>4</v>
      </c>
      <c r="AK24" s="386" t="str">
        <f ca="1"/>
        <v>USD 6M1Y1Y PAYER FLY</v>
      </c>
      <c r="AL24" s="386" t="str">
        <f ca="1"/>
        <v>US FI SEQUENTIAL FED</v>
      </c>
      <c r="AM24">
        <f t="shared" ca="1" si="4"/>
        <v>1</v>
      </c>
      <c r="AN24">
        <f t="shared" ca="1" si="5"/>
        <v>7</v>
      </c>
      <c r="AO24">
        <f t="shared" ca="1" si="13"/>
        <v>2</v>
      </c>
      <c r="AP24">
        <f t="shared" ca="1" si="6"/>
        <v>2</v>
      </c>
      <c r="AR24" s="395"/>
    </row>
    <row r="25" spans="1:51" x14ac:dyDescent="0.25">
      <c r="A25" t="str">
        <f t="shared" ca="1" si="14"/>
        <v>CONTINGENT 10Y-2Y CMS CURVE CAP</v>
      </c>
      <c r="B25">
        <f t="shared" ca="1" si="7"/>
        <v>4</v>
      </c>
      <c r="D25">
        <f t="shared" ca="1" si="15"/>
        <v>1</v>
      </c>
      <c r="E25">
        <f t="shared" ca="1" si="8"/>
        <v>3</v>
      </c>
      <c r="G25" s="382" t="str">
        <f t="shared" ca="1" si="1"/>
        <v/>
      </c>
      <c r="J25" s="378" t="str">
        <f t="shared" ca="1" si="9"/>
        <v>CONTINGENT 10Y-2Y CMS CURVE CAP</v>
      </c>
      <c r="K25" s="396">
        <f ca="1">+IF(J25="","",IF($J25="Total",SUM(OFFSET(K25,-1,0,-OFFSET($AF$20,MATCH($D25,OFFSET($AD$20,1,0,$AD$19,1),0),0,1,1)-1,1)),_xlfn.IFNA(OFFSET(Report!$Q$116,MATCH($J25,OFFSET(Report!$G$116,1,0,$AJ$19,1),0),0,1,1),0)))</f>
        <v>1.022318002703872E-3</v>
      </c>
      <c r="L25" s="396">
        <f ca="1">+IF(J25="","",IF($J25="Total",SUM(OFFSET(L25,-1,0,-OFFSET($AF$20,MATCH($D25,OFFSET($AD$20,1,0,$AD$19,1),0),0,1,1)-1,1)),_xlfn.IFNA(OFFSET(Report!$R$196,MATCH($J25,OFFSET(Report!$G$196,1,0,$AJ$19,1),0),0,1,1),0)))</f>
        <v>3.1332589261975474E-3</v>
      </c>
      <c r="M25" s="396">
        <f ca="1">+IF(J25="","",IF($J25="Total",SUM(OFFSET(M25,-1,0,-OFFSET($AF$20,MATCH($D25,OFFSET($AD$20,1,0,$AD$19,1),0),0,1,1)-1,1)),_xlfn.IFNA(OFFSET(Report!$J$352,MATCH($J25,OFFSET(Report!$G$352,1,0,$AJ$19,1),0),0,1,1),0)))</f>
        <v>5.9308996817037231E-4</v>
      </c>
      <c r="O25" s="396">
        <f t="shared" ca="1" si="16"/>
        <v>3.2204175997600219E-2</v>
      </c>
      <c r="P25" s="396">
        <f t="shared" ca="1" si="16"/>
        <v>1.506967312596378E-2</v>
      </c>
      <c r="Q25" s="396">
        <f t="shared" ca="1" si="16"/>
        <v>1.1139797574689395E-2</v>
      </c>
      <c r="T25" s="397">
        <f ca="1">+IF(J25="","",IF($J25="Total",SUM(OFFSET(T25,-1,0,-OFFSET($AF$20,MATCH($D25,OFFSET($AD$20,1,0,$AD$19,1),0),0,1,1)-1,1)),_xlfn.IFNA(OFFSET(Report!$J$196,MATCH($J25,OFFSET(Report!$G$196,1,0,$AJ$19,1),0),0,1,1),0)))</f>
        <v>556501</v>
      </c>
      <c r="U25" s="396">
        <f t="shared" ca="1" si="17"/>
        <v>-0.21506788073989716</v>
      </c>
      <c r="W25" s="379"/>
      <c r="X25" s="379"/>
      <c r="Y25" s="383"/>
      <c r="Z25" s="383"/>
      <c r="AC25" s="378"/>
      <c r="AD25">
        <f t="shared" ca="1" si="10"/>
        <v>5</v>
      </c>
      <c r="AE25" t="str">
        <f t="shared" ca="1" si="2"/>
        <v>FX EM CARRY</v>
      </c>
      <c r="AF25">
        <f t="shared" ref="AF25:AF48" ca="1" si="18">IF(ISNA($AD25),NA(),SUMPRODUCT(1*($AE25=OFFSET($AL$20,1,0,$AJ$19,1))))</f>
        <v>3</v>
      </c>
      <c r="AG25">
        <f t="shared" ca="1" si="11"/>
        <v>30</v>
      </c>
      <c r="AH25">
        <f t="shared" ca="1" si="3"/>
        <v>26</v>
      </c>
      <c r="AJ25">
        <f t="shared" si="12"/>
        <v>5</v>
      </c>
      <c r="AK25" s="386" t="str">
        <f ca="1"/>
        <v>EDZ8 PUT FLY</v>
      </c>
      <c r="AL25" s="386" t="str">
        <f ca="1"/>
        <v>US FI SEQUENTIAL FED</v>
      </c>
      <c r="AM25">
        <f t="shared" ca="1" si="4"/>
        <v>2</v>
      </c>
      <c r="AN25">
        <f t="shared" ca="1" si="5"/>
        <v>8</v>
      </c>
      <c r="AO25">
        <f t="shared" ca="1" si="13"/>
        <v>0</v>
      </c>
      <c r="AP25">
        <f t="shared" ca="1" si="6"/>
        <v>0</v>
      </c>
      <c r="AR25" s="395"/>
    </row>
    <row r="26" spans="1:51" x14ac:dyDescent="0.25">
      <c r="A26" t="e">
        <f t="shared" ca="1" si="14"/>
        <v>#N/A</v>
      </c>
      <c r="B26">
        <f t="shared" ca="1" si="7"/>
        <v>5</v>
      </c>
      <c r="D26">
        <f t="shared" ca="1" si="15"/>
        <v>1</v>
      </c>
      <c r="E26">
        <f t="shared" ca="1" si="8"/>
        <v>4</v>
      </c>
      <c r="G26" s="382" t="str">
        <f t="shared" ca="1" si="1"/>
        <v/>
      </c>
      <c r="J26" s="378" t="str">
        <f t="shared" ca="1" si="9"/>
        <v>Total</v>
      </c>
      <c r="K26" s="396">
        <f ca="1">+IF(J26="","",IF($J26="Total",SUM(OFFSET(K26,-1,0,-OFFSET($AF$20,MATCH($D26,OFFSET($AD$20,1,0,$AD$19,1),0),0,1,1)-1,1)),_xlfn.IFNA(OFFSET(Report!$Q$116,MATCH($J26,OFFSET(Report!$G$116,1,0,$AJ$19,1),0),0,1,1),0)))</f>
        <v>1.2019992612330532E-2</v>
      </c>
      <c r="L26" s="396">
        <f ca="1">+IF(J26="","",IF($J26="Total",SUM(OFFSET(L26,-1,0,-OFFSET($AF$20,MATCH($D26,OFFSET($AD$20,1,0,$AD$19,1),0),0,1,1)-1,1)),_xlfn.IFNA(OFFSET(Report!$R$196,MATCH($J26,OFFSET(Report!$G$196,1,0,$AJ$19,1),0),0,1,1),0)))</f>
        <v>5.2729186653069499E-2</v>
      </c>
      <c r="M26" s="396">
        <f ca="1">+IF(J26="","",IF($J26="Total",SUM(OFFSET(M26,-1,0,-OFFSET($AF$20,MATCH($D26,OFFSET($AD$20,1,0,$AD$19,1),0),0,1,1)-1,1)),_xlfn.IFNA(OFFSET(Report!$J$352,MATCH($J26,OFFSET(Report!$G$352,1,0,$AJ$19,1),0),0,1,1),0)))</f>
        <v>1.889196341382084E-2</v>
      </c>
      <c r="O26" s="396">
        <f t="shared" ca="1" si="16"/>
        <v>0.37864339330183328</v>
      </c>
      <c r="P26" s="396">
        <f t="shared" ca="1" si="16"/>
        <v>0.25360547142013962</v>
      </c>
      <c r="Q26" s="396">
        <f t="shared" ca="1" si="16"/>
        <v>0.35484101824825853</v>
      </c>
      <c r="T26" s="397">
        <f ca="1">+IF(J26="","",IF($J26="Total",SUM(OFFSET(T26,-1,0,-OFFSET($AF$20,MATCH($D26,OFFSET($AD$20,1,0,$AD$19,1),0),0,1,1)-1,1)),_xlfn.IFNA(OFFSET(Report!$J$196,MATCH($J26,OFFSET(Report!$G$196,1,0,$AJ$19,1),0),0,1,1),0)))</f>
        <v>1512059.6336980131</v>
      </c>
      <c r="U26" s="396">
        <f t="shared" ca="1" si="17"/>
        <v>-0.58435737037629198</v>
      </c>
      <c r="W26" s="379"/>
      <c r="X26" s="379"/>
      <c r="Y26" s="383"/>
      <c r="Z26" s="383"/>
      <c r="AC26" s="378"/>
      <c r="AD26">
        <f t="shared" ca="1" si="10"/>
        <v>6</v>
      </c>
      <c r="AE26" t="str">
        <f t="shared" ca="1" si="2"/>
        <v>FX CARRY/SLIDE BASKET</v>
      </c>
      <c r="AF26">
        <f t="shared" ca="1" si="18"/>
        <v>9</v>
      </c>
      <c r="AG26">
        <f t="shared" ca="1" si="11"/>
        <v>41</v>
      </c>
      <c r="AH26">
        <f t="shared" ca="1" si="3"/>
        <v>31</v>
      </c>
      <c r="AJ26">
        <f t="shared" si="12"/>
        <v>6</v>
      </c>
      <c r="AK26" s="386" t="str">
        <f ca="1"/>
        <v>1Y1Y VS 2Y1Y PAYER SWITCH</v>
      </c>
      <c r="AL26" s="386" t="str">
        <f ca="1"/>
        <v>US FI SEQUENTIAL FED</v>
      </c>
      <c r="AM26">
        <f t="shared" ca="1" si="4"/>
        <v>3</v>
      </c>
      <c r="AN26">
        <f t="shared" ca="1" si="5"/>
        <v>9</v>
      </c>
      <c r="AO26">
        <f t="shared" ca="1" si="13"/>
        <v>0</v>
      </c>
      <c r="AP26">
        <f t="shared" ca="1" si="6"/>
        <v>0</v>
      </c>
      <c r="AR26" s="395"/>
    </row>
    <row r="27" spans="1:51" x14ac:dyDescent="0.25">
      <c r="A27" t="str">
        <f t="shared" ca="1" si="14"/>
        <v/>
      </c>
      <c r="B27">
        <f t="shared" ca="1" si="7"/>
        <v>6</v>
      </c>
      <c r="D27">
        <f t="shared" ca="1" si="15"/>
        <v>2</v>
      </c>
      <c r="E27" t="str">
        <f t="shared" ca="1" si="8"/>
        <v/>
      </c>
      <c r="G27" s="382" t="str">
        <f t="shared" ca="1" si="1"/>
        <v>US FI SEQUENTIAL FED</v>
      </c>
      <c r="J27" s="378" t="str">
        <f t="shared" ca="1" si="9"/>
        <v/>
      </c>
      <c r="K27" s="396" t="str">
        <f ca="1">+IF(J27="","",IF($J27="Total",SUM(OFFSET(K27,-1,0,-OFFSET($AF$20,MATCH($D27,OFFSET($AD$20,1,0,$AD$19,1),0),0,1,1)-1,1)),_xlfn.IFNA(OFFSET(Report!$Q$116,MATCH($J27,OFFSET(Report!$G$116,1,0,$AJ$19,1),0),0,1,1),0)))</f>
        <v/>
      </c>
      <c r="L27" s="396" t="str">
        <f ca="1">+IF(J27="","",IF($J27="Total",SUM(OFFSET(L27,-1,0,-OFFSET($AF$20,MATCH($D27,OFFSET($AD$20,1,0,$AD$19,1),0),0,1,1)-1,1)),_xlfn.IFNA(OFFSET(Report!$R$196,MATCH($J27,OFFSET(Report!$G$196,1,0,$AJ$19,1),0),0,1,1),0)))</f>
        <v/>
      </c>
      <c r="M27" s="396" t="str">
        <f ca="1">+IF(J27="","",IF($J27="Total",SUM(OFFSET(M27,-1,0,-OFFSET($AF$20,MATCH($D27,OFFSET($AD$20,1,0,$AD$19,1),0),0,1,1)-1,1)),_xlfn.IFNA(OFFSET(Report!$J$352,MATCH($J27,OFFSET(Report!$G$352,1,0,$AJ$19,1),0),0,1,1),0)))</f>
        <v/>
      </c>
      <c r="O27" s="396" t="str">
        <f t="shared" ca="1" si="16"/>
        <v/>
      </c>
      <c r="P27" s="396" t="str">
        <f t="shared" ca="1" si="16"/>
        <v/>
      </c>
      <c r="Q27" s="396" t="str">
        <f t="shared" ca="1" si="16"/>
        <v/>
      </c>
      <c r="T27" s="397" t="str">
        <f ca="1">+IF(J27="","",IF($J27="Total",SUM(OFFSET(T27,-1,0,-OFFSET($AF$20,MATCH($D27,OFFSET($AD$20,1,0,$AD$19,1),0),0,1,1)-1,1)),_xlfn.IFNA(OFFSET(Report!$J$196,MATCH($J27,OFFSET(Report!$G$196,1,0,$AJ$19,1),0),0,1,1),0)))</f>
        <v/>
      </c>
      <c r="U27" s="396" t="str">
        <f t="shared" ca="1" si="17"/>
        <v/>
      </c>
      <c r="W27" s="379"/>
      <c r="X27" s="379"/>
      <c r="Y27" s="383"/>
      <c r="Z27" s="383"/>
      <c r="AC27" s="378"/>
      <c r="AD27">
        <f t="shared" ca="1" si="10"/>
        <v>7</v>
      </c>
      <c r="AE27" t="str">
        <f t="shared" ca="1" si="2"/>
        <v>FI TACTICAL/MEAN REVERSION</v>
      </c>
      <c r="AF27">
        <f t="shared" ca="1" si="18"/>
        <v>1</v>
      </c>
      <c r="AG27">
        <f t="shared" ca="1" si="11"/>
        <v>44</v>
      </c>
      <c r="AH27">
        <f t="shared" ca="1" si="3"/>
        <v>42</v>
      </c>
      <c r="AJ27">
        <f t="shared" si="12"/>
        <v>7</v>
      </c>
      <c r="AK27" s="386" t="str">
        <f ca="1"/>
        <v>USD 6M 10-2 CURVE FLR FLY</v>
      </c>
      <c r="AL27" s="386" t="str">
        <f ca="1"/>
        <v>US FI SEQUENTIAL FED</v>
      </c>
      <c r="AM27">
        <f t="shared" ca="1" si="4"/>
        <v>4</v>
      </c>
      <c r="AN27">
        <f t="shared" ca="1" si="5"/>
        <v>10</v>
      </c>
      <c r="AO27">
        <f t="shared" ca="1" si="13"/>
        <v>0</v>
      </c>
      <c r="AP27">
        <f t="shared" ca="1" si="6"/>
        <v>0</v>
      </c>
      <c r="AR27" s="395"/>
    </row>
    <row r="28" spans="1:51" x14ac:dyDescent="0.25">
      <c r="A28" t="str">
        <f t="shared" ca="1" si="14"/>
        <v>USD 6M1Y1Y PAYER FLY</v>
      </c>
      <c r="B28">
        <f t="shared" ca="1" si="7"/>
        <v>7</v>
      </c>
      <c r="D28">
        <f t="shared" ca="1" si="15"/>
        <v>2</v>
      </c>
      <c r="E28">
        <f t="shared" ca="1" si="8"/>
        <v>1</v>
      </c>
      <c r="G28" s="382" t="str">
        <f t="shared" ca="1" si="1"/>
        <v/>
      </c>
      <c r="J28" s="378" t="str">
        <f t="shared" ca="1" si="9"/>
        <v>USD 6M1Y1Y PAYER FLY</v>
      </c>
      <c r="K28" s="396">
        <f ca="1">+IF(J28="","",IF($J28="Total",SUM(OFFSET(K28,-1,0,-OFFSET($AF$20,MATCH($D28,OFFSET($AD$20,1,0,$AD$19,1),0),0,1,1)-1,1)),_xlfn.IFNA(OFFSET(Report!$Q$116,MATCH($J28,OFFSET(Report!$G$116,1,0,$AJ$19,1),0),0,1,1),0)))</f>
        <v>-2.8196317214409838E-4</v>
      </c>
      <c r="L28" s="396">
        <f ca="1">+IF(J28="","",IF($J28="Total",SUM(OFFSET(L28,-1,0,-OFFSET($AF$20,MATCH($D28,OFFSET($AD$20,1,0,$AD$19,1),0),0,1,1)-1,1)),_xlfn.IFNA(OFFSET(Report!$R$196,MATCH($J28,OFFSET(Report!$G$196,1,0,$AJ$19,1),0),0,1,1),0)))</f>
        <v>2.6503258576332351E-3</v>
      </c>
      <c r="M28" s="396">
        <f ca="1">+IF(J28="","",IF($J28="Total",SUM(OFFSET(M28,-1,0,-OFFSET($AF$20,MATCH($D28,OFFSET($AD$20,1,0,$AD$19,1),0),0,1,1)-1,1)),_xlfn.IFNA(OFFSET(Report!$J$352,MATCH($J28,OFFSET(Report!$G$352,1,0,$AJ$19,1),0),0,1,1),0)))</f>
        <v>-3.0854318340706454E-4</v>
      </c>
      <c r="O28" s="396">
        <f t="shared" ca="1" si="16"/>
        <v>-8.8821595595049378E-3</v>
      </c>
      <c r="P28" s="396">
        <f t="shared" ca="1" si="16"/>
        <v>1.2746965792671403E-2</v>
      </c>
      <c r="Q28" s="396">
        <f t="shared" ca="1" si="16"/>
        <v>-5.7952566906638546E-3</v>
      </c>
      <c r="T28" s="397">
        <f ca="1">+IF(J28="","",IF($J28="Total",SUM(OFFSET(T28,-1,0,-OFFSET($AF$20,MATCH($D28,OFFSET($AD$20,1,0,$AD$19,1),0),0,1,1)-1,1)),_xlfn.IFNA(OFFSET(Report!$J$196,MATCH($J28,OFFSET(Report!$G$196,1,0,$AJ$19,1),0),0,1,1),0)))</f>
        <v>280851.22651760018</v>
      </c>
      <c r="U28" s="396">
        <f t="shared" ca="1" si="17"/>
        <v>-0.10853902884332838</v>
      </c>
      <c r="W28" s="379"/>
      <c r="X28" s="379"/>
      <c r="Y28" s="383"/>
      <c r="Z28" s="383"/>
      <c r="AC28" s="378"/>
      <c r="AD28">
        <f t="shared" ca="1" si="10"/>
        <v>8</v>
      </c>
      <c r="AE28" t="str">
        <f t="shared" ca="1" si="2"/>
        <v>FI GAMMA/VEGA</v>
      </c>
      <c r="AF28">
        <f t="shared" ca="1" si="18"/>
        <v>3</v>
      </c>
      <c r="AG28">
        <f t="shared" ca="1" si="11"/>
        <v>49</v>
      </c>
      <c r="AH28">
        <f t="shared" ca="1" si="3"/>
        <v>45</v>
      </c>
      <c r="AJ28">
        <f t="shared" si="12"/>
        <v>8</v>
      </c>
      <c r="AK28" s="386" t="str">
        <f ca="1"/>
        <v>USD 2M 10-2 CURVE FLR FLY</v>
      </c>
      <c r="AL28" s="386" t="str">
        <f ca="1"/>
        <v>US FI SEQUENTIAL FED</v>
      </c>
      <c r="AM28">
        <f t="shared" ca="1" si="4"/>
        <v>5</v>
      </c>
      <c r="AN28">
        <f t="shared" ca="1" si="5"/>
        <v>11</v>
      </c>
      <c r="AO28">
        <f t="shared" ca="1" si="13"/>
        <v>0</v>
      </c>
      <c r="AP28">
        <f t="shared" ca="1" si="6"/>
        <v>0</v>
      </c>
      <c r="AR28" s="395"/>
    </row>
    <row r="29" spans="1:51" x14ac:dyDescent="0.25">
      <c r="A29" t="str">
        <f t="shared" ca="1" si="14"/>
        <v>EDZ8 PUT FLY</v>
      </c>
      <c r="B29">
        <f t="shared" ca="1" si="7"/>
        <v>8</v>
      </c>
      <c r="D29">
        <f t="shared" ca="1" si="15"/>
        <v>2</v>
      </c>
      <c r="E29">
        <f t="shared" ca="1" si="8"/>
        <v>2</v>
      </c>
      <c r="G29" s="382" t="str">
        <f t="shared" ca="1" si="1"/>
        <v/>
      </c>
      <c r="J29" s="378" t="str">
        <f t="shared" ca="1" si="9"/>
        <v>EDZ8 PUT FLY</v>
      </c>
      <c r="K29" s="396">
        <f ca="1">+IF(J29="","",IF($J29="Total",SUM(OFFSET(K29,-1,0,-OFFSET($AF$20,MATCH($D29,OFFSET($AD$20,1,0,$AD$19,1),0),0,1,1)-1,1)),_xlfn.IFNA(OFFSET(Report!$Q$116,MATCH($J29,OFFSET(Report!$G$116,1,0,$AJ$19,1),0),0,1,1),0)))</f>
        <v>-1.24560553281689E-5</v>
      </c>
      <c r="L29" s="396">
        <f ca="1">+IF(J29="","",IF($J29="Total",SUM(OFFSET(L29,-1,0,-OFFSET($AF$20,MATCH($D29,OFFSET($AD$20,1,0,$AD$19,1),0),0,1,1)-1,1)),_xlfn.IFNA(OFFSET(Report!$R$196,MATCH($J29,OFFSET(Report!$G$196,1,0,$AJ$19,1),0),0,1,1),0)))</f>
        <v>3.6126232799450601E-4</v>
      </c>
      <c r="M29" s="396">
        <f ca="1">+IF(J29="","",IF($J29="Total",SUM(OFFSET(M29,-1,0,-OFFSET($AF$20,MATCH($D29,OFFSET($AD$20,1,0,$AD$19,1),0),0,1,1)-1,1)),_xlfn.IFNA(OFFSET(Report!$J$352,MATCH($J29,OFFSET(Report!$G$352,1,0,$AJ$19,1),0),0,1,1),0)))</f>
        <v>-3.97576834256433E-5</v>
      </c>
      <c r="O29" s="396">
        <f t="shared" ca="1" si="16"/>
        <v>-3.923798631768709E-4</v>
      </c>
      <c r="P29" s="396">
        <f t="shared" ca="1" si="16"/>
        <v>1.7375216424289465E-3</v>
      </c>
      <c r="Q29" s="396">
        <f t="shared" ca="1" si="16"/>
        <v>-7.4675440349553123E-4</v>
      </c>
      <c r="T29" s="397">
        <f ca="1">+IF(J29="","",IF($J29="Total",SUM(OFFSET(T29,-1,0,-OFFSET($AF$20,MATCH($D29,OFFSET($AD$20,1,0,$AD$19,1),0),0,1,1)-1,1)),_xlfn.IFNA(OFFSET(Report!$J$196,MATCH($J29,OFFSET(Report!$G$196,1,0,$AJ$19,1),0),0,1,1),0)))</f>
        <v>-85480.5</v>
      </c>
      <c r="U29" s="396">
        <f t="shared" ca="1" si="17"/>
        <v>3.3035178696151093E-2</v>
      </c>
      <c r="W29" s="379"/>
      <c r="Z29" s="383"/>
      <c r="AC29" s="378"/>
      <c r="AD29">
        <f t="shared" ca="1" si="10"/>
        <v>9</v>
      </c>
      <c r="AE29" t="str">
        <f t="shared" ca="1" si="2"/>
        <v>EQUITY TACTICAL/MEAN REVERSION</v>
      </c>
      <c r="AF29">
        <f t="shared" ca="1" si="18"/>
        <v>2</v>
      </c>
      <c r="AG29">
        <f t="shared" ca="1" si="11"/>
        <v>53</v>
      </c>
      <c r="AH29">
        <f t="shared" ca="1" si="3"/>
        <v>50</v>
      </c>
      <c r="AJ29">
        <f t="shared" si="12"/>
        <v>9</v>
      </c>
      <c r="AK29" s="386" t="str">
        <f ca="1"/>
        <v>USD 3M 10-2 CURVE FLR FLY</v>
      </c>
      <c r="AL29" s="386" t="str">
        <f ca="1"/>
        <v>US FI SEQUENTIAL FED</v>
      </c>
      <c r="AM29">
        <f t="shared" ca="1" si="4"/>
        <v>6</v>
      </c>
      <c r="AN29">
        <f t="shared" ca="1" si="5"/>
        <v>12</v>
      </c>
      <c r="AO29">
        <f t="shared" ca="1" si="13"/>
        <v>0</v>
      </c>
      <c r="AP29">
        <f t="shared" ca="1" si="6"/>
        <v>0</v>
      </c>
      <c r="AR29" s="395"/>
    </row>
    <row r="30" spans="1:51" x14ac:dyDescent="0.25">
      <c r="A30" t="str">
        <f t="shared" ca="1" si="14"/>
        <v>1Y1Y VS 2Y1Y PAYER SWITCH</v>
      </c>
      <c r="B30">
        <f t="shared" ca="1" si="7"/>
        <v>9</v>
      </c>
      <c r="D30">
        <f t="shared" ca="1" si="15"/>
        <v>2</v>
      </c>
      <c r="E30">
        <f t="shared" ca="1" si="8"/>
        <v>3</v>
      </c>
      <c r="G30" s="382" t="str">
        <f t="shared" ca="1" si="1"/>
        <v/>
      </c>
      <c r="J30" s="378" t="str">
        <f t="shared" ca="1" si="9"/>
        <v>1Y1Y VS 2Y1Y PAYER SWITCH</v>
      </c>
      <c r="K30" s="396">
        <f ca="1">+IF(J30="","",IF($J30="Total",SUM(OFFSET(K30,-1,0,-OFFSET($AF$20,MATCH($D30,OFFSET($AD$20,1,0,$AD$19,1),0),0,1,1)-1,1)),_xlfn.IFNA(OFFSET(Report!$Q$116,MATCH($J30,OFFSET(Report!$G$116,1,0,$AJ$19,1),0),0,1,1),0)))</f>
        <v>6.2998094018026354E-4</v>
      </c>
      <c r="L30" s="396">
        <f ca="1">+IF(J30="","",IF($J30="Total",SUM(OFFSET(L30,-1,0,-OFFSET($AF$20,MATCH($D30,OFFSET($AD$20,1,0,$AD$19,1),0),0,1,1)-1,1)),_xlfn.IFNA(OFFSET(Report!$R$196,MATCH($J30,OFFSET(Report!$G$196,1,0,$AJ$19,1),0),0,1,1),0)))</f>
        <v>5.5628681719982901E-3</v>
      </c>
      <c r="M30" s="396">
        <f ca="1">+IF(J30="","",IF($J30="Total",SUM(OFFSET(M30,-1,0,-OFFSET($AF$20,MATCH($D30,OFFSET($AD$20,1,0,$AD$19,1),0),0,1,1)-1,1)),_xlfn.IFNA(OFFSET(Report!$J$352,MATCH($J30,OFFSET(Report!$G$352,1,0,$AJ$19,1),0),0,1,1),0)))</f>
        <v>2.8464853231015665E-4</v>
      </c>
      <c r="O30" s="396">
        <f t="shared" ca="1" si="16"/>
        <v>1.9845113769923071E-2</v>
      </c>
      <c r="P30" s="396">
        <f t="shared" ca="1" si="16"/>
        <v>2.6755083754465461E-2</v>
      </c>
      <c r="Q30" s="396">
        <f t="shared" ca="1" si="16"/>
        <v>5.3464519719488689E-3</v>
      </c>
      <c r="S30" s="379"/>
      <c r="T30" s="397">
        <f ca="1">+IF(J30="","",IF($J30="Total",SUM(OFFSET(T30,-1,0,-OFFSET($AF$20,MATCH($D30,OFFSET($AD$20,1,0,$AD$19,1),0),0,1,1)-1,1)),_xlfn.IFNA(OFFSET(Report!$J$196,MATCH($J30,OFFSET(Report!$G$196,1,0,$AJ$19,1),0),0,1,1),0)))</f>
        <v>-129761.59814697293</v>
      </c>
      <c r="U30" s="396">
        <f t="shared" ca="1" si="17"/>
        <v>5.0148251152992783E-2</v>
      </c>
      <c r="W30" s="379"/>
      <c r="Z30" s="383"/>
      <c r="AD30">
        <f t="shared" ca="1" si="10"/>
        <v>10</v>
      </c>
      <c r="AE30" t="str">
        <f t="shared" ca="1" si="2"/>
        <v>CREDIT VS EQUITY</v>
      </c>
      <c r="AF30">
        <f t="shared" ca="1" si="18"/>
        <v>1</v>
      </c>
      <c r="AG30">
        <f t="shared" ca="1" si="11"/>
        <v>56</v>
      </c>
      <c r="AH30">
        <f t="shared" ca="1" si="3"/>
        <v>54</v>
      </c>
      <c r="AJ30">
        <f t="shared" si="12"/>
        <v>10</v>
      </c>
      <c r="AK30" s="386" t="str">
        <f ca="1"/>
        <v>USD 3M1Y1Y MISWEIGHTED FLY</v>
      </c>
      <c r="AL30" s="386" t="str">
        <f ca="1"/>
        <v>US FI SEQUENTIAL FED</v>
      </c>
      <c r="AM30">
        <f t="shared" ca="1" si="4"/>
        <v>7</v>
      </c>
      <c r="AN30">
        <f t="shared" ca="1" si="5"/>
        <v>13</v>
      </c>
      <c r="AO30">
        <f t="shared" ca="1" si="13"/>
        <v>0</v>
      </c>
      <c r="AP30">
        <f t="shared" ca="1" si="6"/>
        <v>0</v>
      </c>
    </row>
    <row r="31" spans="1:51" x14ac:dyDescent="0.25">
      <c r="A31" t="str">
        <f t="shared" ca="1" si="14"/>
        <v>USD 6M 10-2 CURVE FLR FLY</v>
      </c>
      <c r="B31">
        <f t="shared" ca="1" si="7"/>
        <v>10</v>
      </c>
      <c r="D31">
        <f t="shared" ca="1" si="15"/>
        <v>2</v>
      </c>
      <c r="E31">
        <f t="shared" ca="1" si="8"/>
        <v>4</v>
      </c>
      <c r="G31" s="382" t="str">
        <f t="shared" ca="1" si="1"/>
        <v/>
      </c>
      <c r="J31" s="378" t="str">
        <f t="shared" ca="1" si="9"/>
        <v>USD 6M 10-2 CURVE FLR FLY</v>
      </c>
      <c r="K31" s="396">
        <f ca="1">+IF(J31="","",IF($J31="Total",SUM(OFFSET(K31,-1,0,-OFFSET($AF$20,MATCH($D31,OFFSET($AD$20,1,0,$AD$19,1),0),0,1,1)-1,1)),_xlfn.IFNA(OFFSET(Report!$Q$116,MATCH($J31,OFFSET(Report!$G$116,1,0,$AJ$19,1),0),0,1,1),0)))</f>
        <v>-9.0443276053581427E-4</v>
      </c>
      <c r="L31" s="396">
        <f ca="1">+IF(J31="","",IF($J31="Total",SUM(OFFSET(L31,-1,0,-OFFSET($AF$20,MATCH($D31,OFFSET($AD$20,1,0,$AD$19,1),0),0,1,1)-1,1)),_xlfn.IFNA(OFFSET(Report!$R$196,MATCH($J31,OFFSET(Report!$G$196,1,0,$AJ$19,1),0),0,1,1),0)))</f>
        <v>2.9363870314256107E-3</v>
      </c>
      <c r="M31" s="396">
        <f ca="1">+IF(J31="","",IF($J31="Total",SUM(OFFSET(M31,-1,0,-OFFSET($AF$20,MATCH($D31,OFFSET($AD$20,1,0,$AD$19,1),0),0,1,1)-1,1)),_xlfn.IFNA(OFFSET(Report!$J$352,MATCH($J31,OFFSET(Report!$G$352,1,0,$AJ$19,1),0),0,1,1),0)))</f>
        <v>-4.0920720725833189E-4</v>
      </c>
      <c r="O31" s="396">
        <f t="shared" ca="1" si="16"/>
        <v>-2.8490657233126764E-2</v>
      </c>
      <c r="P31" s="396">
        <f t="shared" ca="1" si="16"/>
        <v>1.412280114002719E-2</v>
      </c>
      <c r="Q31" s="396">
        <f t="shared" ca="1" si="16"/>
        <v>-7.6859931875500982E-3</v>
      </c>
      <c r="T31" s="397">
        <f ca="1">+IF(J31="","",IF($J31="Total",SUM(OFFSET(T31,-1,0,-OFFSET($AF$20,MATCH($D31,OFFSET($AD$20,1,0,$AD$19,1),0),0,1,1)-1,1)),_xlfn.IFNA(OFFSET(Report!$J$196,MATCH($J31,OFFSET(Report!$G$196,1,0,$AJ$19,1),0),0,1,1),0)))</f>
        <v>147199.01512582181</v>
      </c>
      <c r="U31" s="396">
        <f t="shared" ca="1" si="17"/>
        <v>-5.6887193787810923E-2</v>
      </c>
      <c r="X31" s="379"/>
      <c r="Y31" s="383"/>
      <c r="Z31" s="383"/>
      <c r="AD31">
        <f t="shared" ca="1" si="10"/>
        <v>11</v>
      </c>
      <c r="AE31" t="str">
        <f t="shared" ca="1" si="2"/>
        <v>CREDIT TERM STRUCTURE</v>
      </c>
      <c r="AF31">
        <f t="shared" ca="1" si="18"/>
        <v>2</v>
      </c>
      <c r="AG31">
        <f t="shared" ca="1" si="11"/>
        <v>60</v>
      </c>
      <c r="AH31">
        <f t="shared" ca="1" si="3"/>
        <v>57</v>
      </c>
      <c r="AJ31">
        <f t="shared" si="12"/>
        <v>11</v>
      </c>
      <c r="AK31" s="386" t="str">
        <f ca="1"/>
        <v xml:space="preserve"> EDZ8 PUT CONDOR</v>
      </c>
      <c r="AL31" s="386" t="str">
        <f ca="1"/>
        <v>US FI SEQUENTIAL FED</v>
      </c>
      <c r="AM31">
        <f t="shared" ca="1" si="4"/>
        <v>8</v>
      </c>
      <c r="AN31">
        <f t="shared" ca="1" si="5"/>
        <v>14</v>
      </c>
      <c r="AO31">
        <f t="shared" ca="1" si="13"/>
        <v>0</v>
      </c>
      <c r="AP31">
        <f t="shared" ca="1" si="6"/>
        <v>0</v>
      </c>
    </row>
    <row r="32" spans="1:51" x14ac:dyDescent="0.25">
      <c r="A32" t="str">
        <f t="shared" ca="1" si="14"/>
        <v>USD 2M 10-2 CURVE FLR FLY</v>
      </c>
      <c r="B32">
        <f t="shared" ca="1" si="7"/>
        <v>11</v>
      </c>
      <c r="D32">
        <f t="shared" ca="1" si="15"/>
        <v>2</v>
      </c>
      <c r="E32">
        <f t="shared" ca="1" si="8"/>
        <v>5</v>
      </c>
      <c r="G32" s="382" t="str">
        <f t="shared" ca="1" si="1"/>
        <v/>
      </c>
      <c r="J32" s="378" t="str">
        <f t="shared" ca="1" si="9"/>
        <v>USD 2M 10-2 CURVE FLR FLY</v>
      </c>
      <c r="K32" s="396">
        <f ca="1">+IF(J32="","",IF($J32="Total",SUM(OFFSET(K32,-1,0,-OFFSET($AF$20,MATCH($D32,OFFSET($AD$20,1,0,$AD$19,1),0),0,1,1)-1,1)),_xlfn.IFNA(OFFSET(Report!$Q$116,MATCH($J32,OFFSET(Report!$G$116,1,0,$AJ$19,1),0),0,1,1),0)))</f>
        <v>-5.825297912712558E-4</v>
      </c>
      <c r="L32" s="396">
        <f ca="1">+IF(J32="","",IF($J32="Total",SUM(OFFSET(L32,-1,0,-OFFSET($AF$20,MATCH($D32,OFFSET($AD$20,1,0,$AD$19,1),0),0,1,1)-1,1)),_xlfn.IFNA(OFFSET(Report!$R$196,MATCH($J32,OFFSET(Report!$G$196,1,0,$AJ$19,1),0),0,1,1),0)))</f>
        <v>1.4355102163585483E-3</v>
      </c>
      <c r="M32" s="396">
        <f ca="1">+IF(J32="","",IF($J32="Total",SUM(OFFSET(M32,-1,0,-OFFSET($AF$20,MATCH($D32,OFFSET($AD$20,1,0,$AD$19,1),0),0,1,1)-1,1)),_xlfn.IFNA(OFFSET(Report!$J$352,MATCH($J32,OFFSET(Report!$G$352,1,0,$AJ$19,1),0),0,1,1),0)))</f>
        <v>-2.2019984198464815E-4</v>
      </c>
      <c r="O32" s="396">
        <f t="shared" ca="1" si="16"/>
        <v>-1.8350348788075576E-2</v>
      </c>
      <c r="P32" s="396">
        <f t="shared" ca="1" si="16"/>
        <v>6.9042074846197886E-3</v>
      </c>
      <c r="Q32" s="396">
        <f t="shared" ca="1" si="16"/>
        <v>-4.1359351824054504E-3</v>
      </c>
      <c r="T32" s="397">
        <f ca="1">+IF(J32="","",IF($J32="Total",SUM(OFFSET(T32,-1,0,-OFFSET($AF$20,MATCH($D32,OFFSET($AD$20,1,0,$AD$19,1),0),0,1,1)-1,1)),_xlfn.IFNA(OFFSET(Report!$J$196,MATCH($J32,OFFSET(Report!$G$196,1,0,$AJ$19,1),0),0,1,1),0)))</f>
        <v>-44901.479686540784</v>
      </c>
      <c r="U32" s="396">
        <f t="shared" ca="1" si="17"/>
        <v>1.7352827898368322E-2</v>
      </c>
      <c r="X32" s="379"/>
      <c r="Y32" s="383"/>
      <c r="Z32" s="383"/>
      <c r="AD32">
        <f t="shared" ca="1" si="10"/>
        <v>12</v>
      </c>
      <c r="AE32" t="str">
        <f t="shared" ca="1" si="2"/>
        <v>CREDIT TACTICAL/MEAN REVERSION</v>
      </c>
      <c r="AF32">
        <f t="shared" ca="1" si="18"/>
        <v>2</v>
      </c>
      <c r="AG32">
        <f t="shared" ca="1" si="11"/>
        <v>64</v>
      </c>
      <c r="AH32">
        <f t="shared" ca="1" si="3"/>
        <v>61</v>
      </c>
      <c r="AJ32">
        <f t="shared" si="12"/>
        <v>12</v>
      </c>
      <c r="AK32" s="386" t="str">
        <f ca="1"/>
        <v>USDRUB OCT18 ONE TOUCH</v>
      </c>
      <c r="AL32" s="386" t="str">
        <f ca="1"/>
        <v>FX TACTICAL/MEAN REVERSION</v>
      </c>
      <c r="AM32">
        <f t="shared" ca="1" si="4"/>
        <v>1</v>
      </c>
      <c r="AN32">
        <f t="shared" ca="1" si="5"/>
        <v>17</v>
      </c>
      <c r="AO32">
        <f t="shared" ca="1" si="13"/>
        <v>3</v>
      </c>
      <c r="AP32">
        <f t="shared" ca="1" si="6"/>
        <v>3</v>
      </c>
    </row>
    <row r="33" spans="1:42" x14ac:dyDescent="0.25">
      <c r="A33" t="str">
        <f t="shared" ca="1" si="14"/>
        <v>USD 3M 10-2 CURVE FLR FLY</v>
      </c>
      <c r="B33">
        <f t="shared" ca="1" si="7"/>
        <v>12</v>
      </c>
      <c r="D33">
        <f t="shared" ca="1" si="15"/>
        <v>2</v>
      </c>
      <c r="E33">
        <f t="shared" ca="1" si="8"/>
        <v>6</v>
      </c>
      <c r="G33" s="382" t="str">
        <f t="shared" ca="1" si="1"/>
        <v/>
      </c>
      <c r="J33" s="378" t="str">
        <f t="shared" ca="1" si="9"/>
        <v>USD 3M 10-2 CURVE FLR FLY</v>
      </c>
      <c r="K33" s="396">
        <f ca="1">+IF(J33="","",IF($J33="Total",SUM(OFFSET(K33,-1,0,-OFFSET($AF$20,MATCH($D33,OFFSET($AD$20,1,0,$AD$19,1),0),0,1,1)-1,1)),_xlfn.IFNA(OFFSET(Report!$Q$116,MATCH($J33,OFFSET(Report!$G$116,1,0,$AJ$19,1),0),0,1,1),0)))</f>
        <v>-6.1317568579556659E-4</v>
      </c>
      <c r="L33" s="396">
        <f ca="1">+IF(J33="","",IF($J33="Total",SUM(OFFSET(L33,-1,0,-OFFSET($AF$20,MATCH($D33,OFFSET($AD$20,1,0,$AD$19,1),0),0,1,1)-1,1)),_xlfn.IFNA(OFFSET(Report!$R$196,MATCH($J33,OFFSET(Report!$G$196,1,0,$AJ$19,1),0),0,1,1),0)))</f>
        <v>2.1447584036644401E-3</v>
      </c>
      <c r="M33" s="396">
        <f ca="1">+IF(J33="","",IF($J33="Total",SUM(OFFSET(M33,-1,0,-OFFSET($AF$20,MATCH($D33,OFFSET($AD$20,1,0,$AD$19,1),0),0,1,1)-1,1)),_xlfn.IFNA(OFFSET(Report!$J$352,MATCH($J33,OFFSET(Report!$G$352,1,0,$AJ$19,1),0),0,1,1),0)))</f>
        <v>-3.2522967403079734E-4</v>
      </c>
      <c r="O33" s="396">
        <f t="shared" ca="1" si="16"/>
        <v>-1.9315729206159316E-2</v>
      </c>
      <c r="P33" s="396">
        <f t="shared" ca="1" si="16"/>
        <v>1.0315396473348852E-2</v>
      </c>
      <c r="Q33" s="396">
        <f t="shared" ca="1" si="16"/>
        <v>-6.1086730992296091E-3</v>
      </c>
      <c r="T33" s="397">
        <f ca="1">+IF(J33="","",IF($J33="Total",SUM(OFFSET(T33,-1,0,-OFFSET($AF$20,MATCH($D33,OFFSET($AD$20,1,0,$AD$19,1),0),0,1,1)-1,1)),_xlfn.IFNA(OFFSET(Report!$J$196,MATCH($J33,OFFSET(Report!$G$196,1,0,$AJ$19,1),0),0,1,1),0)))</f>
        <v>49707.436088425107</v>
      </c>
      <c r="U33" s="396">
        <f t="shared" ca="1" si="17"/>
        <v>-1.9210159436463675E-2</v>
      </c>
      <c r="X33" s="379"/>
      <c r="Y33" s="383"/>
      <c r="Z33" s="383"/>
      <c r="AD33">
        <f t="shared" ca="1" si="10"/>
        <v>13</v>
      </c>
      <c r="AE33" t="str">
        <f t="shared" ca="1" si="2"/>
        <v>CREDIT DISPERSION</v>
      </c>
      <c r="AF33">
        <f t="shared" ca="1" si="18"/>
        <v>1</v>
      </c>
      <c r="AG33">
        <f t="shared" ca="1" si="11"/>
        <v>67</v>
      </c>
      <c r="AH33">
        <f t="shared" ca="1" si="3"/>
        <v>65</v>
      </c>
      <c r="AJ33">
        <f t="shared" si="12"/>
        <v>13</v>
      </c>
      <c r="AK33" s="386" t="str">
        <f ca="1"/>
        <v>USDTWD RKI CALL SPREAD</v>
      </c>
      <c r="AL33" s="386" t="str">
        <f ca="1"/>
        <v>FX TACTICAL/MEAN REVERSION</v>
      </c>
      <c r="AM33">
        <f t="shared" ca="1" si="4"/>
        <v>2</v>
      </c>
      <c r="AN33">
        <f t="shared" ca="1" si="5"/>
        <v>18</v>
      </c>
      <c r="AO33">
        <f t="shared" ca="1" si="13"/>
        <v>0</v>
      </c>
      <c r="AP33">
        <f t="shared" ca="1" si="6"/>
        <v>0</v>
      </c>
    </row>
    <row r="34" spans="1:42" x14ac:dyDescent="0.25">
      <c r="A34" t="str">
        <f t="shared" ca="1" si="14"/>
        <v>USD 3M1Y1Y MISWEIGHTED FLY</v>
      </c>
      <c r="B34">
        <f t="shared" ca="1" si="7"/>
        <v>13</v>
      </c>
      <c r="D34">
        <f t="shared" ca="1" si="15"/>
        <v>2</v>
      </c>
      <c r="E34">
        <f t="shared" ca="1" si="8"/>
        <v>7</v>
      </c>
      <c r="G34" s="382" t="str">
        <f t="shared" ca="1" si="1"/>
        <v/>
      </c>
      <c r="J34" s="378" t="str">
        <f t="shared" ca="1" si="9"/>
        <v>USD 3M1Y1Y MISWEIGHTED FLY</v>
      </c>
      <c r="K34" s="396">
        <f ca="1">+IF(J34="","",IF($J34="Total",SUM(OFFSET(K34,-1,0,-OFFSET($AF$20,MATCH($D34,OFFSET($AD$20,1,0,$AD$19,1),0),0,1,1)-1,1)),_xlfn.IFNA(OFFSET(Report!$Q$116,MATCH($J34,OFFSET(Report!$G$116,1,0,$AJ$19,1),0),0,1,1),0)))</f>
        <v>-4.4622912652430333E-7</v>
      </c>
      <c r="L34" s="396">
        <f ca="1">+IF(J34="","",IF($J34="Total",SUM(OFFSET(L34,-1,0,-OFFSET($AF$20,MATCH($D34,OFFSET($AD$20,1,0,$AD$19,1),0),0,1,1)-1,1)),_xlfn.IFNA(OFFSET(Report!$R$196,MATCH($J34,OFFSET(Report!$G$196,1,0,$AJ$19,1),0),0,1,1),0)))</f>
        <v>5.2951965632195392E-4</v>
      </c>
      <c r="M34" s="396">
        <f ca="1">+IF(J34="","",IF($J34="Total",SUM(OFFSET(M34,-1,0,-OFFSET($AF$20,MATCH($D34,OFFSET($AD$20,1,0,$AD$19,1),0),0,1,1)-1,1)),_xlfn.IFNA(OFFSET(Report!$J$352,MATCH($J34,OFFSET(Report!$G$352,1,0,$AJ$19,1),0),0,1,1),0)))</f>
        <v>-1.4230756893013923E-6</v>
      </c>
      <c r="O34" s="396">
        <f t="shared" ca="1" si="16"/>
        <v>-1.4056723336414404E-5</v>
      </c>
      <c r="P34" s="396">
        <f t="shared" ca="1" si="16"/>
        <v>2.5467694571378739E-3</v>
      </c>
      <c r="Q34" s="396">
        <f t="shared" ca="1" si="16"/>
        <v>-2.6729123679470475E-5</v>
      </c>
      <c r="T34" s="397">
        <f ca="1">+IF(J34="","",IF($J34="Total",SUM(OFFSET(T34,-1,0,-OFFSET($AF$20,MATCH($D34,OFFSET($AD$20,1,0,$AD$19,1),0),0,1,1)-1,1)),_xlfn.IFNA(OFFSET(Report!$J$196,MATCH($J34,OFFSET(Report!$G$196,1,0,$AJ$19,1),0),0,1,1),0)))</f>
        <v>-152775.68199445575</v>
      </c>
      <c r="U34" s="396">
        <f t="shared" ca="1" si="17"/>
        <v>5.9042377561118603E-2</v>
      </c>
      <c r="X34" s="379"/>
      <c r="Y34" s="383"/>
      <c r="Z34" s="383"/>
      <c r="AD34">
        <f t="shared" ca="1" si="10"/>
        <v>14</v>
      </c>
      <c r="AE34" t="str">
        <f t="shared" ca="1" si="2"/>
        <v>CASH MANAGEMENT</v>
      </c>
      <c r="AF34">
        <f t="shared" ca="1" si="18"/>
        <v>2</v>
      </c>
      <c r="AG34">
        <f t="shared" ca="1" si="11"/>
        <v>71</v>
      </c>
      <c r="AH34">
        <f t="shared" ca="1" si="3"/>
        <v>68</v>
      </c>
      <c r="AJ34">
        <f t="shared" si="12"/>
        <v>14</v>
      </c>
      <c r="AK34" s="386" t="str">
        <f ca="1"/>
        <v>USDTWD DIGITAL</v>
      </c>
      <c r="AL34" s="386" t="str">
        <f ca="1"/>
        <v>FX TACTICAL/MEAN REVERSION</v>
      </c>
      <c r="AM34">
        <f t="shared" ca="1" si="4"/>
        <v>3</v>
      </c>
      <c r="AN34">
        <f t="shared" ca="1" si="5"/>
        <v>19</v>
      </c>
      <c r="AO34">
        <f t="shared" ca="1" si="13"/>
        <v>0</v>
      </c>
      <c r="AP34">
        <f t="shared" ca="1" si="6"/>
        <v>0</v>
      </c>
    </row>
    <row r="35" spans="1:42" x14ac:dyDescent="0.25">
      <c r="A35" t="str">
        <f t="shared" ca="1" si="14"/>
        <v xml:space="preserve"> EDZ8 PUT CONDOR</v>
      </c>
      <c r="B35">
        <f t="shared" ca="1" si="7"/>
        <v>14</v>
      </c>
      <c r="D35">
        <f t="shared" ca="1" si="15"/>
        <v>2</v>
      </c>
      <c r="E35">
        <f t="shared" ca="1" si="8"/>
        <v>8</v>
      </c>
      <c r="G35" s="382" t="str">
        <f t="shared" ca="1" si="1"/>
        <v/>
      </c>
      <c r="J35" s="378" t="str">
        <f t="shared" ca="1" si="9"/>
        <v xml:space="preserve"> EDZ8 PUT CONDOR</v>
      </c>
      <c r="K35" s="396">
        <f ca="1">+IF(J35="","",IF($J35="Total",SUM(OFFSET(K35,-1,0,-OFFSET($AF$20,MATCH($D35,OFFSET($AD$20,1,0,$AD$19,1),0),0,1,1)-1,1)),_xlfn.IFNA(OFFSET(Report!$Q$116,MATCH($J35,OFFSET(Report!$G$116,1,0,$AJ$19,1),0),0,1,1),0)))</f>
        <v>-1.7648554525146866E-9</v>
      </c>
      <c r="L35" s="396">
        <f ca="1">+IF(J35="","",IF($J35="Total",SUM(OFFSET(L35,-1,0,-OFFSET($AF$20,MATCH($D35,OFFSET($AD$20,1,0,$AD$19,1),0),0,1,1)-1,1)),_xlfn.IFNA(OFFSET(Report!$R$196,MATCH($J35,OFFSET(Report!$G$196,1,0,$AJ$19,1),0),0,1,1),0)))</f>
        <v>3.2493697381749995E-4</v>
      </c>
      <c r="M35" s="396">
        <f ca="1">+IF(J35="","",IF($J35="Total",SUM(OFFSET(M35,-1,0,-OFFSET($AF$20,MATCH($D35,OFFSET($AD$20,1,0,$AD$19,1),0),0,1,1)-1,1)),_xlfn.IFNA(OFFSET(Report!$J$352,MATCH($J35,OFFSET(Report!$G$352,1,0,$AJ$19,1),0),0,1,1),0)))</f>
        <v>-2.8590373667520792E-9</v>
      </c>
      <c r="O35" s="396">
        <f t="shared" ca="1" si="16"/>
        <v>-5.5594947416347672E-8</v>
      </c>
      <c r="P35" s="396">
        <f t="shared" ca="1" si="16"/>
        <v>1.5628117871229026E-3</v>
      </c>
      <c r="Q35" s="396">
        <f t="shared" ca="1" si="16"/>
        <v>-5.370028028351699E-8</v>
      </c>
      <c r="T35" s="397">
        <f ca="1">+IF(J35="","",IF($J35="Total",SUM(OFFSET(T35,-1,0,-OFFSET($AF$20,MATCH($D35,OFFSET($AD$20,1,0,$AD$19,1),0),0,1,1)-1,1)),_xlfn.IFNA(OFFSET(Report!$J$196,MATCH($J35,OFFSET(Report!$G$196,1,0,$AJ$19,1),0),0,1,1),0)))</f>
        <v>37249</v>
      </c>
      <c r="U35" s="396">
        <f t="shared" ca="1" si="17"/>
        <v>-1.4395416162199942E-2</v>
      </c>
      <c r="AD35" t="e">
        <f t="shared" ca="1" si="10"/>
        <v>#N/A</v>
      </c>
      <c r="AE35" t="e">
        <f t="shared" ca="1" si="2"/>
        <v>#N/A</v>
      </c>
      <c r="AF35" t="e">
        <f t="shared" ca="1" si="18"/>
        <v>#N/A</v>
      </c>
      <c r="AG35" t="e">
        <f t="shared" ca="1" si="11"/>
        <v>#N/A</v>
      </c>
      <c r="AH35" t="e">
        <f t="shared" ca="1" si="3"/>
        <v>#N/A</v>
      </c>
      <c r="AJ35">
        <f t="shared" si="12"/>
        <v>15</v>
      </c>
      <c r="AK35" s="386" t="str">
        <f ca="1"/>
        <v>USDMXN KI PUT SPREAD</v>
      </c>
      <c r="AL35" s="386" t="str">
        <f ca="1"/>
        <v>FX TACTICAL/MEAN REVERSION</v>
      </c>
      <c r="AM35">
        <f t="shared" ca="1" si="4"/>
        <v>4</v>
      </c>
      <c r="AN35">
        <f t="shared" ca="1" si="5"/>
        <v>20</v>
      </c>
      <c r="AO35">
        <f t="shared" ca="1" si="13"/>
        <v>0</v>
      </c>
      <c r="AP35">
        <f t="shared" ca="1" si="6"/>
        <v>0</v>
      </c>
    </row>
    <row r="36" spans="1:42" x14ac:dyDescent="0.25">
      <c r="A36" t="e">
        <f t="shared" ca="1" si="14"/>
        <v>#N/A</v>
      </c>
      <c r="B36">
        <f t="shared" ca="1" si="7"/>
        <v>15</v>
      </c>
      <c r="D36">
        <f t="shared" ca="1" si="15"/>
        <v>2</v>
      </c>
      <c r="E36">
        <f t="shared" ca="1" si="8"/>
        <v>9</v>
      </c>
      <c r="G36" s="382" t="str">
        <f t="shared" ca="1" si="1"/>
        <v/>
      </c>
      <c r="J36" s="378" t="str">
        <f t="shared" ca="1" si="9"/>
        <v>Total</v>
      </c>
      <c r="K36" s="396">
        <f ca="1">+IF(J36="","",IF($J36="Total",SUM(OFFSET(K36,-1,0,-OFFSET($AF$20,MATCH($D36,OFFSET($AD$20,1,0,$AD$19,1),0),0,1,1)-1,1)),_xlfn.IFNA(OFFSET(Report!$Q$116,MATCH($J36,OFFSET(Report!$G$116,1,0,$AJ$19,1),0),0,1,1),0)))</f>
        <v>-1.765024518876617E-3</v>
      </c>
      <c r="L36" s="396">
        <f ca="1">+IF(J36="","",IF($J36="Total",SUM(OFFSET(L36,-1,0,-OFFSET($AF$20,MATCH($D36,OFFSET($AD$20,1,0,$AD$19,1),0),0,1,1)-1,1)),_xlfn.IFNA(OFFSET(Report!$R$196,MATCH($J36,OFFSET(Report!$G$196,1,0,$AJ$19,1),0),0,1,1),0)))</f>
        <v>1.5945568639214085E-2</v>
      </c>
      <c r="M36" s="396">
        <f ca="1">+IF(J36="","",IF($J36="Total",SUM(OFFSET(M36,-1,0,-OFFSET($AF$20,MATCH($D36,OFFSET($AD$20,1,0,$AD$19,1),0),0,1,1)-1,1)),_xlfn.IFNA(OFFSET(Report!$J$352,MATCH($J36,OFFSET(Report!$G$352,1,0,$AJ$19,1),0),0,1,1),0)))</f>
        <v>-1.0197149925229966E-3</v>
      </c>
      <c r="O36" s="396">
        <f t="shared" ca="1" si="16"/>
        <v>-5.5600273198404215E-2</v>
      </c>
      <c r="P36" s="396">
        <f t="shared" ca="1" si="16"/>
        <v>7.6691557531822427E-2</v>
      </c>
      <c r="Q36" s="396">
        <f t="shared" ca="1" si="16"/>
        <v>-1.9152943415355426E-2</v>
      </c>
      <c r="T36" s="397">
        <f ca="1">+IF(J36="","",IF($J36="Total",SUM(OFFSET(T36,-1,0,-OFFSET($AF$20,MATCH($D36,OFFSET($AD$20,1,0,$AD$19,1),0),0,1,1)-1,1)),_xlfn.IFNA(OFFSET(Report!$J$196,MATCH($J36,OFFSET(Report!$G$196,1,0,$AJ$19,1),0),0,1,1),0)))</f>
        <v>102087.41790387762</v>
      </c>
      <c r="U36" s="396">
        <f t="shared" ca="1" si="17"/>
        <v>-3.9453162921172111E-2</v>
      </c>
      <c r="AD36" t="e">
        <f t="shared" ca="1" si="10"/>
        <v>#N/A</v>
      </c>
      <c r="AE36" t="e">
        <f t="shared" ca="1" si="2"/>
        <v>#N/A</v>
      </c>
      <c r="AF36" t="e">
        <f t="shared" ca="1" si="18"/>
        <v>#N/A</v>
      </c>
      <c r="AG36" t="e">
        <f t="shared" ca="1" si="11"/>
        <v>#N/A</v>
      </c>
      <c r="AH36" t="e">
        <f t="shared" ca="1" si="3"/>
        <v>#N/A</v>
      </c>
      <c r="AJ36">
        <f t="shared" si="12"/>
        <v>16</v>
      </c>
      <c r="AK36" s="386" t="str">
        <f ca="1"/>
        <v>USDKRW OT VS DIGI</v>
      </c>
      <c r="AL36" s="386" t="str">
        <f ca="1"/>
        <v>FX TACTICAL/MEAN REVERSION</v>
      </c>
      <c r="AM36">
        <f t="shared" ca="1" si="4"/>
        <v>5</v>
      </c>
      <c r="AN36">
        <f t="shared" ca="1" si="5"/>
        <v>21</v>
      </c>
      <c r="AO36">
        <f t="shared" ca="1" si="13"/>
        <v>0</v>
      </c>
      <c r="AP36">
        <f t="shared" ca="1" si="6"/>
        <v>0</v>
      </c>
    </row>
    <row r="37" spans="1:42" x14ac:dyDescent="0.25">
      <c r="A37" t="str">
        <f t="shared" ca="1" si="14"/>
        <v/>
      </c>
      <c r="B37">
        <f t="shared" ca="1" si="7"/>
        <v>16</v>
      </c>
      <c r="D37">
        <f t="shared" ca="1" si="15"/>
        <v>3</v>
      </c>
      <c r="E37" t="str">
        <f t="shared" ca="1" si="8"/>
        <v/>
      </c>
      <c r="G37" s="382" t="str">
        <f t="shared" ca="1" si="1"/>
        <v>FX TACTICAL/MEAN REVERSION</v>
      </c>
      <c r="J37" s="378" t="str">
        <f t="shared" ca="1" si="9"/>
        <v/>
      </c>
      <c r="K37" s="396" t="str">
        <f ca="1">+IF(J37="","",IF($J37="Total",SUM(OFFSET(K37,-1,0,-OFFSET($AF$20,MATCH($D37,OFFSET($AD$20,1,0,$AD$19,1),0),0,1,1)-1,1)),_xlfn.IFNA(OFFSET(Report!$Q$116,MATCH($J37,OFFSET(Report!$G$116,1,0,$AJ$19,1),0),0,1,1),0)))</f>
        <v/>
      </c>
      <c r="L37" s="396" t="str">
        <f ca="1">+IF(J37="","",IF($J37="Total",SUM(OFFSET(L37,-1,0,-OFFSET($AF$20,MATCH($D37,OFFSET($AD$20,1,0,$AD$19,1),0),0,1,1)-1,1)),_xlfn.IFNA(OFFSET(Report!$R$196,MATCH($J37,OFFSET(Report!$G$196,1,0,$AJ$19,1),0),0,1,1),0)))</f>
        <v/>
      </c>
      <c r="M37" s="396" t="str">
        <f ca="1">+IF(J37="","",IF($J37="Total",SUM(OFFSET(M37,-1,0,-OFFSET($AF$20,MATCH($D37,OFFSET($AD$20,1,0,$AD$19,1),0),0,1,1)-1,1)),_xlfn.IFNA(OFFSET(Report!$J$352,MATCH($J37,OFFSET(Report!$G$352,1,0,$AJ$19,1),0),0,1,1),0)))</f>
        <v/>
      </c>
      <c r="O37" s="396" t="str">
        <f t="shared" ca="1" si="16"/>
        <v/>
      </c>
      <c r="P37" s="396" t="str">
        <f t="shared" ca="1" si="16"/>
        <v/>
      </c>
      <c r="Q37" s="396" t="str">
        <f t="shared" ca="1" si="16"/>
        <v/>
      </c>
      <c r="T37" s="397" t="str">
        <f ca="1">+IF(J37="","",IF($J37="Total",SUM(OFFSET(T37,-1,0,-OFFSET($AF$20,MATCH($D37,OFFSET($AD$20,1,0,$AD$19,1),0),0,1,1)-1,1)),_xlfn.IFNA(OFFSET(Report!$J$196,MATCH($J37,OFFSET(Report!$G$196,1,0,$AJ$19,1),0),0,1,1),0)))</f>
        <v/>
      </c>
      <c r="U37" s="396" t="str">
        <f t="shared" ca="1" si="17"/>
        <v/>
      </c>
      <c r="X37" s="379"/>
      <c r="Y37" s="383"/>
      <c r="AD37" t="e">
        <f t="shared" ca="1" si="10"/>
        <v>#N/A</v>
      </c>
      <c r="AE37" t="e">
        <f t="shared" ca="1" si="2"/>
        <v>#N/A</v>
      </c>
      <c r="AF37" t="e">
        <f t="shared" ca="1" si="18"/>
        <v>#N/A</v>
      </c>
      <c r="AG37" t="e">
        <f t="shared" ca="1" si="11"/>
        <v>#N/A</v>
      </c>
      <c r="AH37" t="e">
        <f t="shared" ca="1" si="3"/>
        <v>#N/A</v>
      </c>
      <c r="AJ37">
        <f t="shared" si="12"/>
        <v>17</v>
      </c>
      <c r="AK37" s="386" t="str">
        <f ca="1"/>
        <v>USDJPY 5Y ATMS CALL</v>
      </c>
      <c r="AL37" s="386" t="str">
        <f ca="1"/>
        <v>FX GAMMA/VEGA</v>
      </c>
      <c r="AM37">
        <f t="shared" ca="1" si="4"/>
        <v>1</v>
      </c>
      <c r="AN37">
        <f t="shared" ca="1" si="5"/>
        <v>24</v>
      </c>
      <c r="AO37">
        <f t="shared" ca="1" si="13"/>
        <v>4</v>
      </c>
      <c r="AP37">
        <f t="shared" ca="1" si="6"/>
        <v>4</v>
      </c>
    </row>
    <row r="38" spans="1:42" x14ac:dyDescent="0.25">
      <c r="A38" t="str">
        <f t="shared" ca="1" si="14"/>
        <v>USDRUB OCT18 ONE TOUCH</v>
      </c>
      <c r="B38">
        <f t="shared" ca="1" si="7"/>
        <v>17</v>
      </c>
      <c r="D38">
        <f t="shared" ca="1" si="15"/>
        <v>3</v>
      </c>
      <c r="E38">
        <f t="shared" ca="1" si="8"/>
        <v>1</v>
      </c>
      <c r="G38" s="382" t="str">
        <f t="shared" ca="1" si="1"/>
        <v/>
      </c>
      <c r="J38" s="378" t="str">
        <f t="shared" ca="1" si="9"/>
        <v>USDRUB OCT18 ONE TOUCH</v>
      </c>
      <c r="K38" s="396">
        <f ca="1">+IF(J38="","",IF($J38="Total",SUM(OFFSET(K38,-1,0,-OFFSET($AF$20,MATCH($D38,OFFSET($AD$20,1,0,$AD$19,1),0),0,1,1)-1,1)),_xlfn.IFNA(OFFSET(Report!$Q$116,MATCH($J38,OFFSET(Report!$G$116,1,0,$AJ$19,1),0),0,1,1),0)))</f>
        <v>0</v>
      </c>
      <c r="L38" s="396">
        <f ca="1">+IF(J38="","",IF($J38="Total",SUM(OFFSET(L38,-1,0,-OFFSET($AF$20,MATCH($D38,OFFSET($AD$20,1,0,$AD$19,1),0),0,1,1)-1,1)),_xlfn.IFNA(OFFSET(Report!$R$196,MATCH($J38,OFFSET(Report!$G$196,1,0,$AJ$19,1),0),0,1,1),0)))</f>
        <v>7.6945075399984008E-4</v>
      </c>
      <c r="M38" s="396">
        <f ca="1">+IF(J38="","",IF($J38="Total",SUM(OFFSET(M38,-1,0,-OFFSET($AF$20,MATCH($D38,OFFSET($AD$20,1,0,$AD$19,1),0),0,1,1)-1,1)),_xlfn.IFNA(OFFSET(Report!$J$352,MATCH($J38,OFFSET(Report!$G$352,1,0,$AJ$19,1),0),0,1,1),0)))</f>
        <v>3.7213946512849658E-6</v>
      </c>
      <c r="O38" s="396">
        <f t="shared" ca="1" si="16"/>
        <v>0</v>
      </c>
      <c r="P38" s="396">
        <f t="shared" ca="1" si="16"/>
        <v>3.7007383119070343E-3</v>
      </c>
      <c r="Q38" s="396">
        <f t="shared" ca="1" si="16"/>
        <v>6.989762993080626E-5</v>
      </c>
      <c r="T38" s="397">
        <f ca="1">+IF(J38="","",IF($J38="Total",SUM(OFFSET(T38,-1,0,-OFFSET($AF$20,MATCH($D38,OFFSET($AD$20,1,0,$AD$19,1),0),0,1,1)-1,1)),_xlfn.IFNA(OFFSET(Report!$J$196,MATCH($J38,OFFSET(Report!$G$196,1,0,$AJ$19,1),0),0,1,1),0)))</f>
        <v>-220007.1443263946</v>
      </c>
      <c r="U38" s="396">
        <f t="shared" ca="1" si="17"/>
        <v>8.5024951038568441E-2</v>
      </c>
      <c r="X38" s="379"/>
      <c r="Y38" s="383"/>
      <c r="AD38" t="e">
        <f t="shared" ca="1" si="10"/>
        <v>#N/A</v>
      </c>
      <c r="AE38" t="e">
        <f t="shared" ca="1" si="2"/>
        <v>#N/A</v>
      </c>
      <c r="AF38" t="e">
        <f t="shared" ca="1" si="18"/>
        <v>#N/A</v>
      </c>
      <c r="AG38" t="e">
        <f t="shared" ca="1" si="11"/>
        <v>#N/A</v>
      </c>
      <c r="AH38" t="e">
        <f t="shared" ca="1" si="3"/>
        <v>#N/A</v>
      </c>
      <c r="AJ38">
        <f t="shared" si="12"/>
        <v>18</v>
      </c>
      <c r="AK38" s="386" t="str">
        <f ca="1"/>
        <v>USDIDR PUT SPREAD</v>
      </c>
      <c r="AL38" s="386" t="str">
        <f ca="1"/>
        <v>FX EM CARRY</v>
      </c>
      <c r="AM38">
        <f t="shared" ca="1" si="4"/>
        <v>1</v>
      </c>
      <c r="AN38">
        <f t="shared" ca="1" si="5"/>
        <v>27</v>
      </c>
      <c r="AO38">
        <f t="shared" ca="1" si="13"/>
        <v>5</v>
      </c>
      <c r="AP38">
        <f t="shared" ca="1" si="6"/>
        <v>5</v>
      </c>
    </row>
    <row r="39" spans="1:42" x14ac:dyDescent="0.25">
      <c r="A39" t="str">
        <f t="shared" ca="1" si="14"/>
        <v>USDTWD RKI CALL SPREAD</v>
      </c>
      <c r="B39">
        <f t="shared" ca="1" si="7"/>
        <v>18</v>
      </c>
      <c r="D39">
        <f t="shared" ca="1" si="15"/>
        <v>3</v>
      </c>
      <c r="E39">
        <f t="shared" ca="1" si="8"/>
        <v>2</v>
      </c>
      <c r="G39" s="382" t="str">
        <f t="shared" ca="1" si="1"/>
        <v/>
      </c>
      <c r="J39" s="378" t="str">
        <f t="shared" ca="1" si="9"/>
        <v>USDTWD RKI CALL SPREAD</v>
      </c>
      <c r="K39" s="396">
        <f ca="1">+IF(J39="","",IF($J39="Total",SUM(OFFSET(K39,-1,0,-OFFSET($AF$20,MATCH($D39,OFFSET($AD$20,1,0,$AD$19,1),0),0,1,1)-1,1)),_xlfn.IFNA(OFFSET(Report!$Q$116,MATCH($J39,OFFSET(Report!$G$116,1,0,$AJ$19,1),0),0,1,1),0)))</f>
        <v>9.34761783777591E-4</v>
      </c>
      <c r="L39" s="396">
        <f ca="1">+IF(J39="","",IF($J39="Total",SUM(OFFSET(L39,-1,0,-OFFSET($AF$20,MATCH($D39,OFFSET($AD$20,1,0,$AD$19,1),0),0,1,1)-1,1)),_xlfn.IFNA(OFFSET(Report!$R$196,MATCH($J39,OFFSET(Report!$G$196,1,0,$AJ$19,1),0),0,1,1),0)))</f>
        <v>2.0326580285625795E-3</v>
      </c>
      <c r="M39" s="396">
        <f ca="1">+IF(J39="","",IF($J39="Total",SUM(OFFSET(M39,-1,0,-OFFSET($AF$20,MATCH($D39,OFFSET($AD$20,1,0,$AD$19,1),0),0,1,1)-1,1)),_xlfn.IFNA(OFFSET(Report!$J$352,MATCH($J39,OFFSET(Report!$G$352,1,0,$AJ$19,1),0),0,1,1),0)))</f>
        <v>2.0326580285625799E-3</v>
      </c>
      <c r="O39" s="396">
        <f t="shared" ca="1" si="16"/>
        <v>2.9446055846601444E-2</v>
      </c>
      <c r="P39" s="396">
        <f t="shared" ca="1" si="16"/>
        <v>9.776240262555547E-3</v>
      </c>
      <c r="Q39" s="396">
        <f t="shared" ca="1" si="16"/>
        <v>3.8178691584696917E-2</v>
      </c>
      <c r="T39" s="397">
        <f ca="1">+IF(J39="","",IF($J39="Total",SUM(OFFSET(T39,-1,0,-OFFSET($AF$20,MATCH($D39,OFFSET($AD$20,1,0,$AD$19,1),0),0,1,1)-1,1)),_xlfn.IFNA(OFFSET(Report!$J$196,MATCH($J39,OFFSET(Report!$G$196,1,0,$AJ$19,1),0),0,1,1),0)))</f>
        <v>229457.39184107209</v>
      </c>
      <c r="U39" s="396">
        <f t="shared" ca="1" si="17"/>
        <v>-8.8677136219635813E-2</v>
      </c>
      <c r="X39" s="379"/>
      <c r="Y39" s="383"/>
      <c r="AD39" t="e">
        <f t="shared" ca="1" si="10"/>
        <v>#N/A</v>
      </c>
      <c r="AE39" t="e">
        <f t="shared" ca="1" si="2"/>
        <v>#N/A</v>
      </c>
      <c r="AF39" t="e">
        <f t="shared" ca="1" si="18"/>
        <v>#N/A</v>
      </c>
      <c r="AG39" t="e">
        <f t="shared" ca="1" si="11"/>
        <v>#N/A</v>
      </c>
      <c r="AH39" t="e">
        <f t="shared" ca="1" si="3"/>
        <v>#N/A</v>
      </c>
      <c r="AJ39">
        <f t="shared" si="12"/>
        <v>19</v>
      </c>
      <c r="AK39" s="386" t="str">
        <f ca="1"/>
        <v>EURTRY 5.061/4.44 NOV18 PS</v>
      </c>
      <c r="AL39" s="386" t="str">
        <f ca="1"/>
        <v>FX EM CARRY</v>
      </c>
      <c r="AM39">
        <f t="shared" ca="1" si="4"/>
        <v>2</v>
      </c>
      <c r="AN39">
        <f t="shared" ca="1" si="5"/>
        <v>28</v>
      </c>
      <c r="AO39">
        <f t="shared" ca="1" si="13"/>
        <v>0</v>
      </c>
      <c r="AP39">
        <f t="shared" ca="1" si="6"/>
        <v>0</v>
      </c>
    </row>
    <row r="40" spans="1:42" x14ac:dyDescent="0.25">
      <c r="A40" t="str">
        <f t="shared" ca="1" si="14"/>
        <v>USDTWD DIGITAL</v>
      </c>
      <c r="B40">
        <f t="shared" ca="1" si="7"/>
        <v>19</v>
      </c>
      <c r="D40">
        <f t="shared" ca="1" si="15"/>
        <v>3</v>
      </c>
      <c r="E40">
        <f t="shared" ca="1" si="8"/>
        <v>3</v>
      </c>
      <c r="G40" s="382" t="str">
        <f ca="1">+IF(ISNA($B40),"",_xlfn.IFNA(OFFSET($AE$20,MATCH($B40,OFFSET($AH$20,1,0,$AD$19,1),0),0,1,1),""))</f>
        <v/>
      </c>
      <c r="J40" s="378" t="str">
        <f t="shared" ca="1" si="9"/>
        <v>USDTWD DIGITAL</v>
      </c>
      <c r="K40" s="396">
        <f ca="1">+IF(J40="","",IF($J40="Total",SUM(OFFSET(K40,-1,0,-OFFSET($AF$20,MATCH($D40,OFFSET($AD$20,1,0,$AD$19,1),0),0,1,1)-1,1)),_xlfn.IFNA(OFFSET(Report!$Q$116,MATCH($J40,OFFSET(Report!$G$116,1,0,$AJ$19,1),0),0,1,1),0)))</f>
        <v>2.2222002358303675E-3</v>
      </c>
      <c r="L40" s="396">
        <f ca="1">+IF(J40="","",IF($J40="Total",SUM(OFFSET(L40,-1,0,-OFFSET($AF$20,MATCH($D40,OFFSET($AD$20,1,0,$AD$19,1),0),0,1,1)-1,1)),_xlfn.IFNA(OFFSET(Report!$R$196,MATCH($J40,OFFSET(Report!$G$196,1,0,$AJ$19,1),0),0,1,1),0)))</f>
        <v>2.8937129974245463E-3</v>
      </c>
      <c r="M40" s="396">
        <f ca="1">+IF(J40="","",IF($J40="Total",SUM(OFFSET(M40,-1,0,-OFFSET($AF$20,MATCH($D40,OFFSET($AD$20,1,0,$AD$19,1),0),0,1,1)-1,1)),_xlfn.IFNA(OFFSET(Report!$J$352,MATCH($J40,OFFSET(Report!$G$352,1,0,$AJ$19,1),0),0,1,1),0)))</f>
        <v>2.8937129974245471E-3</v>
      </c>
      <c r="O40" s="396">
        <f t="shared" ca="1" si="16"/>
        <v>7.0001826542537532E-2</v>
      </c>
      <c r="P40" s="396">
        <f t="shared" ca="1" si="16"/>
        <v>1.3917556773535353E-2</v>
      </c>
      <c r="Q40" s="396">
        <f t="shared" ca="1" si="16"/>
        <v>5.4351580300709357E-2</v>
      </c>
      <c r="T40" s="397">
        <f ca="1">+IF(J40="","",IF($J40="Total",SUM(OFFSET(T40,-1,0,-OFFSET($AF$20,MATCH($D40,OFFSET($AD$20,1,0,$AD$19,1),0),0,1,1)-1,1)),_xlfn.IFNA(OFFSET(Report!$J$196,MATCH($J40,OFFSET(Report!$G$196,1,0,$AJ$19,1),0),0,1,1),0)))</f>
        <v>3674.5327161096793</v>
      </c>
      <c r="U40" s="396">
        <f t="shared" ca="1" si="17"/>
        <v>-1.4200764490326647E-3</v>
      </c>
      <c r="X40" s="379"/>
      <c r="Y40" s="383"/>
      <c r="AD40" t="e">
        <f t="shared" ca="1" si="10"/>
        <v>#N/A</v>
      </c>
      <c r="AE40" t="e">
        <f t="shared" ca="1" si="2"/>
        <v>#N/A</v>
      </c>
      <c r="AF40" t="e">
        <f t="shared" ca="1" si="18"/>
        <v>#N/A</v>
      </c>
      <c r="AG40" t="e">
        <f t="shared" ca="1" si="11"/>
        <v>#N/A</v>
      </c>
      <c r="AH40" t="e">
        <f t="shared" ca="1" si="3"/>
        <v>#N/A</v>
      </c>
      <c r="AJ40">
        <f t="shared" si="12"/>
        <v>20</v>
      </c>
      <c r="AK40" s="386" t="str">
        <f ca="1"/>
        <v>USDTRY CALENDAR SPREAD</v>
      </c>
      <c r="AL40" s="386" t="str">
        <f ca="1"/>
        <v>FX EM CARRY</v>
      </c>
      <c r="AM40">
        <f t="shared" ca="1" si="4"/>
        <v>3</v>
      </c>
      <c r="AN40">
        <f t="shared" ca="1" si="5"/>
        <v>29</v>
      </c>
      <c r="AO40">
        <f t="shared" ca="1" si="13"/>
        <v>0</v>
      </c>
      <c r="AP40">
        <f t="shared" ca="1" si="6"/>
        <v>0</v>
      </c>
    </row>
    <row r="41" spans="1:42" x14ac:dyDescent="0.25">
      <c r="A41" t="str">
        <f t="shared" ca="1" si="14"/>
        <v>USDMXN KI PUT SPREAD</v>
      </c>
      <c r="B41">
        <f t="shared" ca="1" si="7"/>
        <v>20</v>
      </c>
      <c r="D41">
        <f t="shared" ca="1" si="15"/>
        <v>3</v>
      </c>
      <c r="E41">
        <f t="shared" ca="1" si="8"/>
        <v>4</v>
      </c>
      <c r="G41" s="382" t="str">
        <f t="shared" ca="1" si="1"/>
        <v/>
      </c>
      <c r="J41" s="378" t="str">
        <f t="shared" ca="1" si="9"/>
        <v>USDMXN KI PUT SPREAD</v>
      </c>
      <c r="K41" s="396">
        <f ca="1">+IF(J41="","",IF($J41="Total",SUM(OFFSET(K41,-1,0,-OFFSET($AF$20,MATCH($D41,OFFSET($AD$20,1,0,$AD$19,1),0),0,1,1)-1,1)),_xlfn.IFNA(OFFSET(Report!$Q$116,MATCH($J41,OFFSET(Report!$G$116,1,0,$AJ$19,1),0),0,1,1),0)))</f>
        <v>-6.7951614640243894E-5</v>
      </c>
      <c r="L41" s="396">
        <f ca="1">+IF(J41="","",IF($J41="Total",SUM(OFFSET(L41,-1,0,-OFFSET($AF$20,MATCH($D41,OFFSET($AD$20,1,0,$AD$19,1),0),0,1,1)-1,1)),_xlfn.IFNA(OFFSET(Report!$R$196,MATCH($J41,OFFSET(Report!$G$196,1,0,$AJ$19,1),0),0,1,1),0)))</f>
        <v>8.1450868103586705E-4</v>
      </c>
      <c r="M41" s="396">
        <f ca="1">+IF(J41="","",IF($J41="Total",SUM(OFFSET(M41,-1,0,-OFFSET($AF$20,MATCH($D41,OFFSET($AD$20,1,0,$AD$19,1),0),0,1,1)-1,1)),_xlfn.IFNA(OFFSET(Report!$J$352,MATCH($J41,OFFSET(Report!$G$352,1,0,$AJ$19,1),0),0,1,1),0)))</f>
        <v>-2.8855654819534791E-5</v>
      </c>
      <c r="O41" s="396">
        <f t="shared" ca="1" si="16"/>
        <v>-2.1405528919648691E-3</v>
      </c>
      <c r="P41" s="396">
        <f t="shared" ca="1" si="16"/>
        <v>3.9174482130547444E-3</v>
      </c>
      <c r="Q41" s="396">
        <f t="shared" ca="1" si="16"/>
        <v>-5.4198548420294416E-4</v>
      </c>
      <c r="T41" s="397">
        <f ca="1">+IF(J41="","",IF($J41="Total",SUM(OFFSET(T41,-1,0,-OFFSET($AF$20,MATCH($D41,OFFSET($AD$20,1,0,$AD$19,1),0),0,1,1)-1,1)),_xlfn.IFNA(OFFSET(Report!$J$196,MATCH($J41,OFFSET(Report!$G$196,1,0,$AJ$19,1),0),0,1,1),0)))</f>
        <v>-200617.85934644259</v>
      </c>
      <c r="U41" s="396">
        <f t="shared" ca="1" si="17"/>
        <v>7.7531680712548914E-2</v>
      </c>
      <c r="X41" s="379"/>
      <c r="Y41" s="383"/>
      <c r="AD41" t="e">
        <f t="shared" ca="1" si="10"/>
        <v>#N/A</v>
      </c>
      <c r="AE41" t="e">
        <f t="shared" ca="1" si="2"/>
        <v>#N/A</v>
      </c>
      <c r="AF41" t="e">
        <f t="shared" ca="1" si="18"/>
        <v>#N/A</v>
      </c>
      <c r="AG41" t="e">
        <f t="shared" ca="1" si="11"/>
        <v>#N/A</v>
      </c>
      <c r="AH41" t="e">
        <f t="shared" ca="1" si="3"/>
        <v>#N/A</v>
      </c>
      <c r="AJ41">
        <f t="shared" si="12"/>
        <v>21</v>
      </c>
      <c r="AK41" s="386" t="str">
        <f ca="1"/>
        <v>NOKSEK OT CALENDAR SPREAD</v>
      </c>
      <c r="AL41" s="386" t="str">
        <f ca="1"/>
        <v>FX CARRY/SLIDE BASKET</v>
      </c>
      <c r="AM41">
        <f t="shared" ca="1" si="4"/>
        <v>1</v>
      </c>
      <c r="AN41">
        <f t="shared" ca="1" si="5"/>
        <v>32</v>
      </c>
      <c r="AO41">
        <f t="shared" ca="1" si="13"/>
        <v>6</v>
      </c>
      <c r="AP41">
        <f t="shared" ca="1" si="6"/>
        <v>6</v>
      </c>
    </row>
    <row r="42" spans="1:42" x14ac:dyDescent="0.25">
      <c r="A42" t="str">
        <f t="shared" ca="1" si="14"/>
        <v>USDKRW OT VS DIGI</v>
      </c>
      <c r="B42">
        <f t="shared" ca="1" si="7"/>
        <v>21</v>
      </c>
      <c r="D42">
        <f t="shared" ca="1" si="15"/>
        <v>3</v>
      </c>
      <c r="E42">
        <f t="shared" ca="1" si="8"/>
        <v>5</v>
      </c>
      <c r="G42" s="382" t="str">
        <f t="shared" ca="1" si="1"/>
        <v/>
      </c>
      <c r="J42" s="378" t="str">
        <f t="shared" ca="1" si="9"/>
        <v>USDKRW OT VS DIGI</v>
      </c>
      <c r="K42" s="396">
        <f ca="1">+IF(J42="","",IF($J42="Total",SUM(OFFSET(K42,-1,0,-OFFSET($AF$20,MATCH($D42,OFFSET($AD$20,1,0,$AD$19,1),0),0,1,1)-1,1)),_xlfn.IFNA(OFFSET(Report!$Q$116,MATCH($J42,OFFSET(Report!$G$116,1,0,$AJ$19,1),0),0,1,1),0)))</f>
        <v>8.3854196228893337E-5</v>
      </c>
      <c r="L42" s="396">
        <f ca="1">+IF(J42="","",IF($J42="Total",SUM(OFFSET(L42,-1,0,-OFFSET($AF$20,MATCH($D42,OFFSET($AD$20,1,0,$AD$19,1),0),0,1,1)-1,1)),_xlfn.IFNA(OFFSET(Report!$R$196,MATCH($J42,OFFSET(Report!$G$196,1,0,$AJ$19,1),0),0,1,1),0)))</f>
        <v>8.3183865297280029E-4</v>
      </c>
      <c r="M42" s="396">
        <f ca="1">+IF(J42="","",IF($J42="Total",SUM(OFFSET(M42,-1,0,-OFFSET($AF$20,MATCH($D42,OFFSET($AD$20,1,0,$AD$19,1),0),0,1,1)-1,1)),_xlfn.IFNA(OFFSET(Report!$J$352,MATCH($J42,OFFSET(Report!$G$352,1,0,$AJ$19,1),0),0,1,1),0)))</f>
        <v>9.9788272125801237E-5</v>
      </c>
      <c r="O42" s="396">
        <f t="shared" ca="1" si="16"/>
        <v>2.6415022393719975E-3</v>
      </c>
      <c r="P42" s="396">
        <f t="shared" ca="1" si="16"/>
        <v>4.0007981750346325E-3</v>
      </c>
      <c r="Q42" s="396">
        <f t="shared" ca="1" si="16"/>
        <v>1.8742875642268817E-3</v>
      </c>
      <c r="T42" s="397">
        <f ca="1">+IF(J42="","",IF($J42="Total",SUM(OFFSET(T42,-1,0,-OFFSET($AF$20,MATCH($D42,OFFSET($AD$20,1,0,$AD$19,1),0),0,1,1)-1,1)),_xlfn.IFNA(OFFSET(Report!$J$196,MATCH($J42,OFFSET(Report!$G$196,1,0,$AJ$19,1),0),0,1,1),0)))</f>
        <v>-211209.33822370073</v>
      </c>
      <c r="U42" s="396">
        <f t="shared" ca="1" si="17"/>
        <v>8.1624911301592398E-2</v>
      </c>
      <c r="AD42" t="e">
        <f t="shared" ca="1" si="10"/>
        <v>#N/A</v>
      </c>
      <c r="AE42" t="e">
        <f t="shared" ca="1" si="2"/>
        <v>#N/A</v>
      </c>
      <c r="AF42" t="e">
        <f t="shared" ca="1" si="18"/>
        <v>#N/A</v>
      </c>
      <c r="AG42" t="e">
        <f t="shared" ca="1" si="11"/>
        <v>#N/A</v>
      </c>
      <c r="AH42" t="e">
        <f t="shared" ca="1" si="3"/>
        <v>#N/A</v>
      </c>
      <c r="AJ42">
        <f t="shared" si="12"/>
        <v>22</v>
      </c>
      <c r="AK42" s="386" t="str">
        <f ca="1"/>
        <v>AUDCAD KI CALL SPREAD</v>
      </c>
      <c r="AL42" s="386" t="str">
        <f ca="1"/>
        <v>FX CARRY/SLIDE BASKET</v>
      </c>
      <c r="AM42">
        <f t="shared" ca="1" si="4"/>
        <v>2</v>
      </c>
      <c r="AN42">
        <f t="shared" ca="1" si="5"/>
        <v>33</v>
      </c>
      <c r="AO42">
        <f t="shared" ca="1" si="13"/>
        <v>0</v>
      </c>
      <c r="AP42">
        <f t="shared" ca="1" si="6"/>
        <v>0</v>
      </c>
    </row>
    <row r="43" spans="1:42" x14ac:dyDescent="0.25">
      <c r="A43" t="e">
        <f t="shared" ca="1" si="14"/>
        <v>#N/A</v>
      </c>
      <c r="B43">
        <f t="shared" ca="1" si="7"/>
        <v>22</v>
      </c>
      <c r="D43">
        <f t="shared" ca="1" si="15"/>
        <v>3</v>
      </c>
      <c r="E43">
        <f t="shared" ca="1" si="8"/>
        <v>6</v>
      </c>
      <c r="G43" s="382" t="str">
        <f t="shared" ca="1" si="1"/>
        <v/>
      </c>
      <c r="J43" s="378" t="str">
        <f t="shared" ca="1" si="9"/>
        <v>Total</v>
      </c>
      <c r="K43" s="396">
        <f ca="1">+IF(J43="","",IF($J43="Total",SUM(OFFSET(K43,-1,0,-OFFSET($AF$20,MATCH($D43,OFFSET($AD$20,1,0,$AD$19,1),0),0,1,1)-1,1)),_xlfn.IFNA(OFFSET(Report!$Q$116,MATCH($J43,OFFSET(Report!$G$116,1,0,$AJ$19,1),0),0,1,1),0)))</f>
        <v>3.1728646011966082E-3</v>
      </c>
      <c r="L43" s="396">
        <f ca="1">+IF(J43="","",IF($J43="Total",SUM(OFFSET(L43,-1,0,-OFFSET($AF$20,MATCH($D43,OFFSET($AD$20,1,0,$AD$19,1),0),0,1,1)-1,1)),_xlfn.IFNA(OFFSET(Report!$R$196,MATCH($J43,OFFSET(Report!$G$196,1,0,$AJ$19,1),0),0,1,1),0)))</f>
        <v>7.3421691139956332E-3</v>
      </c>
      <c r="M43" s="396">
        <f ca="1">+IF(J43="","",IF($J43="Total",SUM(OFFSET(M43,-1,0,-OFFSET($AF$20,MATCH($D43,OFFSET($AD$20,1,0,$AD$19,1),0),0,1,1)-1,1)),_xlfn.IFNA(OFFSET(Report!$J$352,MATCH($J43,OFFSET(Report!$G$352,1,0,$AJ$19,1),0),0,1,1),0)))</f>
        <v>5.0010250379446779E-3</v>
      </c>
      <c r="O43" s="396">
        <f t="shared" ca="1" si="16"/>
        <v>9.9948831736546118E-2</v>
      </c>
      <c r="P43" s="396">
        <f t="shared" ca="1" si="16"/>
        <v>3.5312781736087311E-2</v>
      </c>
      <c r="Q43" s="396">
        <f t="shared" ca="1" si="16"/>
        <v>9.3932471595361E-2</v>
      </c>
      <c r="T43" s="397">
        <f ca="1">+IF(J43="","",IF($J43="Total",SUM(OFFSET(T43,-1,0,-OFFSET($AF$20,MATCH($D43,OFFSET($AD$20,1,0,$AD$19,1),0),0,1,1)-1,1)),_xlfn.IFNA(OFFSET(Report!$J$196,MATCH($J43,OFFSET(Report!$G$196,1,0,$AJ$19,1),0),0,1,1),0)))</f>
        <v>-398702.41733935615</v>
      </c>
      <c r="U43" s="396">
        <f t="shared" ca="1" si="17"/>
        <v>0.15408433038404129</v>
      </c>
      <c r="AD43" t="e">
        <f t="shared" ca="1" si="10"/>
        <v>#N/A</v>
      </c>
      <c r="AE43" t="e">
        <f t="shared" ca="1" si="2"/>
        <v>#N/A</v>
      </c>
      <c r="AF43" t="e">
        <f t="shared" ca="1" si="18"/>
        <v>#N/A</v>
      </c>
      <c r="AG43" t="e">
        <f t="shared" ca="1" si="11"/>
        <v>#N/A</v>
      </c>
      <c r="AH43" t="e">
        <f t="shared" ca="1" si="3"/>
        <v>#N/A</v>
      </c>
      <c r="AJ43">
        <f t="shared" si="12"/>
        <v>23</v>
      </c>
      <c r="AK43" s="386" t="str">
        <f ca="1"/>
        <v>GBPINR KI SPREAD</v>
      </c>
      <c r="AL43" s="386" t="str">
        <f ca="1"/>
        <v>FX CARRY/SLIDE BASKET</v>
      </c>
      <c r="AM43">
        <f t="shared" ca="1" si="4"/>
        <v>3</v>
      </c>
      <c r="AN43">
        <f t="shared" ca="1" si="5"/>
        <v>34</v>
      </c>
      <c r="AO43">
        <f t="shared" ca="1" si="13"/>
        <v>0</v>
      </c>
      <c r="AP43">
        <f t="shared" ca="1" si="6"/>
        <v>0</v>
      </c>
    </row>
    <row r="44" spans="1:42" x14ac:dyDescent="0.25">
      <c r="A44" t="str">
        <f t="shared" ca="1" si="14"/>
        <v/>
      </c>
      <c r="B44">
        <f t="shared" ca="1" si="7"/>
        <v>23</v>
      </c>
      <c r="D44">
        <f t="shared" ca="1" si="15"/>
        <v>4</v>
      </c>
      <c r="E44" t="str">
        <f t="shared" ca="1" si="8"/>
        <v/>
      </c>
      <c r="G44" s="382" t="str">
        <f t="shared" ca="1" si="1"/>
        <v>FX GAMMA/VEGA</v>
      </c>
      <c r="J44" s="378" t="str">
        <f t="shared" ca="1" si="9"/>
        <v/>
      </c>
      <c r="K44" s="396" t="str">
        <f ca="1">+IF(J44="","",IF($J44="Total",SUM(OFFSET(K44,-1,0,-OFFSET($AF$20,MATCH($D44,OFFSET($AD$20,1,0,$AD$19,1),0),0,1,1)-1,1)),_xlfn.IFNA(OFFSET(Report!$Q$116,MATCH($J44,OFFSET(Report!$G$116,1,0,$AJ$19,1),0),0,1,1),0)))</f>
        <v/>
      </c>
      <c r="L44" s="396" t="str">
        <f ca="1">+IF(J44="","",IF($J44="Total",SUM(OFFSET(L44,-1,0,-OFFSET($AF$20,MATCH($D44,OFFSET($AD$20,1,0,$AD$19,1),0),0,1,1)-1,1)),_xlfn.IFNA(OFFSET(Report!$R$196,MATCH($J44,OFFSET(Report!$G$196,1,0,$AJ$19,1),0),0,1,1),0)))</f>
        <v/>
      </c>
      <c r="M44" s="396" t="str">
        <f ca="1">+IF(J44="","",IF($J44="Total",SUM(OFFSET(M44,-1,0,-OFFSET($AF$20,MATCH($D44,OFFSET($AD$20,1,0,$AD$19,1),0),0,1,1)-1,1)),_xlfn.IFNA(OFFSET(Report!$J$352,MATCH($J44,OFFSET(Report!$G$352,1,0,$AJ$19,1),0),0,1,1),0)))</f>
        <v/>
      </c>
      <c r="O44" s="396" t="str">
        <f t="shared" ca="1" si="16"/>
        <v/>
      </c>
      <c r="P44" s="396" t="str">
        <f t="shared" ca="1" si="16"/>
        <v/>
      </c>
      <c r="Q44" s="396" t="str">
        <f t="shared" ca="1" si="16"/>
        <v/>
      </c>
      <c r="T44" s="397" t="str">
        <f ca="1">+IF(J44="","",IF($J44="Total",SUM(OFFSET(T44,-1,0,-OFFSET($AF$20,MATCH($D44,OFFSET($AD$20,1,0,$AD$19,1),0),0,1,1)-1,1)),_xlfn.IFNA(OFFSET(Report!$J$196,MATCH($J44,OFFSET(Report!$G$196,1,0,$AJ$19,1),0),0,1,1),0)))</f>
        <v/>
      </c>
      <c r="U44" s="396" t="str">
        <f t="shared" ca="1" si="17"/>
        <v/>
      </c>
      <c r="X44" s="379"/>
      <c r="Y44" s="383"/>
      <c r="AD44" t="e">
        <f t="shared" ca="1" si="10"/>
        <v>#N/A</v>
      </c>
      <c r="AE44" t="e">
        <f t="shared" ca="1" si="2"/>
        <v>#N/A</v>
      </c>
      <c r="AF44" t="e">
        <f t="shared" ca="1" si="18"/>
        <v>#N/A</v>
      </c>
      <c r="AG44" t="e">
        <f t="shared" ca="1" si="11"/>
        <v>#N/A</v>
      </c>
      <c r="AH44" t="e">
        <f t="shared" ca="1" si="3"/>
        <v>#N/A</v>
      </c>
      <c r="AJ44">
        <f t="shared" si="12"/>
        <v>24</v>
      </c>
      <c r="AK44" s="386" t="str">
        <f ca="1"/>
        <v>CNHTWD CALL SPREAD</v>
      </c>
      <c r="AL44" s="386" t="str">
        <f ca="1"/>
        <v>FX CARRY/SLIDE BASKET</v>
      </c>
      <c r="AM44">
        <f t="shared" ca="1" si="4"/>
        <v>4</v>
      </c>
      <c r="AN44">
        <f t="shared" ca="1" si="5"/>
        <v>35</v>
      </c>
      <c r="AO44">
        <f t="shared" ca="1" si="13"/>
        <v>0</v>
      </c>
      <c r="AP44">
        <f t="shared" ca="1" si="6"/>
        <v>0</v>
      </c>
    </row>
    <row r="45" spans="1:42" x14ac:dyDescent="0.25">
      <c r="A45" t="str">
        <f t="shared" ca="1" si="14"/>
        <v>USDJPY 5Y ATMS CALL</v>
      </c>
      <c r="B45">
        <f t="shared" ca="1" si="7"/>
        <v>24</v>
      </c>
      <c r="D45">
        <f t="shared" ca="1" si="15"/>
        <v>4</v>
      </c>
      <c r="E45">
        <f t="shared" ca="1" si="8"/>
        <v>1</v>
      </c>
      <c r="G45" s="382" t="str">
        <f t="shared" ca="1" si="1"/>
        <v/>
      </c>
      <c r="J45" s="378" t="str">
        <f t="shared" ca="1" si="9"/>
        <v>USDJPY 5Y ATMS CALL</v>
      </c>
      <c r="K45" s="396">
        <f ca="1">+IF(J45="","",IF($J45="Total",SUM(OFFSET(K45,-1,0,-OFFSET($AF$20,MATCH($D45,OFFSET($AD$20,1,0,$AD$19,1),0),0,1,1)-1,1)),_xlfn.IFNA(OFFSET(Report!$Q$116,MATCH($J45,OFFSET(Report!$G$116,1,0,$AJ$19,1),0),0,1,1),0)))</f>
        <v>6.7847985808133088E-3</v>
      </c>
      <c r="L45" s="396">
        <f ca="1">+IF(J45="","",IF($J45="Total",SUM(OFFSET(L45,-1,0,-OFFSET($AF$20,MATCH($D45,OFFSET($AD$20,1,0,$AD$19,1),0),0,1,1)-1,1)),_xlfn.IFNA(OFFSET(Report!$R$196,MATCH($J45,OFFSET(Report!$G$196,1,0,$AJ$19,1),0),0,1,1),0)))</f>
        <v>1.2977550763994702E-2</v>
      </c>
      <c r="M45" s="396">
        <f ca="1">+IF(J45="","",IF($J45="Total",SUM(OFFSET(M45,-1,0,-OFFSET($AF$20,MATCH($D45,OFFSET($AD$20,1,0,$AD$19,1),0),0,1,1)-1,1)),_xlfn.IFNA(OFFSET(Report!$J$352,MATCH($J45,OFFSET(Report!$G$352,1,0,$AJ$19,1),0),0,1,1),0)))</f>
        <v>7.808602038261823E-3</v>
      </c>
      <c r="O45" s="396">
        <f t="shared" ca="1" si="16"/>
        <v>0.2137288466278443</v>
      </c>
      <c r="P45" s="396">
        <f t="shared" ca="1" si="16"/>
        <v>6.2416625180204292E-2</v>
      </c>
      <c r="Q45" s="396">
        <f t="shared" ca="1" si="16"/>
        <v>0.14666619014968038</v>
      </c>
      <c r="T45" s="397">
        <f ca="1">+IF(J45="","",IF($J45="Total",SUM(OFFSET(T45,-1,0,-OFFSET($AF$20,MATCH($D45,OFFSET($AD$20,1,0,$AD$19,1),0),0,1,1)-1,1)),_xlfn.IFNA(OFFSET(Report!$J$196,MATCH($J45,OFFSET(Report!$G$196,1,0,$AJ$19,1),0),0,1,1),0)))</f>
        <v>-1491332.1107915079</v>
      </c>
      <c r="U45" s="396">
        <f t="shared" ca="1" si="17"/>
        <v>0.57634691859904497</v>
      </c>
      <c r="X45" s="379"/>
      <c r="Y45" s="383"/>
      <c r="AD45" t="e">
        <f t="shared" ca="1" si="10"/>
        <v>#N/A</v>
      </c>
      <c r="AE45" t="e">
        <f t="shared" ca="1" si="2"/>
        <v>#N/A</v>
      </c>
      <c r="AF45" t="e">
        <f t="shared" ca="1" si="18"/>
        <v>#N/A</v>
      </c>
      <c r="AG45" t="e">
        <f t="shared" ca="1" si="11"/>
        <v>#N/A</v>
      </c>
      <c r="AH45" t="e">
        <f t="shared" ca="1" si="3"/>
        <v>#N/A</v>
      </c>
      <c r="AJ45">
        <f t="shared" si="12"/>
        <v>25</v>
      </c>
      <c r="AK45" s="386" t="str">
        <f ca="1"/>
        <v>EURHUF OT SPREAD</v>
      </c>
      <c r="AL45" s="386" t="str">
        <f ca="1"/>
        <v>FX CARRY/SLIDE BASKET</v>
      </c>
      <c r="AM45">
        <f t="shared" ca="1" si="4"/>
        <v>5</v>
      </c>
      <c r="AN45">
        <f t="shared" ca="1" si="5"/>
        <v>36</v>
      </c>
      <c r="AO45">
        <f t="shared" ca="1" si="13"/>
        <v>0</v>
      </c>
      <c r="AP45">
        <f t="shared" ca="1" si="6"/>
        <v>0</v>
      </c>
    </row>
    <row r="46" spans="1:42" x14ac:dyDescent="0.25">
      <c r="A46" t="e">
        <f t="shared" ca="1" si="14"/>
        <v>#N/A</v>
      </c>
      <c r="B46">
        <f t="shared" ca="1" si="7"/>
        <v>25</v>
      </c>
      <c r="D46">
        <f t="shared" ca="1" si="15"/>
        <v>4</v>
      </c>
      <c r="E46">
        <f t="shared" ca="1" si="8"/>
        <v>2</v>
      </c>
      <c r="G46" s="382" t="str">
        <f t="shared" ca="1" si="1"/>
        <v/>
      </c>
      <c r="J46" s="378" t="str">
        <f t="shared" ca="1" si="9"/>
        <v>Total</v>
      </c>
      <c r="K46" s="396">
        <f ca="1">+IF(J46="","",IF($J46="Total",SUM(OFFSET(K46,-1,0,-OFFSET($AF$20,MATCH($D46,OFFSET($AD$20,1,0,$AD$19,1),0),0,1,1)-1,1)),_xlfn.IFNA(OFFSET(Report!$Q$116,MATCH($J46,OFFSET(Report!$G$116,1,0,$AJ$19,1),0),0,1,1),0)))</f>
        <v>6.7847985808133088E-3</v>
      </c>
      <c r="L46" s="396">
        <f ca="1">+IF(J46="","",IF($J46="Total",SUM(OFFSET(L46,-1,0,-OFFSET($AF$20,MATCH($D46,OFFSET($AD$20,1,0,$AD$19,1),0),0,1,1)-1,1)),_xlfn.IFNA(OFFSET(Report!$R$196,MATCH($J46,OFFSET(Report!$G$196,1,0,$AJ$19,1),0),0,1,1),0)))</f>
        <v>1.2977550763994702E-2</v>
      </c>
      <c r="M46" s="396">
        <f ca="1">+IF(J46="","",IF($J46="Total",SUM(OFFSET(M46,-1,0,-OFFSET($AF$20,MATCH($D46,OFFSET($AD$20,1,0,$AD$19,1),0),0,1,1)-1,1)),_xlfn.IFNA(OFFSET(Report!$J$352,MATCH($J46,OFFSET(Report!$G$352,1,0,$AJ$19,1),0),0,1,1),0)))</f>
        <v>7.808602038261823E-3</v>
      </c>
      <c r="O46" s="396">
        <f t="shared" ca="1" si="16"/>
        <v>0.2137288466278443</v>
      </c>
      <c r="P46" s="396">
        <f t="shared" ca="1" si="16"/>
        <v>6.2416625180204292E-2</v>
      </c>
      <c r="Q46" s="396">
        <f t="shared" ca="1" si="16"/>
        <v>0.14666619014968038</v>
      </c>
      <c r="T46" s="397">
        <f ca="1">+IF(J46="","",IF($J46="Total",SUM(OFFSET(T46,-1,0,-OFFSET($AF$20,MATCH($D46,OFFSET($AD$20,1,0,$AD$19,1),0),0,1,1)-1,1)),_xlfn.IFNA(OFFSET(Report!$J$196,MATCH($J46,OFFSET(Report!$G$196,1,0,$AJ$19,1),0),0,1,1),0)))</f>
        <v>-1491332.1107915079</v>
      </c>
      <c r="U46" s="396">
        <f t="shared" ca="1" si="17"/>
        <v>0.57634691859904497</v>
      </c>
      <c r="X46" s="379"/>
      <c r="Y46" s="383"/>
      <c r="AD46" t="e">
        <f t="shared" ca="1" si="10"/>
        <v>#N/A</v>
      </c>
      <c r="AE46" t="e">
        <f t="shared" ca="1" si="2"/>
        <v>#N/A</v>
      </c>
      <c r="AF46" t="e">
        <f t="shared" ca="1" si="18"/>
        <v>#N/A</v>
      </c>
      <c r="AG46" t="e">
        <f t="shared" ca="1" si="11"/>
        <v>#N/A</v>
      </c>
      <c r="AH46" t="e">
        <f t="shared" ca="1" si="3"/>
        <v>#N/A</v>
      </c>
      <c r="AJ46">
        <f t="shared" si="12"/>
        <v>26</v>
      </c>
      <c r="AK46" s="386" t="str">
        <f ca="1"/>
        <v>EURNOK 5M KI SPREAD</v>
      </c>
      <c r="AL46" s="386" t="str">
        <f ca="1"/>
        <v>FX CARRY/SLIDE BASKET</v>
      </c>
      <c r="AM46">
        <f t="shared" ca="1" si="4"/>
        <v>6</v>
      </c>
      <c r="AN46">
        <f t="shared" ca="1" si="5"/>
        <v>37</v>
      </c>
      <c r="AO46">
        <f t="shared" ca="1" si="13"/>
        <v>0</v>
      </c>
      <c r="AP46">
        <f t="shared" ca="1" si="6"/>
        <v>0</v>
      </c>
    </row>
    <row r="47" spans="1:42" x14ac:dyDescent="0.25">
      <c r="A47" t="str">
        <f t="shared" ca="1" si="14"/>
        <v/>
      </c>
      <c r="B47">
        <f t="shared" ca="1" si="7"/>
        <v>26</v>
      </c>
      <c r="D47">
        <f t="shared" ca="1" si="15"/>
        <v>5</v>
      </c>
      <c r="E47" t="str">
        <f t="shared" ca="1" si="8"/>
        <v/>
      </c>
      <c r="G47" s="382" t="str">
        <f t="shared" ca="1" si="1"/>
        <v>FX EM CARRY</v>
      </c>
      <c r="J47" s="378" t="str">
        <f t="shared" ca="1" si="9"/>
        <v/>
      </c>
      <c r="K47" s="396" t="str">
        <f ca="1">+IF(J47="","",IF($J47="Total",SUM(OFFSET(K47,-1,0,-OFFSET($AF$20,MATCH($D47,OFFSET($AD$20,1,0,$AD$19,1),0),0,1,1)-1,1)),_xlfn.IFNA(OFFSET(Report!$Q$116,MATCH($J47,OFFSET(Report!$G$116,1,0,$AJ$19,1),0),0,1,1),0)))</f>
        <v/>
      </c>
      <c r="L47" s="396" t="str">
        <f ca="1">+IF(J47="","",IF($J47="Total",SUM(OFFSET(L47,-1,0,-OFFSET($AF$20,MATCH($D47,OFFSET($AD$20,1,0,$AD$19,1),0),0,1,1)-1,1)),_xlfn.IFNA(OFFSET(Report!$R$196,MATCH($J47,OFFSET(Report!$G$196,1,0,$AJ$19,1),0),0,1,1),0)))</f>
        <v/>
      </c>
      <c r="M47" s="396" t="str">
        <f ca="1">+IF(J47="","",IF($J47="Total",SUM(OFFSET(M47,-1,0,-OFFSET($AF$20,MATCH($D47,OFFSET($AD$20,1,0,$AD$19,1),0),0,1,1)-1,1)),_xlfn.IFNA(OFFSET(Report!$J$352,MATCH($J47,OFFSET(Report!$G$352,1,0,$AJ$19,1),0),0,1,1),0)))</f>
        <v/>
      </c>
      <c r="O47" s="396" t="str">
        <f t="shared" ca="1" si="16"/>
        <v/>
      </c>
      <c r="P47" s="396" t="str">
        <f t="shared" ca="1" si="16"/>
        <v/>
      </c>
      <c r="Q47" s="396" t="str">
        <f t="shared" ca="1" si="16"/>
        <v/>
      </c>
      <c r="T47" s="397" t="str">
        <f ca="1">+IF(J47="","",IF($J47="Total",SUM(OFFSET(T47,-1,0,-OFFSET($AF$20,MATCH($D47,OFFSET($AD$20,1,0,$AD$19,1),0),0,1,1)-1,1)),_xlfn.IFNA(OFFSET(Report!$J$196,MATCH($J47,OFFSET(Report!$G$196,1,0,$AJ$19,1),0),0,1,1),0)))</f>
        <v/>
      </c>
      <c r="U47" s="396" t="str">
        <f t="shared" ca="1" si="17"/>
        <v/>
      </c>
      <c r="AD47" t="e">
        <f t="shared" ca="1" si="10"/>
        <v>#N/A</v>
      </c>
      <c r="AE47" t="e">
        <f t="shared" ca="1" si="2"/>
        <v>#N/A</v>
      </c>
      <c r="AF47" t="e">
        <f t="shared" ca="1" si="18"/>
        <v>#N/A</v>
      </c>
      <c r="AG47" t="e">
        <f t="shared" ca="1" si="11"/>
        <v>#N/A</v>
      </c>
      <c r="AH47" t="e">
        <f t="shared" ca="1" si="3"/>
        <v>#N/A</v>
      </c>
      <c r="AJ47">
        <f t="shared" si="12"/>
        <v>27</v>
      </c>
      <c r="AK47" s="386" t="str">
        <f ca="1"/>
        <v>AUDJPY OT CALENDAR SPREAD</v>
      </c>
      <c r="AL47" s="386" t="str">
        <f ca="1"/>
        <v>FX CARRY/SLIDE BASKET</v>
      </c>
      <c r="AM47">
        <f t="shared" ca="1" si="4"/>
        <v>7</v>
      </c>
      <c r="AN47">
        <f t="shared" ca="1" si="5"/>
        <v>38</v>
      </c>
      <c r="AO47">
        <f t="shared" ca="1" si="13"/>
        <v>0</v>
      </c>
      <c r="AP47">
        <f t="shared" ca="1" si="6"/>
        <v>0</v>
      </c>
    </row>
    <row r="48" spans="1:42" x14ac:dyDescent="0.25">
      <c r="A48" t="str">
        <f t="shared" ca="1" si="14"/>
        <v>USDIDR PUT SPREAD</v>
      </c>
      <c r="B48">
        <f t="shared" ca="1" si="7"/>
        <v>27</v>
      </c>
      <c r="D48">
        <f t="shared" ca="1" si="15"/>
        <v>5</v>
      </c>
      <c r="E48">
        <f t="shared" ca="1" si="8"/>
        <v>1</v>
      </c>
      <c r="G48" s="382" t="str">
        <f t="shared" ca="1" si="1"/>
        <v/>
      </c>
      <c r="J48" s="378" t="str">
        <f t="shared" ca="1" si="9"/>
        <v>USDIDR PUT SPREAD</v>
      </c>
      <c r="K48" s="396">
        <f ca="1">+IF(J48="","",IF($J48="Total",SUM(OFFSET(K48,-1,0,-OFFSET($AF$20,MATCH($D48,OFFSET($AD$20,1,0,$AD$19,1),0),0,1,1)-1,1)),_xlfn.IFNA(OFFSET(Report!$Q$116,MATCH($J48,OFFSET(Report!$G$116,1,0,$AJ$19,1),0),0,1,1),0)))</f>
        <v>-4.3602850669988136E-7</v>
      </c>
      <c r="L48" s="396">
        <f ca="1">+IF(J48="","",IF($J48="Total",SUM(OFFSET(L48,-1,0,-OFFSET($AF$20,MATCH($D48,OFFSET($AD$20,1,0,$AD$19,1),0),0,1,1)-1,1)),_xlfn.IFNA(OFFSET(Report!$R$196,MATCH($J48,OFFSET(Report!$G$196,1,0,$AJ$19,1),0),0,1,1),0)))</f>
        <v>3.0668851334184934E-3</v>
      </c>
      <c r="M48" s="396">
        <f ca="1">+IF(J48="","",IF($J48="Total",SUM(OFFSET(M48,-1,0,-OFFSET($AF$20,MATCH($D48,OFFSET($AD$20,1,0,$AD$19,1),0),0,1,1)-1,1)),_xlfn.IFNA(OFFSET(Report!$J$352,MATCH($J48,OFFSET(Report!$G$352,1,0,$AJ$19,1),0),0,1,1),0)))</f>
        <v>-2.8727017980279063E-7</v>
      </c>
      <c r="O48" s="396">
        <f t="shared" ca="1" si="16"/>
        <v>-1.3735392248395355E-5</v>
      </c>
      <c r="P48" s="396">
        <f t="shared" ca="1" si="16"/>
        <v>1.4750442770327435E-2</v>
      </c>
      <c r="Q48" s="396">
        <f t="shared" ca="1" si="16"/>
        <v>-5.3956934428006321E-6</v>
      </c>
      <c r="T48" s="397">
        <f ca="1">+IF(J48="","",IF($J48="Total",SUM(OFFSET(T48,-1,0,-OFFSET($AF$20,MATCH($D48,OFFSET($AD$20,1,0,$AD$19,1),0),0,1,1)-1,1)),_xlfn.IFNA(OFFSET(Report!$J$196,MATCH($J48,OFFSET(Report!$G$196,1,0,$AJ$19,1),0),0,1,1),0)))</f>
        <v>-884645.19068656082</v>
      </c>
      <c r="U48" s="396">
        <f t="shared" ca="1" si="17"/>
        <v>0.34188396133645915</v>
      </c>
      <c r="AD48" t="e">
        <f t="shared" ca="1" si="10"/>
        <v>#N/A</v>
      </c>
      <c r="AE48" t="e">
        <f t="shared" ca="1" si="2"/>
        <v>#N/A</v>
      </c>
      <c r="AF48" t="e">
        <f t="shared" ca="1" si="18"/>
        <v>#N/A</v>
      </c>
      <c r="AG48" t="e">
        <f t="shared" ca="1" si="11"/>
        <v>#N/A</v>
      </c>
      <c r="AH48" t="e">
        <f t="shared" ca="1" si="3"/>
        <v>#N/A</v>
      </c>
      <c r="AJ48">
        <f t="shared" si="12"/>
        <v>28</v>
      </c>
      <c r="AK48" s="386" t="str">
        <f ca="1"/>
        <v>EURCAD PUT SPREAD</v>
      </c>
      <c r="AL48" s="386" t="str">
        <f ca="1"/>
        <v>FX CARRY/SLIDE BASKET</v>
      </c>
      <c r="AM48">
        <f t="shared" ca="1" si="4"/>
        <v>8</v>
      </c>
      <c r="AN48">
        <f t="shared" ca="1" si="5"/>
        <v>39</v>
      </c>
      <c r="AO48">
        <f t="shared" ca="1" si="13"/>
        <v>0</v>
      </c>
      <c r="AP48">
        <f t="shared" ca="1" si="6"/>
        <v>0</v>
      </c>
    </row>
    <row r="49" spans="1:42" x14ac:dyDescent="0.25">
      <c r="A49" t="str">
        <f t="shared" ca="1" si="14"/>
        <v>EURTRY 5.061/4.44 NOV18 PS</v>
      </c>
      <c r="B49">
        <f t="shared" ca="1" si="7"/>
        <v>28</v>
      </c>
      <c r="D49">
        <f t="shared" ca="1" si="15"/>
        <v>5</v>
      </c>
      <c r="E49">
        <f t="shared" ca="1" si="8"/>
        <v>2</v>
      </c>
      <c r="G49" s="382" t="str">
        <f t="shared" ca="1" si="1"/>
        <v/>
      </c>
      <c r="J49" s="378" t="str">
        <f t="shared" ca="1" si="9"/>
        <v>EURTRY 5.061/4.44 NOV18 PS</v>
      </c>
      <c r="K49" s="396">
        <f ca="1">+IF(J49="","",IF($J49="Total",SUM(OFFSET(K49,-1,0,-OFFSET($AF$20,MATCH($D49,OFFSET($AD$20,1,0,$AD$19,1),0),0,1,1)-1,1)),_xlfn.IFNA(OFFSET(Report!$Q$116,MATCH($J49,OFFSET(Report!$G$116,1,0,$AJ$19,1),0),0,1,1),0)))</f>
        <v>2.0100884705614076E-15</v>
      </c>
      <c r="L49" s="396">
        <f ca="1">+IF(J49="","",IF($J49="Total",SUM(OFFSET(L49,-1,0,-OFFSET($AF$20,MATCH($D49,OFFSET($AD$20,1,0,$AD$19,1),0),0,1,1)-1,1)),_xlfn.IFNA(OFFSET(Report!$R$196,MATCH($J49,OFFSET(Report!$G$196,1,0,$AJ$19,1),0),0,1,1),0)))</f>
        <v>7.4917815282801129E-4</v>
      </c>
      <c r="M49" s="396">
        <f ca="1">+IF(J49="","",IF($J49="Total",SUM(OFFSET(M49,-1,0,-OFFSET($AF$20,MATCH($D49,OFFSET($AD$20,1,0,$AD$19,1),0),0,1,1)-1,1)),_xlfn.IFNA(OFFSET(Report!$J$352,MATCH($J49,OFFSET(Report!$G$352,1,0,$AJ$19,1),0),0,1,1),0)))</f>
        <v>9.8416641305325851E-20</v>
      </c>
      <c r="O49" s="396">
        <f t="shared" ca="1" si="16"/>
        <v>6.3320065484024803E-14</v>
      </c>
      <c r="P49" s="396">
        <f t="shared" ca="1" si="16"/>
        <v>3.6032355263829409E-3</v>
      </c>
      <c r="Q49" s="396">
        <f t="shared" ca="1" si="16"/>
        <v>1.8485247111905415E-18</v>
      </c>
      <c r="T49" s="397">
        <f ca="1">+IF(J49="","",IF($J49="Total",SUM(OFFSET(T49,-1,0,-OFFSET($AF$20,MATCH($D49,OFFSET($AD$20,1,0,$AD$19,1),0),0,1,1)-1,1)),_xlfn.IFNA(OFFSET(Report!$J$196,MATCH($J49,OFFSET(Report!$G$196,1,0,$AJ$19,1),0),0,1,1),0)))</f>
        <v>-216150.99999999875</v>
      </c>
      <c r="U49" s="396">
        <f t="shared" ca="1" si="17"/>
        <v>8.3534688149364045E-2</v>
      </c>
      <c r="X49" s="379"/>
      <c r="Y49" s="383"/>
      <c r="AJ49">
        <f t="shared" si="12"/>
        <v>29</v>
      </c>
      <c r="AK49" s="386" t="str">
        <f ca="1"/>
        <v>USDSEK CALENDAR SPREAD</v>
      </c>
      <c r="AL49" s="386" t="str">
        <f ca="1"/>
        <v>FX CARRY/SLIDE BASKET</v>
      </c>
      <c r="AM49">
        <f t="shared" ca="1" si="4"/>
        <v>9</v>
      </c>
      <c r="AN49">
        <f t="shared" ca="1" si="5"/>
        <v>40</v>
      </c>
      <c r="AO49">
        <f t="shared" ca="1" si="13"/>
        <v>0</v>
      </c>
      <c r="AP49">
        <f t="shared" ca="1" si="6"/>
        <v>0</v>
      </c>
    </row>
    <row r="50" spans="1:42" x14ac:dyDescent="0.25">
      <c r="A50" t="str">
        <f t="shared" ca="1" si="14"/>
        <v>USDTRY CALENDAR SPREAD</v>
      </c>
      <c r="B50">
        <f t="shared" ca="1" si="7"/>
        <v>29</v>
      </c>
      <c r="D50">
        <f t="shared" ca="1" si="15"/>
        <v>5</v>
      </c>
      <c r="E50">
        <f t="shared" ca="1" si="8"/>
        <v>3</v>
      </c>
      <c r="G50" s="382" t="str">
        <f t="shared" ca="1" si="1"/>
        <v/>
      </c>
      <c r="J50" s="378" t="str">
        <f t="shared" ca="1" si="9"/>
        <v>USDTRY CALENDAR SPREAD</v>
      </c>
      <c r="K50" s="396">
        <f ca="1">+IF(J50="","",IF($J50="Total",SUM(OFFSET(K50,-1,0,-OFFSET($AF$20,MATCH($D50,OFFSET($AD$20,1,0,$AD$19,1),0),0,1,1)-1,1)),_xlfn.IFNA(OFFSET(Report!$Q$116,MATCH($J50,OFFSET(Report!$G$116,1,0,$AJ$19,1),0),0,1,1),0)))</f>
        <v>0</v>
      </c>
      <c r="L50" s="396">
        <f ca="1">+IF(J50="","",IF($J50="Total",SUM(OFFSET(L50,-1,0,-OFFSET($AF$20,MATCH($D50,OFFSET($AD$20,1,0,$AD$19,1),0),0,1,1)-1,1)),_xlfn.IFNA(OFFSET(Report!$R$196,MATCH($J50,OFFSET(Report!$G$196,1,0,$AJ$19,1),0),0,1,1),0)))</f>
        <v>1.2997444292756129E-3</v>
      </c>
      <c r="M50" s="396">
        <f ca="1">+IF(J50="","",IF($J50="Total",SUM(OFFSET(M50,-1,0,-OFFSET($AF$20,MATCH($D50,OFFSET($AD$20,1,0,$AD$19,1),0),0,1,1)-1,1)),_xlfn.IFNA(OFFSET(Report!$J$352,MATCH($J50,OFFSET(Report!$G$352,1,0,$AJ$19,1),0),0,1,1),0)))</f>
        <v>-2.3840297334065815E-6</v>
      </c>
      <c r="O50" s="396">
        <f t="shared" ca="1" si="16"/>
        <v>0</v>
      </c>
      <c r="P50" s="396">
        <f t="shared" ca="1" si="16"/>
        <v>6.2512304784992168E-3</v>
      </c>
      <c r="Q50" s="396">
        <f t="shared" ca="1" si="16"/>
        <v>-4.4778381135188992E-5</v>
      </c>
      <c r="T50" s="397">
        <f ca="1">+IF(J50="","",IF($J50="Total",SUM(OFFSET(T50,-1,0,-OFFSET($AF$20,MATCH($D50,OFFSET($AD$20,1,0,$AD$19,1),0),0,1,1)-1,1)),_xlfn.IFNA(OFFSET(Report!$J$196,MATCH($J50,OFFSET(Report!$G$196,1,0,$AJ$19,1),0),0,1,1),0)))</f>
        <v>-374525.7966661877</v>
      </c>
      <c r="U50" s="396">
        <f t="shared" ca="1" si="17"/>
        <v>0.14474092476279221</v>
      </c>
      <c r="AJ50">
        <f t="shared" si="12"/>
        <v>30</v>
      </c>
      <c r="AK50" s="386" t="str">
        <f ca="1"/>
        <v>L Z8 91/92/93 CALL FLY</v>
      </c>
      <c r="AL50" s="386" t="str">
        <f ca="1"/>
        <v>FI TACTICAL/MEAN REVERSION</v>
      </c>
      <c r="AM50">
        <f t="shared" ca="1" si="4"/>
        <v>1</v>
      </c>
      <c r="AN50">
        <f t="shared" ca="1" si="5"/>
        <v>43</v>
      </c>
      <c r="AO50">
        <f t="shared" ca="1" si="13"/>
        <v>7</v>
      </c>
      <c r="AP50">
        <f t="shared" ca="1" si="6"/>
        <v>7</v>
      </c>
    </row>
    <row r="51" spans="1:42" x14ac:dyDescent="0.25">
      <c r="A51" t="e">
        <f t="shared" ca="1" si="14"/>
        <v>#N/A</v>
      </c>
      <c r="B51">
        <f t="shared" ca="1" si="7"/>
        <v>30</v>
      </c>
      <c r="D51">
        <f t="shared" ca="1" si="15"/>
        <v>5</v>
      </c>
      <c r="E51">
        <f t="shared" ca="1" si="8"/>
        <v>4</v>
      </c>
      <c r="G51" s="382" t="str">
        <f t="shared" ca="1" si="1"/>
        <v/>
      </c>
      <c r="J51" s="378" t="str">
        <f t="shared" ca="1" si="9"/>
        <v>Total</v>
      </c>
      <c r="K51" s="396">
        <f ca="1">+IF(J51="","",IF($J51="Total",SUM(OFFSET(K51,-1,0,-OFFSET($AF$20,MATCH($D51,OFFSET($AD$20,1,0,$AD$19,1),0),0,1,1)-1,1)),_xlfn.IFNA(OFFSET(Report!$Q$116,MATCH($J51,OFFSET(Report!$G$116,1,0,$AJ$19,1),0),0,1,1),0)))</f>
        <v>-4.3602850468979287E-7</v>
      </c>
      <c r="L51" s="396">
        <f ca="1">+IF(J51="","",IF($J51="Total",SUM(OFFSET(L51,-1,0,-OFFSET($AF$20,MATCH($D51,OFFSET($AD$20,1,0,$AD$19,1),0),0,1,1)-1,1)),_xlfn.IFNA(OFFSET(Report!$R$196,MATCH($J51,OFFSET(Report!$G$196,1,0,$AJ$19,1),0),0,1,1),0)))</f>
        <v>5.1158077155221172E-3</v>
      </c>
      <c r="M51" s="396">
        <f ca="1">+IF(J51="","",IF($J51="Total",SUM(OFFSET(M51,-1,0,-OFFSET($AF$20,MATCH($D51,OFFSET($AD$20,1,0,$AD$19,1),0),0,1,1)-1,1)),_xlfn.IFNA(OFFSET(Report!$J$352,MATCH($J51,OFFSET(Report!$G$352,1,0,$AJ$19,1),0),0,1,1),0)))</f>
        <v>-2.6712999132092736E-6</v>
      </c>
      <c r="O51" s="396">
        <f t="shared" ca="1" si="16"/>
        <v>-1.373539218507529E-5</v>
      </c>
      <c r="P51" s="396">
        <f t="shared" ca="1" si="16"/>
        <v>2.4604908775209589E-2</v>
      </c>
      <c r="Q51" s="396">
        <f t="shared" ca="1" si="16"/>
        <v>-5.0174074577987778E-5</v>
      </c>
      <c r="T51" s="397">
        <f ca="1">+IF(J51="","",IF($J51="Total",SUM(OFFSET(T51,-1,0,-OFFSET($AF$20,MATCH($D51,OFFSET($AD$20,1,0,$AD$19,1),0),0,1,1)-1,1)),_xlfn.IFNA(OFFSET(Report!$J$196,MATCH($J51,OFFSET(Report!$G$196,1,0,$AJ$19,1),0),0,1,1),0)))</f>
        <v>-1475321.9873527472</v>
      </c>
      <c r="U51" s="396">
        <f t="shared" ca="1" si="17"/>
        <v>0.57015957424861541</v>
      </c>
      <c r="AJ51">
        <f t="shared" si="12"/>
        <v>31</v>
      </c>
      <c r="AK51" s="386" t="str">
        <f ca="1"/>
        <v>LONG USD 10Y10Y VEGA</v>
      </c>
      <c r="AL51" s="386" t="str">
        <f ca="1"/>
        <v>FI GAMMA/VEGA</v>
      </c>
      <c r="AM51">
        <f t="shared" ca="1" si="4"/>
        <v>1</v>
      </c>
      <c r="AN51">
        <f t="shared" ca="1" si="5"/>
        <v>46</v>
      </c>
      <c r="AO51">
        <f t="shared" ca="1" si="13"/>
        <v>8</v>
      </c>
      <c r="AP51">
        <f t="shared" ca="1" si="6"/>
        <v>8</v>
      </c>
    </row>
    <row r="52" spans="1:42" x14ac:dyDescent="0.25">
      <c r="A52" t="str">
        <f t="shared" ca="1" si="14"/>
        <v/>
      </c>
      <c r="B52">
        <f t="shared" ca="1" si="7"/>
        <v>31</v>
      </c>
      <c r="D52">
        <f t="shared" ca="1" si="15"/>
        <v>6</v>
      </c>
      <c r="E52" t="str">
        <f t="shared" ca="1" si="8"/>
        <v/>
      </c>
      <c r="G52" s="382" t="str">
        <f t="shared" ca="1" si="1"/>
        <v>FX CARRY/SLIDE BASKET</v>
      </c>
      <c r="J52" s="378" t="str">
        <f t="shared" ca="1" si="9"/>
        <v/>
      </c>
      <c r="K52" s="396" t="str">
        <f ca="1">+IF(J52="","",IF($J52="Total",SUM(OFFSET(K52,-1,0,-OFFSET($AF$20,MATCH($D52,OFFSET($AD$20,1,0,$AD$19,1),0),0,1,1)-1,1)),_xlfn.IFNA(OFFSET(Report!$Q$116,MATCH($J52,OFFSET(Report!$G$116,1,0,$AJ$19,1),0),0,1,1),0)))</f>
        <v/>
      </c>
      <c r="L52" s="396" t="str">
        <f ca="1">+IF(J52="","",IF($J52="Total",SUM(OFFSET(L52,-1,0,-OFFSET($AF$20,MATCH($D52,OFFSET($AD$20,1,0,$AD$19,1),0),0,1,1)-1,1)),_xlfn.IFNA(OFFSET(Report!$R$196,MATCH($J52,OFFSET(Report!$G$196,1,0,$AJ$19,1),0),0,1,1),0)))</f>
        <v/>
      </c>
      <c r="M52" s="396" t="str">
        <f ca="1">+IF(J52="","",IF($J52="Total",SUM(OFFSET(M52,-1,0,-OFFSET($AF$20,MATCH($D52,OFFSET($AD$20,1,0,$AD$19,1),0),0,1,1)-1,1)),_xlfn.IFNA(OFFSET(Report!$J$352,MATCH($J52,OFFSET(Report!$G$352,1,0,$AJ$19,1),0),0,1,1),0)))</f>
        <v/>
      </c>
      <c r="O52" s="396" t="str">
        <f t="shared" ca="1" si="16"/>
        <v/>
      </c>
      <c r="P52" s="396" t="str">
        <f t="shared" ca="1" si="16"/>
        <v/>
      </c>
      <c r="Q52" s="396" t="str">
        <f t="shared" ca="1" si="16"/>
        <v/>
      </c>
      <c r="T52" s="397" t="str">
        <f ca="1">+IF(J52="","",IF($J52="Total",SUM(OFFSET(T52,-1,0,-OFFSET($AF$20,MATCH($D52,OFFSET($AD$20,1,0,$AD$19,1),0),0,1,1)-1,1)),_xlfn.IFNA(OFFSET(Report!$J$196,MATCH($J52,OFFSET(Report!$G$196,1,0,$AJ$19,1),0),0,1,1),0)))</f>
        <v/>
      </c>
      <c r="U52" s="396" t="str">
        <f t="shared" ca="1" si="17"/>
        <v/>
      </c>
      <c r="X52" s="379"/>
      <c r="Y52" s="383"/>
      <c r="AJ52">
        <f t="shared" si="12"/>
        <v>32</v>
      </c>
      <c r="AK52" s="386" t="str">
        <f ca="1"/>
        <v>LONG USD 5Y30Y VEGA</v>
      </c>
      <c r="AL52" s="386" t="str">
        <f ca="1"/>
        <v>FI GAMMA/VEGA</v>
      </c>
      <c r="AM52">
        <f t="shared" ca="1" si="4"/>
        <v>2</v>
      </c>
      <c r="AN52">
        <f t="shared" ca="1" si="5"/>
        <v>47</v>
      </c>
      <c r="AO52">
        <f t="shared" ca="1" si="13"/>
        <v>0</v>
      </c>
      <c r="AP52">
        <f t="shared" ca="1" si="6"/>
        <v>0</v>
      </c>
    </row>
    <row r="53" spans="1:42" x14ac:dyDescent="0.25">
      <c r="A53" t="str">
        <f t="shared" ca="1" si="14"/>
        <v>NOKSEK OT CALENDAR SPREAD</v>
      </c>
      <c r="B53">
        <f t="shared" ca="1" si="7"/>
        <v>32</v>
      </c>
      <c r="D53">
        <f t="shared" ca="1" si="15"/>
        <v>6</v>
      </c>
      <c r="E53">
        <f t="shared" ca="1" si="8"/>
        <v>1</v>
      </c>
      <c r="G53" s="382" t="str">
        <f ca="1">+IF(ISNA($B53),"",_xlfn.IFNA(OFFSET($AE$20,MATCH($B53,OFFSET($AH$20,1,0,$AD$19,1),0),0,1,1),""))</f>
        <v/>
      </c>
      <c r="J53" s="378" t="str">
        <f t="shared" ca="1" si="9"/>
        <v>NOKSEK OT CALENDAR SPREAD</v>
      </c>
      <c r="K53" s="396">
        <f ca="1">+IF(J53="","",IF($J53="Total",SUM(OFFSET(K53,-1,0,-OFFSET($AF$20,MATCH($D53,OFFSET($AD$20,1,0,$AD$19,1),0),0,1,1)-1,1)),_xlfn.IFNA(OFFSET(Report!$Q$116,MATCH($J53,OFFSET(Report!$G$116,1,0,$AJ$19,1),0),0,1,1),0)))</f>
        <v>1.3453145465993363E-4</v>
      </c>
      <c r="L53" s="396">
        <f ca="1">+IF(J53="","",IF($J53="Total",SUM(OFFSET(L53,-1,0,-OFFSET($AF$20,MATCH($D53,OFFSET($AD$20,1,0,$AD$19,1),0),0,1,1)-1,1)),_xlfn.IFNA(OFFSET(Report!$R$196,MATCH($J53,OFFSET(Report!$G$196,1,0,$AJ$19,1),0),0,1,1),0)))</f>
        <v>1.2680594809224501E-3</v>
      </c>
      <c r="M53" s="396">
        <f ca="1">+IF(J53="","",IF($J53="Total",SUM(OFFSET(M53,-1,0,-OFFSET($AF$20,MATCH($D53,OFFSET($AD$20,1,0,$AD$19,1),0),0,1,1)-1,1)),_xlfn.IFNA(OFFSET(Report!$J$352,MATCH($J53,OFFSET(Report!$G$352,1,0,$AJ$19,1),0),0,1,1),0)))</f>
        <v>2.6538606377781739E-4</v>
      </c>
      <c r="O53" s="396">
        <f t="shared" ca="1" si="16"/>
        <v>4.2378933283214772E-3</v>
      </c>
      <c r="P53" s="396">
        <f t="shared" ca="1" si="16"/>
        <v>6.0988390464656473E-3</v>
      </c>
      <c r="Q53" s="396">
        <f t="shared" ca="1" si="16"/>
        <v>4.9846518880576453E-3</v>
      </c>
      <c r="T53" s="397">
        <f ca="1">+IF(J53="","",IF($J53="Total",SUM(OFFSET(T53,-1,0,-OFFSET($AF$20,MATCH($D53,OFFSET($AD$20,1,0,$AD$19,1),0),0,1,1)-1,1)),_xlfn.IFNA(OFFSET(Report!$J$196,MATCH($J53,OFFSET(Report!$G$196,1,0,$AJ$19,1),0),0,1,1),0)))</f>
        <v>39836.230774025898</v>
      </c>
      <c r="U53" s="396">
        <f t="shared" ca="1" si="17"/>
        <v>-1.5395289009786548E-2</v>
      </c>
      <c r="X53" s="379"/>
      <c r="Y53" s="383"/>
      <c r="AJ53">
        <f t="shared" si="12"/>
        <v>33</v>
      </c>
      <c r="AK53" s="386" t="str">
        <f ca="1"/>
        <v>LONG USD 3Y30Y VEGA</v>
      </c>
      <c r="AL53" s="386" t="str">
        <f ca="1"/>
        <v>FI GAMMA/VEGA</v>
      </c>
      <c r="AM53">
        <f t="shared" ca="1" si="4"/>
        <v>3</v>
      </c>
      <c r="AN53">
        <f t="shared" ca="1" si="5"/>
        <v>48</v>
      </c>
      <c r="AO53">
        <f t="shared" ca="1" si="13"/>
        <v>0</v>
      </c>
      <c r="AP53">
        <f t="shared" ca="1" si="6"/>
        <v>0</v>
      </c>
    </row>
    <row r="54" spans="1:42" x14ac:dyDescent="0.25">
      <c r="A54" t="str">
        <f t="shared" ca="1" si="14"/>
        <v>AUDCAD KI CALL SPREAD</v>
      </c>
      <c r="B54">
        <f t="shared" ca="1" si="7"/>
        <v>33</v>
      </c>
      <c r="D54">
        <f t="shared" ca="1" si="15"/>
        <v>6</v>
      </c>
      <c r="E54">
        <f t="shared" ca="1" si="8"/>
        <v>2</v>
      </c>
      <c r="G54" s="382" t="str">
        <f t="shared" ca="1" si="1"/>
        <v/>
      </c>
      <c r="J54" s="378" t="str">
        <f t="shared" ca="1" si="9"/>
        <v>AUDCAD KI CALL SPREAD</v>
      </c>
      <c r="K54" s="396">
        <f ca="1">+IF(J54="","",IF($J54="Total",SUM(OFFSET(K54,-1,0,-OFFSET($AF$20,MATCH($D54,OFFSET($AD$20,1,0,$AD$19,1),0),0,1,1)-1,1)),_xlfn.IFNA(OFFSET(Report!$Q$116,MATCH($J54,OFFSET(Report!$G$116,1,0,$AJ$19,1),0),0,1,1),0)))</f>
        <v>-2.4054449943298467E-4</v>
      </c>
      <c r="L54" s="396">
        <f ca="1">+IF(J54="","",IF($J54="Total",SUM(OFFSET(L54,-1,0,-OFFSET($AF$20,MATCH($D54,OFFSET($AD$20,1,0,$AD$19,1),0),0,1,1)-1,1)),_xlfn.IFNA(OFFSET(Report!$R$196,MATCH($J54,OFFSET(Report!$G$196,1,0,$AJ$19,1),0),0,1,1),0)))</f>
        <v>1.2107066716403952E-3</v>
      </c>
      <c r="M54" s="396">
        <f ca="1">+IF(J54="","",IF($J54="Total",SUM(OFFSET(M54,-1,0,-OFFSET($AF$20,MATCH($D54,OFFSET($AD$20,1,0,$AD$19,1),0),0,1,1)-1,1)),_xlfn.IFNA(OFFSET(Report!$J$352,MATCH($J54,OFFSET(Report!$G$352,1,0,$AJ$19,1),0),0,1,1),0)))</f>
        <v>-1.1153332105829852E-4</v>
      </c>
      <c r="O54" s="396">
        <f t="shared" ca="1" si="16"/>
        <v>-7.5774244163813011E-3</v>
      </c>
      <c r="P54" s="396">
        <f t="shared" ca="1" si="16"/>
        <v>5.822995871964525E-3</v>
      </c>
      <c r="Q54" s="396">
        <f t="shared" ca="1" si="16"/>
        <v>-2.094890633971027E-3</v>
      </c>
      <c r="T54" s="397">
        <f ca="1">+IF(J54="","",IF($J54="Total",SUM(OFFSET(T54,-1,0,-OFFSET($AF$20,MATCH($D54,OFFSET($AD$20,1,0,$AD$19,1),0),0,1,1)-1,1)),_xlfn.IFNA(OFFSET(Report!$J$196,MATCH($J54,OFFSET(Report!$G$196,1,0,$AJ$19,1),0),0,1,1),0)))</f>
        <v>-138509.79733745009</v>
      </c>
      <c r="U54" s="396">
        <f t="shared" ca="1" si="17"/>
        <v>5.3529119579440183E-2</v>
      </c>
      <c r="X54" s="379"/>
      <c r="Y54" s="383"/>
      <c r="AJ54">
        <f t="shared" si="12"/>
        <v>34</v>
      </c>
      <c r="AK54" s="386" t="str">
        <f ca="1"/>
        <v>GREEK BANKS BASKET</v>
      </c>
      <c r="AL54" s="386" t="str">
        <f ca="1"/>
        <v>EQUITY TACTICAL/MEAN REVERSION</v>
      </c>
      <c r="AM54">
        <f t="shared" ca="1" si="4"/>
        <v>1</v>
      </c>
      <c r="AN54">
        <f t="shared" ca="1" si="5"/>
        <v>51</v>
      </c>
      <c r="AO54">
        <f t="shared" ca="1" si="13"/>
        <v>9</v>
      </c>
      <c r="AP54">
        <f t="shared" ca="1" si="6"/>
        <v>9</v>
      </c>
    </row>
    <row r="55" spans="1:42" x14ac:dyDescent="0.25">
      <c r="A55" t="str">
        <f t="shared" ca="1" si="14"/>
        <v>GBPINR KI SPREAD</v>
      </c>
      <c r="B55">
        <f t="shared" ca="1" si="7"/>
        <v>34</v>
      </c>
      <c r="D55">
        <f t="shared" ca="1" si="15"/>
        <v>6</v>
      </c>
      <c r="E55">
        <f t="shared" ca="1" si="8"/>
        <v>3</v>
      </c>
      <c r="G55" s="382" t="str">
        <f t="shared" ca="1" si="1"/>
        <v/>
      </c>
      <c r="J55" s="378" t="str">
        <f t="shared" ca="1" si="9"/>
        <v>GBPINR KI SPREAD</v>
      </c>
      <c r="K55" s="396">
        <f ca="1">+IF(J55="","",IF($J55="Total",SUM(OFFSET(K55,-1,0,-OFFSET($AF$20,MATCH($D55,OFFSET($AD$20,1,0,$AD$19,1),0),0,1,1)-1,1)),_xlfn.IFNA(OFFSET(Report!$Q$116,MATCH($J55,OFFSET(Report!$G$116,1,0,$AJ$19,1),0),0,1,1),0)))</f>
        <v>6.3666272076483627E-5</v>
      </c>
      <c r="L55" s="396">
        <f ca="1">+IF(J55="","",IF($J55="Total",SUM(OFFSET(L55,-1,0,-OFFSET($AF$20,MATCH($D55,OFFSET($AD$20,1,0,$AD$19,1),0),0,1,1)-1,1)),_xlfn.IFNA(OFFSET(Report!$R$196,MATCH($J55,OFFSET(Report!$G$196,1,0,$AJ$19,1),0),0,1,1),0)))</f>
        <v>8.7929527597742439E-4</v>
      </c>
      <c r="M55" s="396">
        <f ca="1">+IF(J55="","",IF($J55="Total",SUM(OFFSET(M55,-1,0,-OFFSET($AF$20,MATCH($D55,OFFSET($AD$20,1,0,$AD$19,1),0),0,1,1)-1,1)),_xlfn.IFNA(OFFSET(Report!$J$352,MATCH($J55,OFFSET(Report!$G$352,1,0,$AJ$19,1),0),0,1,1),0)))</f>
        <v>5.9698127112836011E-6</v>
      </c>
      <c r="O55" s="396">
        <f t="shared" ca="1" si="16"/>
        <v>2.0055597432886854E-3</v>
      </c>
      <c r="P55" s="396">
        <f t="shared" ca="1" si="16"/>
        <v>4.2290448067963029E-3</v>
      </c>
      <c r="Q55" s="396">
        <f t="shared" ca="1" si="16"/>
        <v>1.1212886531812543E-4</v>
      </c>
      <c r="T55" s="397">
        <f ca="1">+IF(J55="","",IF($J55="Total",SUM(OFFSET(T55,-1,0,-OFFSET($AF$20,MATCH($D55,OFFSET($AD$20,1,0,$AD$19,1),0),0,1,1)-1,1)),_xlfn.IFNA(OFFSET(Report!$J$196,MATCH($J55,OFFSET(Report!$G$196,1,0,$AJ$19,1),0),0,1,1),0)))</f>
        <v>-128239.36778728117</v>
      </c>
      <c r="U55" s="396">
        <f t="shared" ca="1" si="17"/>
        <v>4.9559963158080214E-2</v>
      </c>
      <c r="X55" s="379"/>
      <c r="Y55" s="383"/>
      <c r="AJ55">
        <f t="shared" si="12"/>
        <v>35</v>
      </c>
      <c r="AK55" s="386" t="str">
        <f ca="1"/>
        <v>EURUSD/EURBRL DUAL BINARY</v>
      </c>
      <c r="AL55" s="386" t="str">
        <f ca="1"/>
        <v>EQUITY TACTICAL/MEAN REVERSION</v>
      </c>
      <c r="AM55">
        <f t="shared" ca="1" si="4"/>
        <v>2</v>
      </c>
      <c r="AN55">
        <f t="shared" ca="1" si="5"/>
        <v>52</v>
      </c>
      <c r="AO55">
        <f t="shared" ca="1" si="13"/>
        <v>0</v>
      </c>
      <c r="AP55">
        <f t="shared" ca="1" si="6"/>
        <v>0</v>
      </c>
    </row>
    <row r="56" spans="1:42" x14ac:dyDescent="0.25">
      <c r="A56" t="str">
        <f t="shared" ca="1" si="14"/>
        <v>CNHTWD CALL SPREAD</v>
      </c>
      <c r="B56">
        <f t="shared" ca="1" si="7"/>
        <v>35</v>
      </c>
      <c r="D56">
        <f t="shared" ca="1" si="15"/>
        <v>6</v>
      </c>
      <c r="E56">
        <f t="shared" ca="1" si="8"/>
        <v>4</v>
      </c>
      <c r="G56" s="382" t="str">
        <f t="shared" ca="1" si="1"/>
        <v/>
      </c>
      <c r="J56" s="378" t="str">
        <f t="shared" ca="1" si="9"/>
        <v>CNHTWD CALL SPREAD</v>
      </c>
      <c r="K56" s="396">
        <f ca="1">+IF(J56="","",IF($J56="Total",SUM(OFFSET(K56,-1,0,-OFFSET($AF$20,MATCH($D56,OFFSET($AD$20,1,0,$AD$19,1),0),0,1,1)-1,1)),_xlfn.IFNA(OFFSET(Report!$Q$116,MATCH($J56,OFFSET(Report!$G$116,1,0,$AJ$19,1),0),0,1,1),0)))</f>
        <v>2.0827000367913906E-4</v>
      </c>
      <c r="L56" s="396">
        <f ca="1">+IF(J56="","",IF($J56="Total",SUM(OFFSET(L56,-1,0,-OFFSET($AF$20,MATCH($D56,OFFSET($AD$20,1,0,$AD$19,1),0),0,1,1)-1,1)),_xlfn.IFNA(OFFSET(Report!$R$196,MATCH($J56,OFFSET(Report!$G$196,1,0,$AJ$19,1),0),0,1,1),0)))</f>
        <v>1.1401357960057691E-3</v>
      </c>
      <c r="M56" s="396">
        <f ca="1">+IF(J56="","",IF($J56="Total",SUM(OFFSET(M56,-1,0,-OFFSET($AF$20,MATCH($D56,OFFSET($AD$20,1,0,$AD$19,1),0),0,1,1)-1,1)),_xlfn.IFNA(OFFSET(Report!$J$352,MATCH($J56,OFFSET(Report!$G$352,1,0,$AJ$19,1),0),0,1,1),0)))</f>
        <v>5.4298683851834088E-4</v>
      </c>
      <c r="O56" s="396">
        <f t="shared" ca="1" si="16"/>
        <v>6.5607412133645649E-3</v>
      </c>
      <c r="P56" s="396">
        <f t="shared" ca="1" si="16"/>
        <v>5.4835792922701453E-3</v>
      </c>
      <c r="Q56" s="396">
        <f t="shared" ca="1" si="16"/>
        <v>1.0198728340448502E-2</v>
      </c>
      <c r="T56" s="397">
        <f ca="1">+IF(J56="","",IF($J56="Total",SUM(OFFSET(T56,-1,0,-OFFSET($AF$20,MATCH($D56,OFFSET($AD$20,1,0,$AD$19,1),0),0,1,1)-1,1)),_xlfn.IFNA(OFFSET(Report!$J$196,MATCH($J56,OFFSET(Report!$G$196,1,0,$AJ$19,1),0),0,1,1),0)))</f>
        <v>-90553.079870240108</v>
      </c>
      <c r="U56" s="396">
        <f t="shared" ca="1" si="17"/>
        <v>3.4995550739644998E-2</v>
      </c>
      <c r="X56" s="379"/>
      <c r="Y56" s="383"/>
      <c r="AJ56">
        <f t="shared" si="12"/>
        <v>36</v>
      </c>
      <c r="AK56" t="str">
        <f ca="1"/>
        <v>US CREDIT BASKET</v>
      </c>
      <c r="AL56" t="str">
        <f ca="1"/>
        <v>CREDIT VS EQUITY</v>
      </c>
      <c r="AM56">
        <f t="shared" ca="1" si="4"/>
        <v>1</v>
      </c>
      <c r="AN56">
        <f t="shared" ca="1" si="5"/>
        <v>55</v>
      </c>
      <c r="AO56">
        <f t="shared" ca="1" si="13"/>
        <v>10</v>
      </c>
      <c r="AP56">
        <f t="shared" ca="1" si="6"/>
        <v>10</v>
      </c>
    </row>
    <row r="57" spans="1:42" x14ac:dyDescent="0.25">
      <c r="A57" t="str">
        <f t="shared" ca="1" si="14"/>
        <v>EURHUF OT SPREAD</v>
      </c>
      <c r="B57">
        <f t="shared" ca="1" si="7"/>
        <v>36</v>
      </c>
      <c r="D57">
        <f t="shared" ca="1" si="15"/>
        <v>6</v>
      </c>
      <c r="E57">
        <f t="shared" ca="1" si="8"/>
        <v>5</v>
      </c>
      <c r="G57" s="382" t="str">
        <f t="shared" ca="1" si="1"/>
        <v/>
      </c>
      <c r="J57" s="378" t="str">
        <f t="shared" ca="1" si="9"/>
        <v>EURHUF OT SPREAD</v>
      </c>
      <c r="K57" s="396">
        <f ca="1">+IF(J57="","",IF($J57="Total",SUM(OFFSET(K57,-1,0,-OFFSET($AF$20,MATCH($D57,OFFSET($AD$20,1,0,$AD$19,1),0),0,1,1)-1,1)),_xlfn.IFNA(OFFSET(Report!$Q$116,MATCH($J57,OFFSET(Report!$G$116,1,0,$AJ$19,1),0),0,1,1),0)))</f>
        <v>7.7939336192049257E-4</v>
      </c>
      <c r="L57" s="396">
        <f ca="1">+IF(J57="","",IF($J57="Total",SUM(OFFSET(L57,-1,0,-OFFSET($AF$20,MATCH($D57,OFFSET($AD$20,1,0,$AD$19,1),0),0,1,1)-1,1)),_xlfn.IFNA(OFFSET(Report!$R$196,MATCH($J57,OFFSET(Report!$G$196,1,0,$AJ$19,1),0),0,1,1),0)))</f>
        <v>1.3292346533076409E-3</v>
      </c>
      <c r="M57" s="396">
        <f ca="1">+IF(J57="","",IF($J57="Total",SUM(OFFSET(M57,-1,0,-OFFSET($AF$20,MATCH($D57,OFFSET($AD$20,1,0,$AD$19,1),0),0,1,1)-1,1)),_xlfn.IFNA(OFFSET(Report!$J$352,MATCH($J57,OFFSET(Report!$G$352,1,0,$AJ$19,1),0),0,1,1),0)))</f>
        <v>1.2938575798798744E-3</v>
      </c>
      <c r="O57" s="396">
        <f t="shared" ca="1" si="16"/>
        <v>2.4551774430523587E-2</v>
      </c>
      <c r="P57" s="396">
        <f t="shared" ca="1" si="16"/>
        <v>6.3930661987642596E-3</v>
      </c>
      <c r="Q57" s="396">
        <f t="shared" ca="1" si="16"/>
        <v>2.4302065966151892E-2</v>
      </c>
      <c r="T57" s="397">
        <f ca="1">+IF(J57="","",IF($J57="Total",SUM(OFFSET(T57,-1,0,-OFFSET($AF$20,MATCH($D57,OFFSET($AD$20,1,0,$AD$19,1),0),0,1,1)-1,1)),_xlfn.IFNA(OFFSET(Report!$J$196,MATCH($J57,OFFSET(Report!$G$196,1,0,$AJ$19,1),0),0,1,1),0)))</f>
        <v>27302.002357384747</v>
      </c>
      <c r="U57" s="396">
        <f t="shared" ca="1" si="17"/>
        <v>-1.0551254691291506E-2</v>
      </c>
      <c r="X57" s="379"/>
      <c r="Y57" s="383"/>
      <c r="AJ57">
        <f t="shared" si="12"/>
        <v>37</v>
      </c>
      <c r="AK57" t="str">
        <f ca="1"/>
        <v>LONG DISH CALLS</v>
      </c>
      <c r="AL57" t="str">
        <f ca="1"/>
        <v>CREDIT TERM STRUCTURE</v>
      </c>
      <c r="AM57">
        <f t="shared" ca="1" si="4"/>
        <v>1</v>
      </c>
      <c r="AN57">
        <f t="shared" ca="1" si="5"/>
        <v>58</v>
      </c>
      <c r="AO57">
        <f t="shared" ca="1" si="13"/>
        <v>11</v>
      </c>
      <c r="AP57">
        <f t="shared" ca="1" si="6"/>
        <v>11</v>
      </c>
    </row>
    <row r="58" spans="1:42" x14ac:dyDescent="0.25">
      <c r="A58" t="str">
        <f t="shared" ca="1" si="14"/>
        <v>EURNOK 5M KI SPREAD</v>
      </c>
      <c r="B58">
        <f t="shared" ca="1" si="7"/>
        <v>37</v>
      </c>
      <c r="D58">
        <f t="shared" ca="1" si="15"/>
        <v>6</v>
      </c>
      <c r="E58">
        <f t="shared" ca="1" si="8"/>
        <v>6</v>
      </c>
      <c r="G58" s="382" t="str">
        <f t="shared" ca="1" si="1"/>
        <v/>
      </c>
      <c r="I58" s="378"/>
      <c r="J58" s="378" t="str">
        <f t="shared" ca="1" si="9"/>
        <v>EURNOK 5M KI SPREAD</v>
      </c>
      <c r="K58" s="396">
        <f ca="1">+IF(J58="","",IF($J58="Total",SUM(OFFSET(K58,-1,0,-OFFSET($AF$20,MATCH($D58,OFFSET($AD$20,1,0,$AD$19,1),0),0,1,1)-1,1)),_xlfn.IFNA(OFFSET(Report!$Q$116,MATCH($J58,OFFSET(Report!$G$116,1,0,$AJ$19,1),0),0,1,1),0)))</f>
        <v>3.9274555293836795E-5</v>
      </c>
      <c r="L58" s="396">
        <f ca="1">+IF(J58="","",IF($J58="Total",SUM(OFFSET(L58,-1,0,-OFFSET($AF$20,MATCH($D58,OFFSET($AD$20,1,0,$AD$19,1),0),0,1,1)-1,1)),_xlfn.IFNA(OFFSET(Report!$R$196,MATCH($J58,OFFSET(Report!$G$196,1,0,$AJ$19,1),0),0,1,1),0)))</f>
        <v>1.0483755525054323E-3</v>
      </c>
      <c r="M58" s="396">
        <f ca="1">+IF(J58="","",IF($J58="Total",SUM(OFFSET(M58,-1,0,-OFFSET($AF$20,MATCH($D58,OFFSET($AD$20,1,0,$AD$19,1),0),0,1,1)-1,1)),_xlfn.IFNA(OFFSET(Report!$J$352,MATCH($J58,OFFSET(Report!$G$352,1,0,$AJ$19,1),0),0,1,1),0)))</f>
        <v>5.6320855941656618E-4</v>
      </c>
      <c r="O58" s="396">
        <f t="shared" ca="1" si="16"/>
        <v>1.2371930138811895E-3</v>
      </c>
      <c r="P58" s="396">
        <f t="shared" ca="1" si="16"/>
        <v>5.0422506602993905E-3</v>
      </c>
      <c r="Q58" s="396">
        <f t="shared" ca="1" si="16"/>
        <v>1.0578545719779701E-2</v>
      </c>
      <c r="T58" s="397">
        <f ca="1">+IF(J58="","",IF($J58="Total",SUM(OFFSET(T58,-1,0,-OFFSET($AF$20,MATCH($D58,OFFSET($AD$20,1,0,$AD$19,1),0),0,1,1)-1,1)),_xlfn.IFNA(OFFSET(Report!$J$196,MATCH($J58,OFFSET(Report!$G$196,1,0,$AJ$19,1),0),0,1,1),0)))</f>
        <v>19839.892140870012</v>
      </c>
      <c r="U58" s="396">
        <f t="shared" ca="1" si="17"/>
        <v>-7.6674139971806962E-3</v>
      </c>
      <c r="X58" s="379"/>
      <c r="Y58" s="383"/>
      <c r="AJ58">
        <f t="shared" si="12"/>
        <v>38</v>
      </c>
      <c r="AK58" t="str">
        <f ca="1"/>
        <v>DISH CDS FLATTENER</v>
      </c>
      <c r="AL58" t="str">
        <f ca="1"/>
        <v>CREDIT TERM STRUCTURE</v>
      </c>
      <c r="AM58">
        <f t="shared" ca="1" si="4"/>
        <v>2</v>
      </c>
      <c r="AN58">
        <f t="shared" ca="1" si="5"/>
        <v>59</v>
      </c>
      <c r="AO58">
        <f t="shared" ca="1" si="13"/>
        <v>0</v>
      </c>
      <c r="AP58">
        <f t="shared" ca="1" si="6"/>
        <v>0</v>
      </c>
    </row>
    <row r="59" spans="1:42" x14ac:dyDescent="0.25">
      <c r="A59" t="str">
        <f t="shared" ca="1" si="14"/>
        <v>AUDJPY OT CALENDAR SPREAD</v>
      </c>
      <c r="B59">
        <f t="shared" ca="1" si="7"/>
        <v>38</v>
      </c>
      <c r="D59">
        <f t="shared" ca="1" si="15"/>
        <v>6</v>
      </c>
      <c r="E59">
        <f t="shared" ca="1" si="8"/>
        <v>7</v>
      </c>
      <c r="G59" s="382" t="str">
        <f t="shared" ca="1" si="1"/>
        <v/>
      </c>
      <c r="J59" s="378" t="str">
        <f t="shared" ca="1" si="9"/>
        <v>AUDJPY OT CALENDAR SPREAD</v>
      </c>
      <c r="K59" s="396">
        <f ca="1">+IF(J59="","",IF($J59="Total",SUM(OFFSET(K59,-1,0,-OFFSET($AF$20,MATCH($D59,OFFSET($AD$20,1,0,$AD$19,1),0),0,1,1)-1,1)),_xlfn.IFNA(OFFSET(Report!$Q$116,MATCH($J59,OFFSET(Report!$G$116,1,0,$AJ$19,1),0),0,1,1),0)))</f>
        <v>-4.6355796312945833E-5</v>
      </c>
      <c r="L59" s="396">
        <f ca="1">+IF(J59="","",IF($J59="Total",SUM(OFFSET(L59,-1,0,-OFFSET($AF$20,MATCH($D59,OFFSET($AD$20,1,0,$AD$19,1),0),0,1,1)-1,1)),_xlfn.IFNA(OFFSET(Report!$R$196,MATCH($J59,OFFSET(Report!$G$196,1,0,$AJ$19,1),0),0,1,1),0)))</f>
        <v>1.5814157627554407E-3</v>
      </c>
      <c r="M59" s="396">
        <f ca="1">+IF(J59="","",IF($J59="Total",SUM(OFFSET(M59,-1,0,-OFFSET($AF$20,MATCH($D59,OFFSET($AD$20,1,0,$AD$19,1),0),0,1,1)-1,1)),_xlfn.IFNA(OFFSET(Report!$J$352,MATCH($J59,OFFSET(Report!$G$352,1,0,$AJ$19,1),0),0,1,1),0)))</f>
        <v>1.5541042584744444E-4</v>
      </c>
      <c r="O59" s="396">
        <f t="shared" ca="1" si="16"/>
        <v>-1.4602601333661917E-3</v>
      </c>
      <c r="P59" s="396">
        <f t="shared" ca="1" si="16"/>
        <v>7.6059525185467047E-3</v>
      </c>
      <c r="Q59" s="396">
        <f t="shared" ca="1" si="16"/>
        <v>2.9190186613297893E-3</v>
      </c>
      <c r="T59" s="397">
        <f ca="1">+IF(J59="","",IF($J59="Total",SUM(OFFSET(T59,-1,0,-OFFSET($AF$20,MATCH($D59,OFFSET($AD$20,1,0,$AD$19,1),0),0,1,1)-1,1)),_xlfn.IFNA(OFFSET(Report!$J$196,MATCH($J59,OFFSET(Report!$G$196,1,0,$AJ$19,1),0),0,1,1),0)))</f>
        <v>112575.3378390916</v>
      </c>
      <c r="U59" s="396">
        <f t="shared" ca="1" si="17"/>
        <v>-4.3506371655453242E-2</v>
      </c>
      <c r="AJ59">
        <f t="shared" si="12"/>
        <v>39</v>
      </c>
      <c r="AK59" t="str">
        <f ca="1"/>
        <v>JPY CDS</v>
      </c>
      <c r="AL59" t="str">
        <f ca="1"/>
        <v>CREDIT TACTICAL/MEAN REVERSION</v>
      </c>
      <c r="AM59">
        <f t="shared" ca="1" si="4"/>
        <v>1</v>
      </c>
      <c r="AN59">
        <f t="shared" ca="1" si="5"/>
        <v>62</v>
      </c>
      <c r="AO59">
        <f t="shared" ca="1" si="13"/>
        <v>12</v>
      </c>
      <c r="AP59">
        <f t="shared" ca="1" si="6"/>
        <v>12</v>
      </c>
    </row>
    <row r="60" spans="1:42" x14ac:dyDescent="0.25">
      <c r="A60" t="str">
        <f t="shared" ca="1" si="14"/>
        <v>EURCAD PUT SPREAD</v>
      </c>
      <c r="B60">
        <f t="shared" ca="1" si="7"/>
        <v>39</v>
      </c>
      <c r="D60">
        <f t="shared" ca="1" si="15"/>
        <v>6</v>
      </c>
      <c r="E60">
        <f t="shared" ca="1" si="8"/>
        <v>8</v>
      </c>
      <c r="G60" s="382" t="str">
        <f t="shared" ca="1" si="1"/>
        <v/>
      </c>
      <c r="J60" s="378" t="str">
        <f t="shared" ca="1" si="9"/>
        <v>EURCAD PUT SPREAD</v>
      </c>
      <c r="K60" s="396">
        <f ca="1">+IF(J60="","",IF($J60="Total",SUM(OFFSET(K60,-1,0,-OFFSET($AF$20,MATCH($D60,OFFSET($AD$20,1,0,$AD$19,1),0),0,1,1)-1,1)),_xlfn.IFNA(OFFSET(Report!$Q$116,MATCH($J60,OFFSET(Report!$G$116,1,0,$AJ$19,1),0),0,1,1),0)))</f>
        <v>4.3581368017481785E-4</v>
      </c>
      <c r="L60" s="396">
        <f ca="1">+IF(J60="","",IF($J60="Total",SUM(OFFSET(L60,-1,0,-OFFSET($AF$20,MATCH($D60,OFFSET($AD$20,1,0,$AD$19,1),0),0,1,1)-1,1)),_xlfn.IFNA(OFFSET(Report!$R$196,MATCH($J60,OFFSET(Report!$G$196,1,0,$AJ$19,1),0),0,1,1),0)))</f>
        <v>1.426781286526592E-3</v>
      </c>
      <c r="M60" s="396">
        <f ca="1">+IF(J60="","",IF($J60="Total",SUM(OFFSET(M60,-1,0,-OFFSET($AF$20,MATCH($D60,OFFSET($AD$20,1,0,$AD$19,1),0),0,1,1)-1,1)),_xlfn.IFNA(OFFSET(Report!$J$352,MATCH($J60,OFFSET(Report!$G$352,1,0,$AJ$19,1),0),0,1,1),0)))</f>
        <v>1.2807083337113489E-3</v>
      </c>
      <c r="O60" s="396">
        <f t="shared" ca="1" si="16"/>
        <v>1.372862496932583E-2</v>
      </c>
      <c r="P60" s="396">
        <f t="shared" ca="1" si="16"/>
        <v>6.862224960224113E-3</v>
      </c>
      <c r="Q60" s="396">
        <f t="shared" ca="1" si="16"/>
        <v>2.4055088359990366E-2</v>
      </c>
      <c r="T60" s="397">
        <f ca="1">+IF(J60="","",IF($J60="Total",SUM(OFFSET(T60,-1,0,-OFFSET($AF$20,MATCH($D60,OFFSET($AD$20,1,0,$AD$19,1),0),0,1,1)-1,1)),_xlfn.IFNA(OFFSET(Report!$J$196,MATCH($J60,OFFSET(Report!$G$196,1,0,$AJ$19,1),0),0,1,1),0)))</f>
        <v>54578.996532922523</v>
      </c>
      <c r="U60" s="396">
        <f t="shared" ca="1" si="17"/>
        <v>-2.1092844608088471E-2</v>
      </c>
      <c r="AJ60">
        <f t="shared" si="12"/>
        <v>40</v>
      </c>
      <c r="AK60" t="str">
        <f ca="1"/>
        <v>BANKOFCHINA V SOV SPREAD</v>
      </c>
      <c r="AL60" t="str">
        <f ca="1"/>
        <v>CREDIT TACTICAL/MEAN REVERSION</v>
      </c>
      <c r="AM60">
        <f t="shared" ca="1" si="4"/>
        <v>2</v>
      </c>
      <c r="AN60">
        <f t="shared" ca="1" si="5"/>
        <v>63</v>
      </c>
      <c r="AO60">
        <f t="shared" ca="1" si="13"/>
        <v>0</v>
      </c>
      <c r="AP60">
        <f t="shared" ca="1" si="6"/>
        <v>0</v>
      </c>
    </row>
    <row r="61" spans="1:42" x14ac:dyDescent="0.25">
      <c r="A61" t="str">
        <f t="shared" ca="1" si="14"/>
        <v>USDSEK CALENDAR SPREAD</v>
      </c>
      <c r="B61">
        <f t="shared" ca="1" si="7"/>
        <v>40</v>
      </c>
      <c r="D61">
        <f t="shared" ca="1" si="15"/>
        <v>6</v>
      </c>
      <c r="E61">
        <f t="shared" ca="1" si="8"/>
        <v>9</v>
      </c>
      <c r="G61" s="382" t="str">
        <f t="shared" ca="1" si="1"/>
        <v/>
      </c>
      <c r="J61" s="378" t="str">
        <f t="shared" ca="1" si="9"/>
        <v>USDSEK CALENDAR SPREAD</v>
      </c>
      <c r="K61" s="396">
        <f ca="1">+IF(J61="","",IF($J61="Total",SUM(OFFSET(K61,-1,0,-OFFSET($AF$20,MATCH($D61,OFFSET($AD$20,1,0,$AD$19,1),0),0,1,1)-1,1)),_xlfn.IFNA(OFFSET(Report!$Q$116,MATCH($J61,OFFSET(Report!$G$116,1,0,$AJ$19,1),0),0,1,1),0)))</f>
        <v>-4.8419499356639189E-4</v>
      </c>
      <c r="L61" s="396">
        <f ca="1">+IF(J61="","",IF($J61="Total",SUM(OFFSET(L61,-1,0,-OFFSET($AF$20,MATCH($D61,OFFSET($AD$20,1,0,$AD$19,1),0),0,1,1)-1,1)),_xlfn.IFNA(OFFSET(Report!$R$196,MATCH($J61,OFFSET(Report!$G$196,1,0,$AJ$19,1),0),0,1,1),0)))</f>
        <v>1.8668765467722615E-3</v>
      </c>
      <c r="M61" s="396">
        <f ca="1">+IF(J61="","",IF($J61="Total",SUM(OFFSET(M61,-1,0,-OFFSET($AF$20,MATCH($D61,OFFSET($AD$20,1,0,$AD$19,1),0),0,1,1)-1,1)),_xlfn.IFNA(OFFSET(Report!$J$352,MATCH($J61,OFFSET(Report!$G$352,1,0,$AJ$19,1),0),0,1,1),0)))</f>
        <v>-1.7607617377340834E-4</v>
      </c>
      <c r="O61" s="396">
        <f t="shared" ca="1" si="16"/>
        <v>-1.5252691186820213E-2</v>
      </c>
      <c r="P61" s="396">
        <f t="shared" ca="1" si="16"/>
        <v>8.9789002406283278E-3</v>
      </c>
      <c r="Q61" s="396">
        <f t="shared" ca="1" si="16"/>
        <v>-3.3071760421315224E-3</v>
      </c>
      <c r="T61" s="397">
        <f ca="1">+IF(J61="","",IF($J61="Total",SUM(OFFSET(T61,-1,0,-OFFSET($AF$20,MATCH($D61,OFFSET($AD$20,1,0,$AD$19,1),0),0,1,1)-1,1)),_xlfn.IFNA(OFFSET(Report!$J$196,MATCH($J61,OFFSET(Report!$G$196,1,0,$AJ$19,1),0),0,1,1),0)))</f>
        <v>-368825.58588746277</v>
      </c>
      <c r="U61" s="396">
        <f t="shared" ca="1" si="17"/>
        <v>0.14253799565403755</v>
      </c>
      <c r="X61" s="379"/>
      <c r="Y61" s="383"/>
      <c r="AJ61">
        <f t="shared" si="12"/>
        <v>41</v>
      </c>
      <c r="AK61" t="str">
        <f ca="1"/>
        <v>US CREDIT DISPERSION</v>
      </c>
      <c r="AL61" t="str">
        <f ca="1"/>
        <v>CREDIT DISPERSION</v>
      </c>
      <c r="AM61">
        <f t="shared" ca="1" si="4"/>
        <v>1</v>
      </c>
      <c r="AN61">
        <f t="shared" ca="1" si="5"/>
        <v>66</v>
      </c>
      <c r="AO61">
        <f t="shared" ca="1" si="13"/>
        <v>13</v>
      </c>
      <c r="AP61">
        <f t="shared" ca="1" si="6"/>
        <v>13</v>
      </c>
    </row>
    <row r="62" spans="1:42" x14ac:dyDescent="0.25">
      <c r="A62" t="e">
        <f t="shared" ca="1" si="14"/>
        <v>#N/A</v>
      </c>
      <c r="B62">
        <f t="shared" ca="1" si="7"/>
        <v>41</v>
      </c>
      <c r="D62">
        <f t="shared" ca="1" si="15"/>
        <v>6</v>
      </c>
      <c r="E62">
        <f t="shared" ca="1" si="8"/>
        <v>10</v>
      </c>
      <c r="G62" s="382" t="str">
        <f t="shared" ca="1" si="1"/>
        <v/>
      </c>
      <c r="J62" s="378" t="str">
        <f t="shared" ca="1" si="9"/>
        <v>Total</v>
      </c>
      <c r="K62" s="396">
        <f ca="1">+IF(J62="","",IF($J62="Total",SUM(OFFSET(K62,-1,0,-OFFSET($AF$20,MATCH($D62,OFFSET($AD$20,1,0,$AD$19,1),0),0,1,1)-1,1)),_xlfn.IFNA(OFFSET(Report!$Q$116,MATCH($J62,OFFSET(Report!$G$116,1,0,$AJ$19,1),0),0,1,1),0)))</f>
        <v>8.8985403849238108E-4</v>
      </c>
      <c r="L62" s="396">
        <f ca="1">+IF(J62="","",IF($J62="Total",SUM(OFFSET(L62,-1,0,-OFFSET($AF$20,MATCH($D62,OFFSET($AD$20,1,0,$AD$19,1),0),0,1,1)-1,1)),_xlfn.IFNA(OFFSET(Report!$R$196,MATCH($J62,OFFSET(Report!$G$196,1,0,$AJ$19,1),0),0,1,1),0)))</f>
        <v>1.1750881026413407E-2</v>
      </c>
      <c r="M62" s="396">
        <f ca="1">+IF(J62="","",IF($J62="Total",SUM(OFFSET(M62,-1,0,-OFFSET($AF$20,MATCH($D62,OFFSET($AD$20,1,0,$AD$19,1),0),0,1,1)-1,1)),_xlfn.IFNA(OFFSET(Report!$J$352,MATCH($J62,OFFSET(Report!$G$352,1,0,$AJ$19,1),0),0,1,1),0)))</f>
        <v>3.8199181190309689E-3</v>
      </c>
      <c r="O62" s="396">
        <f t="shared" ca="1" si="16"/>
        <v>2.8031410962137626E-2</v>
      </c>
      <c r="P62" s="396">
        <f t="shared" ca="1" si="16"/>
        <v>5.651685359595942E-2</v>
      </c>
      <c r="Q62" s="396">
        <f t="shared" ca="1" si="16"/>
        <v>7.1748161124973467E-2</v>
      </c>
      <c r="T62" s="397">
        <f ca="1">+IF(J62="","",IF($J62="Total",SUM(OFFSET(T62,-1,0,-OFFSET($AF$20,MATCH($D62,OFFSET($AD$20,1,0,$AD$19,1),0),0,1,1)-1,1)),_xlfn.IFNA(OFFSET(Report!$J$196,MATCH($J62,OFFSET(Report!$G$196,1,0,$AJ$19,1),0),0,1,1),0)))</f>
        <v>-471995.37123813934</v>
      </c>
      <c r="U62" s="396">
        <f t="shared" ca="1" si="17"/>
        <v>0.18240945516940249</v>
      </c>
      <c r="X62" s="379"/>
      <c r="Y62" s="383"/>
      <c r="AJ62">
        <f t="shared" si="12"/>
        <v>42</v>
      </c>
      <c r="AK62" t="str">
        <f ca="1"/>
        <v>JPM CP</v>
      </c>
      <c r="AL62" t="str">
        <f ca="1"/>
        <v>CASH MANAGEMENT</v>
      </c>
      <c r="AM62">
        <f t="shared" ca="1" si="4"/>
        <v>1</v>
      </c>
      <c r="AN62">
        <f t="shared" ca="1" si="5"/>
        <v>69</v>
      </c>
      <c r="AO62">
        <f t="shared" ca="1" si="13"/>
        <v>14</v>
      </c>
      <c r="AP62">
        <f t="shared" ca="1" si="6"/>
        <v>14</v>
      </c>
    </row>
    <row r="63" spans="1:42" x14ac:dyDescent="0.25">
      <c r="A63" t="str">
        <f t="shared" ca="1" si="14"/>
        <v/>
      </c>
      <c r="B63">
        <f t="shared" ca="1" si="7"/>
        <v>42</v>
      </c>
      <c r="D63">
        <f t="shared" ca="1" si="15"/>
        <v>7</v>
      </c>
      <c r="E63" t="str">
        <f t="shared" ca="1" si="8"/>
        <v/>
      </c>
      <c r="G63" s="382" t="str">
        <f t="shared" ca="1" si="1"/>
        <v>FI TACTICAL/MEAN REVERSION</v>
      </c>
      <c r="J63" s="378" t="str">
        <f t="shared" ca="1" si="9"/>
        <v/>
      </c>
      <c r="K63" s="396" t="str">
        <f ca="1">+IF(J63="","",IF($J63="Total",SUM(OFFSET(K63,-1,0,-OFFSET($AF$20,MATCH($D63,OFFSET($AD$20,1,0,$AD$19,1),0),0,1,1)-1,1)),_xlfn.IFNA(OFFSET(Report!$Q$116,MATCH($J63,OFFSET(Report!$G$116,1,0,$AJ$19,1),0),0,1,1),0)))</f>
        <v/>
      </c>
      <c r="L63" s="396" t="str">
        <f ca="1">+IF(J63="","",IF($J63="Total",SUM(OFFSET(L63,-1,0,-OFFSET($AF$20,MATCH($D63,OFFSET($AD$20,1,0,$AD$19,1),0),0,1,1)-1,1)),_xlfn.IFNA(OFFSET(Report!$R$196,MATCH($J63,OFFSET(Report!$G$196,1,0,$AJ$19,1),0),0,1,1),0)))</f>
        <v/>
      </c>
      <c r="M63" s="396" t="str">
        <f ca="1">+IF(J63="","",IF($J63="Total",SUM(OFFSET(M63,-1,0,-OFFSET($AF$20,MATCH($D63,OFFSET($AD$20,1,0,$AD$19,1),0),0,1,1)-1,1)),_xlfn.IFNA(OFFSET(Report!$J$352,MATCH($J63,OFFSET(Report!$G$352,1,0,$AJ$19,1),0),0,1,1),0)))</f>
        <v/>
      </c>
      <c r="O63" s="396" t="str">
        <f t="shared" ca="1" si="16"/>
        <v/>
      </c>
      <c r="P63" s="396" t="str">
        <f t="shared" ca="1" si="16"/>
        <v/>
      </c>
      <c r="Q63" s="396" t="str">
        <f t="shared" ca="1" si="16"/>
        <v/>
      </c>
      <c r="T63" s="397" t="str">
        <f ca="1">+IF(J63="","",IF($J63="Total",SUM(OFFSET(T63,-1,0,-OFFSET($AF$20,MATCH($D63,OFFSET($AD$20,1,0,$AD$19,1),0),0,1,1)-1,1)),_xlfn.IFNA(OFFSET(Report!$J$196,MATCH($J63,OFFSET(Report!$G$196,1,0,$AJ$19,1),0),0,1,1),0)))</f>
        <v/>
      </c>
      <c r="U63" s="396" t="str">
        <f t="shared" ca="1" si="17"/>
        <v/>
      </c>
      <c r="X63" s="379"/>
      <c r="Y63" s="383"/>
      <c r="AJ63">
        <f t="shared" si="12"/>
        <v>43</v>
      </c>
      <c r="AK63" t="str">
        <f ca="1"/>
        <v>TBILL</v>
      </c>
      <c r="AL63" t="str">
        <f ca="1"/>
        <v>CASH MANAGEMENT</v>
      </c>
      <c r="AM63">
        <f t="shared" ca="1" si="4"/>
        <v>2</v>
      </c>
      <c r="AN63">
        <f t="shared" ca="1" si="5"/>
        <v>70</v>
      </c>
      <c r="AO63">
        <f t="shared" ca="1" si="13"/>
        <v>0</v>
      </c>
      <c r="AP63">
        <f t="shared" ca="1" si="6"/>
        <v>0</v>
      </c>
    </row>
    <row r="64" spans="1:42" x14ac:dyDescent="0.25">
      <c r="A64" t="str">
        <f t="shared" ca="1" si="14"/>
        <v>L Z8 91/92/93 CALL FLY</v>
      </c>
      <c r="B64">
        <f t="shared" ca="1" si="7"/>
        <v>43</v>
      </c>
      <c r="D64">
        <f t="shared" ca="1" si="15"/>
        <v>7</v>
      </c>
      <c r="E64">
        <f t="shared" ca="1" si="8"/>
        <v>1</v>
      </c>
      <c r="G64" s="382" t="str">
        <f t="shared" ca="1" si="1"/>
        <v/>
      </c>
      <c r="J64" s="378" t="str">
        <f t="shared" ca="1" si="9"/>
        <v>L Z8 91/92/93 CALL FLY</v>
      </c>
      <c r="K64" s="396">
        <f ca="1">+IF(J64="","",IF($J64="Total",SUM(OFFSET(K64,-1,0,-OFFSET($AF$20,MATCH($D64,OFFSET($AD$20,1,0,$AD$19,1),0),0,1,1)-1,1)),_xlfn.IFNA(OFFSET(Report!$Q$116,MATCH($J64,OFFSET(Report!$G$116,1,0,$AJ$19,1),0),0,1,1),0)))</f>
        <v>1.1474591182552873E-5</v>
      </c>
      <c r="L64" s="396">
        <f ca="1">+IF(J64="","",IF($J64="Total",SUM(OFFSET(L64,-1,0,-OFFSET($AF$20,MATCH($D64,OFFSET($AD$20,1,0,$AD$19,1),0),0,1,1)-1,1)),_xlfn.IFNA(OFFSET(Report!$R$196,MATCH($J64,OFFSET(Report!$G$196,1,0,$AJ$19,1),0),0,1,1),0)))</f>
        <v>4.7477087591931024E-4</v>
      </c>
      <c r="M64" s="396">
        <f ca="1">+IF(J64="","",IF($J64="Total",SUM(OFFSET(M64,-1,0,-OFFSET($AF$20,MATCH($D64,OFFSET($AD$20,1,0,$AD$19,1),0),0,1,1)-1,1)),_xlfn.IFNA(OFFSET(Report!$J$352,MATCH($J64,OFFSET(Report!$G$352,1,0,$AJ$19,1),0),0,1,1),0)))</f>
        <v>1.4326785260006264E-11</v>
      </c>
      <c r="O64" s="396">
        <f t="shared" ca="1" si="16"/>
        <v>3.6146262998997929E-4</v>
      </c>
      <c r="P64" s="396">
        <f t="shared" ca="1" si="16"/>
        <v>2.2834505792070706E-3</v>
      </c>
      <c r="Q64" s="396">
        <f t="shared" ca="1" si="16"/>
        <v>2.6909490340033406E-10</v>
      </c>
      <c r="T64" s="397">
        <f ca="1">+IF(J64="","",IF($J64="Total",SUM(OFFSET(T64,-1,0,-OFFSET($AF$20,MATCH($D64,OFFSET($AD$20,1,0,$AD$19,1),0),0,1,1)-1,1)),_xlfn.IFNA(OFFSET(Report!$J$196,MATCH($J64,OFFSET(Report!$G$196,1,0,$AJ$19,1),0),0,1,1),0)))</f>
        <v>56455.199567509808</v>
      </c>
      <c r="U64" s="396">
        <f t="shared" ca="1" si="17"/>
        <v>-2.1817930475834354E-2</v>
      </c>
      <c r="X64" s="379"/>
      <c r="Y64" s="383"/>
      <c r="AJ64" t="e">
        <f t="shared" si="12"/>
        <v>#N/A</v>
      </c>
      <c r="AK64">
        <f ca="1"/>
        <v>0</v>
      </c>
      <c r="AL64">
        <f ca="1"/>
        <v>0</v>
      </c>
      <c r="AM64" t="str">
        <f t="shared" ca="1" si="4"/>
        <v/>
      </c>
      <c r="AN64" t="str">
        <f t="shared" ca="1" si="5"/>
        <v/>
      </c>
      <c r="AO64" t="str">
        <f t="shared" ca="1" si="13"/>
        <v/>
      </c>
      <c r="AP64" t="str">
        <f t="shared" ca="1" si="6"/>
        <v/>
      </c>
    </row>
    <row r="65" spans="1:42" x14ac:dyDescent="0.25">
      <c r="A65" t="e">
        <f t="shared" ca="1" si="14"/>
        <v>#N/A</v>
      </c>
      <c r="B65">
        <f t="shared" ca="1" si="7"/>
        <v>44</v>
      </c>
      <c r="D65">
        <f t="shared" ca="1" si="15"/>
        <v>7</v>
      </c>
      <c r="E65">
        <f t="shared" ca="1" si="8"/>
        <v>2</v>
      </c>
      <c r="G65" s="382" t="str">
        <f t="shared" ca="1" si="1"/>
        <v/>
      </c>
      <c r="J65" s="378" t="str">
        <f t="shared" ca="1" si="9"/>
        <v>Total</v>
      </c>
      <c r="K65" s="396">
        <f ca="1">+IF(J65="","",IF($J65="Total",SUM(OFFSET(K65,-1,0,-OFFSET($AF$20,MATCH($D65,OFFSET($AD$20,1,0,$AD$19,1),0),0,1,1)-1,1)),_xlfn.IFNA(OFFSET(Report!$Q$116,MATCH($J65,OFFSET(Report!$G$116,1,0,$AJ$19,1),0),0,1,1),0)))</f>
        <v>1.1474591182552873E-5</v>
      </c>
      <c r="L65" s="396">
        <f ca="1">+IF(J65="","",IF($J65="Total",SUM(OFFSET(L65,-1,0,-OFFSET($AF$20,MATCH($D65,OFFSET($AD$20,1,0,$AD$19,1),0),0,1,1)-1,1)),_xlfn.IFNA(OFFSET(Report!$R$196,MATCH($J65,OFFSET(Report!$G$196,1,0,$AJ$19,1),0),0,1,1),0)))</f>
        <v>4.7477087591931024E-4</v>
      </c>
      <c r="M65" s="396">
        <f ca="1">+IF(J65="","",IF($J65="Total",SUM(OFFSET(M65,-1,0,-OFFSET($AF$20,MATCH($D65,OFFSET($AD$20,1,0,$AD$19,1),0),0,1,1)-1,1)),_xlfn.IFNA(OFFSET(Report!$J$352,MATCH($J65,OFFSET(Report!$G$352,1,0,$AJ$19,1),0),0,1,1),0)))</f>
        <v>1.4326785260006264E-11</v>
      </c>
      <c r="O65" s="396">
        <f t="shared" ca="1" si="16"/>
        <v>3.6146262998997929E-4</v>
      </c>
      <c r="P65" s="396">
        <f t="shared" ca="1" si="16"/>
        <v>2.2834505792070706E-3</v>
      </c>
      <c r="Q65" s="396">
        <f t="shared" ca="1" si="16"/>
        <v>2.6909490340033406E-10</v>
      </c>
      <c r="T65" s="397">
        <f ca="1">+IF(J65="","",IF($J65="Total",SUM(OFFSET(T65,-1,0,-OFFSET($AF$20,MATCH($D65,OFFSET($AD$20,1,0,$AD$19,1),0),0,1,1)-1,1)),_xlfn.IFNA(OFFSET(Report!$J$196,MATCH($J65,OFFSET(Report!$G$196,1,0,$AJ$19,1),0),0,1,1),0)))</f>
        <v>56455.199567509808</v>
      </c>
      <c r="U65" s="396">
        <f t="shared" ca="1" si="17"/>
        <v>-2.1817930475834354E-2</v>
      </c>
      <c r="X65" s="379"/>
      <c r="Y65" s="383"/>
      <c r="AJ65" t="e">
        <f t="shared" si="12"/>
        <v>#N/A</v>
      </c>
      <c r="AK65" t="e">
        <f ca="1"/>
        <v>#N/A</v>
      </c>
      <c r="AL65" t="e">
        <f ca="1"/>
        <v>#N/A</v>
      </c>
      <c r="AM65" t="str">
        <f t="shared" ca="1" si="4"/>
        <v/>
      </c>
      <c r="AN65" t="str">
        <f t="shared" ca="1" si="5"/>
        <v/>
      </c>
      <c r="AO65" t="str">
        <f t="shared" ca="1" si="13"/>
        <v/>
      </c>
      <c r="AP65" t="str">
        <f t="shared" ca="1" si="6"/>
        <v/>
      </c>
    </row>
    <row r="66" spans="1:42" x14ac:dyDescent="0.25">
      <c r="A66" t="str">
        <f t="shared" ca="1" si="14"/>
        <v/>
      </c>
      <c r="B66">
        <f t="shared" ca="1" si="7"/>
        <v>45</v>
      </c>
      <c r="D66">
        <f t="shared" ca="1" si="15"/>
        <v>8</v>
      </c>
      <c r="E66" t="str">
        <f t="shared" ca="1" si="8"/>
        <v/>
      </c>
      <c r="G66" s="382" t="str">
        <f t="shared" ca="1" si="1"/>
        <v>FI GAMMA/VEGA</v>
      </c>
      <c r="J66" s="378" t="str">
        <f t="shared" ca="1" si="9"/>
        <v/>
      </c>
      <c r="K66" s="396" t="str">
        <f ca="1">+IF(J66="","",IF($J66="Total",SUM(OFFSET(K66,-1,0,-OFFSET($AF$20,MATCH($D66,OFFSET($AD$20,1,0,$AD$19,1),0),0,1,1)-1,1)),_xlfn.IFNA(OFFSET(Report!$Q$116,MATCH($J66,OFFSET(Report!$G$116,1,0,$AJ$19,1),0),0,1,1),0)))</f>
        <v/>
      </c>
      <c r="L66" s="396" t="str">
        <f ca="1">+IF(J66="","",IF($J66="Total",SUM(OFFSET(L66,-1,0,-OFFSET($AF$20,MATCH($D66,OFFSET($AD$20,1,0,$AD$19,1),0),0,1,1)-1,1)),_xlfn.IFNA(OFFSET(Report!$R$196,MATCH($J66,OFFSET(Report!$G$196,1,0,$AJ$19,1),0),0,1,1),0)))</f>
        <v/>
      </c>
      <c r="M66" s="396" t="str">
        <f ca="1">+IF(J66="","",IF($J66="Total",SUM(OFFSET(M66,-1,0,-OFFSET($AF$20,MATCH($D66,OFFSET($AD$20,1,0,$AD$19,1),0),0,1,1)-1,1)),_xlfn.IFNA(OFFSET(Report!$J$352,MATCH($J66,OFFSET(Report!$G$352,1,0,$AJ$19,1),0),0,1,1),0)))</f>
        <v/>
      </c>
      <c r="O66" s="396" t="str">
        <f t="shared" ca="1" si="16"/>
        <v/>
      </c>
      <c r="P66" s="396" t="str">
        <f t="shared" ca="1" si="16"/>
        <v/>
      </c>
      <c r="Q66" s="396" t="str">
        <f t="shared" ca="1" si="16"/>
        <v/>
      </c>
      <c r="T66" s="397" t="str">
        <f ca="1">+IF(J66="","",IF($J66="Total",SUM(OFFSET(T66,-1,0,-OFFSET($AF$20,MATCH($D66,OFFSET($AD$20,1,0,$AD$19,1),0),0,1,1)-1,1)),_xlfn.IFNA(OFFSET(Report!$J$196,MATCH($J66,OFFSET(Report!$G$196,1,0,$AJ$19,1),0),0,1,1),0)))</f>
        <v/>
      </c>
      <c r="U66" s="396" t="str">
        <f t="shared" ca="1" si="17"/>
        <v/>
      </c>
      <c r="AJ66" t="e">
        <f t="shared" si="12"/>
        <v>#N/A</v>
      </c>
      <c r="AK66" t="e">
        <f ca="1"/>
        <v>#N/A</v>
      </c>
      <c r="AL66" t="e">
        <f ca="1"/>
        <v>#N/A</v>
      </c>
      <c r="AM66" t="str">
        <f t="shared" ca="1" si="4"/>
        <v/>
      </c>
      <c r="AN66" t="str">
        <f t="shared" ca="1" si="5"/>
        <v/>
      </c>
      <c r="AO66" t="str">
        <f t="shared" ca="1" si="13"/>
        <v/>
      </c>
      <c r="AP66" t="str">
        <f t="shared" ca="1" si="6"/>
        <v/>
      </c>
    </row>
    <row r="67" spans="1:42" x14ac:dyDescent="0.25">
      <c r="A67" t="str">
        <f t="shared" ca="1" si="14"/>
        <v>LONG USD 10Y10Y VEGA</v>
      </c>
      <c r="B67">
        <f t="shared" ca="1" si="7"/>
        <v>46</v>
      </c>
      <c r="D67">
        <f t="shared" ca="1" si="15"/>
        <v>8</v>
      </c>
      <c r="E67">
        <f t="shared" ca="1" si="8"/>
        <v>1</v>
      </c>
      <c r="G67" s="382" t="str">
        <f t="shared" ca="1" si="1"/>
        <v/>
      </c>
      <c r="J67" s="378" t="str">
        <f t="shared" ca="1" si="9"/>
        <v>LONG USD 10Y10Y VEGA</v>
      </c>
      <c r="K67" s="396">
        <f ca="1">+IF(J67="","",IF($J67="Total",SUM(OFFSET(K67,-1,0,-OFFSET($AF$20,MATCH($D67,OFFSET($AD$20,1,0,$AD$19,1),0),0,1,1)-1,1)),_xlfn.IFNA(OFFSET(Report!$Q$116,MATCH($J67,OFFSET(Report!$G$116,1,0,$AJ$19,1),0),0,1,1),0)))</f>
        <v>6.5428166856126011E-4</v>
      </c>
      <c r="L67" s="396">
        <f ca="1">+IF(J67="","",IF($J67="Total",SUM(OFFSET(L67,-1,0,-OFFSET($AF$20,MATCH($D67,OFFSET($AD$20,1,0,$AD$19,1),0),0,1,1)-1,1)),_xlfn.IFNA(OFFSET(Report!$R$196,MATCH($J67,OFFSET(Report!$G$196,1,0,$AJ$19,1),0),0,1,1),0)))</f>
        <v>2.8313190758528541E-3</v>
      </c>
      <c r="M67" s="396">
        <f ca="1">+IF(J67="","",IF($J67="Total",SUM(OFFSET(M67,-1,0,-OFFSET($AF$20,MATCH($D67,OFFSET($AD$20,1,0,$AD$19,1),0),0,1,1)-1,1)),_xlfn.IFNA(OFFSET(Report!$J$352,MATCH($J67,OFFSET(Report!$G$352,1,0,$AJ$19,1),0),0,1,1),0)))</f>
        <v>7.0117213406127935E-4</v>
      </c>
      <c r="O67" s="396">
        <f t="shared" ca="1" si="16"/>
        <v>2.0610614261532999E-2</v>
      </c>
      <c r="P67" s="396">
        <f t="shared" ca="1" si="16"/>
        <v>1.3617467944211089E-2</v>
      </c>
      <c r="Q67" s="396">
        <f t="shared" ca="1" si="16"/>
        <v>1.3169866390678599E-2</v>
      </c>
      <c r="T67" s="397">
        <f ca="1">+IF(J67="","",IF($J67="Total",SUM(OFFSET(T67,-1,0,-OFFSET($AF$20,MATCH($D67,OFFSET($AD$20,1,0,$AD$19,1),0),0,1,1)-1,1)),_xlfn.IFNA(OFFSET(Report!$J$196,MATCH($J67,OFFSET(Report!$G$196,1,0,$AJ$19,1),0),0,1,1),0)))</f>
        <v>111571.13263380001</v>
      </c>
      <c r="U67" s="396">
        <f t="shared" ca="1" si="17"/>
        <v>-4.3118281992847E-2</v>
      </c>
      <c r="AJ67" t="e">
        <f t="shared" si="12"/>
        <v>#N/A</v>
      </c>
      <c r="AK67" t="e">
        <f ca="1"/>
        <v>#N/A</v>
      </c>
      <c r="AL67" t="e">
        <f ca="1"/>
        <v>#N/A</v>
      </c>
      <c r="AM67" t="str">
        <f t="shared" ca="1" si="4"/>
        <v/>
      </c>
      <c r="AN67" t="str">
        <f t="shared" ca="1" si="5"/>
        <v/>
      </c>
      <c r="AO67" t="str">
        <f t="shared" ca="1" si="13"/>
        <v/>
      </c>
      <c r="AP67" t="str">
        <f t="shared" ca="1" si="6"/>
        <v/>
      </c>
    </row>
    <row r="68" spans="1:42" x14ac:dyDescent="0.25">
      <c r="A68" t="str">
        <f t="shared" ca="1" si="14"/>
        <v>LONG USD 5Y30Y VEGA</v>
      </c>
      <c r="B68">
        <f t="shared" ca="1" si="7"/>
        <v>47</v>
      </c>
      <c r="D68">
        <f t="shared" ca="1" si="15"/>
        <v>8</v>
      </c>
      <c r="E68">
        <f t="shared" ca="1" si="8"/>
        <v>2</v>
      </c>
      <c r="G68" s="382" t="str">
        <f t="shared" ca="1" si="1"/>
        <v/>
      </c>
      <c r="J68" s="378" t="str">
        <f t="shared" ca="1" si="9"/>
        <v>LONG USD 5Y30Y VEGA</v>
      </c>
      <c r="K68" s="396">
        <f ca="1">+IF(J68="","",IF($J68="Total",SUM(OFFSET(K68,-1,0,-OFFSET($AF$20,MATCH($D68,OFFSET($AD$20,1,0,$AD$19,1),0),0,1,1)-1,1)),_xlfn.IFNA(OFFSET(Report!$Q$116,MATCH($J68,OFFSET(Report!$G$116,1,0,$AJ$19,1),0),0,1,1),0)))</f>
        <v>4.7761283760685332E-3</v>
      </c>
      <c r="L68" s="396">
        <f ca="1">+IF(J68="","",IF($J68="Total",SUM(OFFSET(L68,-1,0,-OFFSET($AF$20,MATCH($D68,OFFSET($AD$20,1,0,$AD$19,1),0),0,1,1)-1,1)),_xlfn.IFNA(OFFSET(Report!$R$196,MATCH($J68,OFFSET(Report!$G$196,1,0,$AJ$19,1),0),0,1,1),0)))</f>
        <v>4.8052359180643461E-2</v>
      </c>
      <c r="M68" s="396">
        <f ca="1">+IF(J68="","",IF($J68="Total",SUM(OFFSET(M68,-1,0,-OFFSET($AF$20,MATCH($D68,OFFSET($AD$20,1,0,$AD$19,1),0),0,1,1)-1,1)),_xlfn.IFNA(OFFSET(Report!$J$352,MATCH($J68,OFFSET(Report!$G$352,1,0,$AJ$19,1),0),0,1,1),0)))</f>
        <v>2.4936606005211462E-3</v>
      </c>
      <c r="O68" s="396">
        <f t="shared" ca="1" si="16"/>
        <v>0.15045345812480723</v>
      </c>
      <c r="P68" s="396">
        <f t="shared" ca="1" si="16"/>
        <v>0.23111187515629092</v>
      </c>
      <c r="Q68" s="396">
        <f t="shared" ca="1" si="16"/>
        <v>4.6837538654513448E-2</v>
      </c>
      <c r="T68" s="397">
        <f ca="1">+IF(J68="","",IF($J68="Total",SUM(OFFSET(T68,-1,0,-OFFSET($AF$20,MATCH($D68,OFFSET($AD$20,1,0,$AD$19,1),0),0,1,1)-1,1)),_xlfn.IFNA(OFFSET(Report!$J$196,MATCH($J68,OFFSET(Report!$G$196,1,0,$AJ$19,1),0),0,1,1),0)))</f>
        <v>274307.16519709997</v>
      </c>
      <c r="U68" s="396">
        <f t="shared" ca="1" si="17"/>
        <v>-0.10600998145683327</v>
      </c>
      <c r="X68" s="379"/>
      <c r="Y68" s="383"/>
      <c r="AJ68" t="e">
        <f t="shared" si="12"/>
        <v>#N/A</v>
      </c>
      <c r="AK68" t="e">
        <f ca="1"/>
        <v>#N/A</v>
      </c>
      <c r="AL68" t="e">
        <f ca="1"/>
        <v>#N/A</v>
      </c>
      <c r="AM68" t="str">
        <f t="shared" ca="1" si="4"/>
        <v/>
      </c>
      <c r="AN68" t="str">
        <f t="shared" ca="1" si="5"/>
        <v/>
      </c>
      <c r="AO68" t="str">
        <f t="shared" ca="1" si="13"/>
        <v/>
      </c>
      <c r="AP68" t="str">
        <f t="shared" ca="1" si="6"/>
        <v/>
      </c>
    </row>
    <row r="69" spans="1:42" x14ac:dyDescent="0.25">
      <c r="A69" t="str">
        <f t="shared" ca="1" si="14"/>
        <v>LONG USD 3Y30Y VEGA</v>
      </c>
      <c r="B69">
        <f t="shared" ca="1" si="7"/>
        <v>48</v>
      </c>
      <c r="D69">
        <f t="shared" ca="1" si="15"/>
        <v>8</v>
      </c>
      <c r="E69">
        <f t="shared" ca="1" si="8"/>
        <v>3</v>
      </c>
      <c r="G69" s="382" t="str">
        <f t="shared" ca="1" si="1"/>
        <v/>
      </c>
      <c r="J69" s="378" t="str">
        <f t="shared" ca="1" si="9"/>
        <v>LONG USD 3Y30Y VEGA</v>
      </c>
      <c r="K69" s="396">
        <f ca="1">+IF(J69="","",IF($J69="Total",SUM(OFFSET(K69,-1,0,-OFFSET($AF$20,MATCH($D69,OFFSET($AD$20,1,0,$AD$19,1),0),0,1,1)-1,1)),_xlfn.IFNA(OFFSET(Report!$Q$116,MATCH($J69,OFFSET(Report!$G$116,1,0,$AJ$19,1),0),0,1,1),0)))</f>
        <v>-1.7632640317332767E-3</v>
      </c>
      <c r="L69" s="396">
        <f ca="1">+IF(J69="","",IF($J69="Total",SUM(OFFSET(L69,-1,0,-OFFSET($AF$20,MATCH($D69,OFFSET($AD$20,1,0,$AD$19,1),0),0,1,1)-1,1)),_xlfn.IFNA(OFFSET(Report!$R$196,MATCH($J69,OFFSET(Report!$G$196,1,0,$AJ$19,1),0),0,1,1),0)))</f>
        <v>6.1773251788207317E-3</v>
      </c>
      <c r="M69" s="396">
        <f ca="1">+IF(J69="","",IF($J69="Total",SUM(OFFSET(M69,-1,0,-OFFSET($AF$20,MATCH($D69,OFFSET($AD$20,1,0,$AD$19,1),0),0,1,1)-1,1)),_xlfn.IFNA(OFFSET(Report!$J$352,MATCH($J69,OFFSET(Report!$G$352,1,0,$AJ$19,1),0),0,1,1),0)))</f>
        <v>1.5443241125416163E-3</v>
      </c>
      <c r="O69" s="396">
        <f t="shared" ca="1" si="16"/>
        <v>-5.5544815857678828E-2</v>
      </c>
      <c r="P69" s="396">
        <f t="shared" ca="1" si="16"/>
        <v>2.9710366564114906E-2</v>
      </c>
      <c r="Q69" s="396">
        <f t="shared" ca="1" si="16"/>
        <v>2.9006489616569518E-2</v>
      </c>
      <c r="T69" s="397">
        <f ca="1">+IF(J69="","",IF($J69="Total",SUM(OFFSET(T69,-1,0,-OFFSET($AF$20,MATCH($D69,OFFSET($AD$20,1,0,$AD$19,1),0),0,1,1)-1,1)),_xlfn.IFNA(OFFSET(Report!$J$196,MATCH($J69,OFFSET(Report!$G$196,1,0,$AJ$19,1),0),0,1,1),0)))</f>
        <v>-955263.66086473351</v>
      </c>
      <c r="U69" s="396">
        <f t="shared" ca="1" si="17"/>
        <v>0.36917549310785441</v>
      </c>
      <c r="AJ69" t="e">
        <f t="shared" si="12"/>
        <v>#N/A</v>
      </c>
      <c r="AK69" t="e">
        <f ca="1"/>
        <v>#N/A</v>
      </c>
      <c r="AL69" t="e">
        <f ca="1"/>
        <v>#N/A</v>
      </c>
      <c r="AM69" t="str">
        <f t="shared" ca="1" si="4"/>
        <v/>
      </c>
      <c r="AN69" t="str">
        <f t="shared" ca="1" si="5"/>
        <v/>
      </c>
      <c r="AO69" t="str">
        <f t="shared" ca="1" si="13"/>
        <v/>
      </c>
      <c r="AP69" t="str">
        <f t="shared" ca="1" si="6"/>
        <v/>
      </c>
    </row>
    <row r="70" spans="1:42" x14ac:dyDescent="0.25">
      <c r="A70" t="e">
        <f t="shared" ca="1" si="14"/>
        <v>#N/A</v>
      </c>
      <c r="B70">
        <f t="shared" ca="1" si="7"/>
        <v>49</v>
      </c>
      <c r="D70">
        <f t="shared" ca="1" si="15"/>
        <v>8</v>
      </c>
      <c r="E70">
        <f t="shared" ca="1" si="8"/>
        <v>4</v>
      </c>
      <c r="G70" s="382" t="str">
        <f t="shared" ca="1" si="1"/>
        <v/>
      </c>
      <c r="J70" s="378" t="str">
        <f t="shared" ca="1" si="9"/>
        <v>Total</v>
      </c>
      <c r="K70" s="396">
        <f ca="1">+IF(J70="","",IF($J70="Total",SUM(OFFSET(K70,-1,0,-OFFSET($AF$20,MATCH($D70,OFFSET($AD$20,1,0,$AD$19,1),0),0,1,1)-1,1)),_xlfn.IFNA(OFFSET(Report!$Q$116,MATCH($J70,OFFSET(Report!$G$116,1,0,$AJ$19,1),0),0,1,1),0)))</f>
        <v>3.6671460128965164E-3</v>
      </c>
      <c r="L70" s="396">
        <f ca="1">+IF(J70="","",IF($J70="Total",SUM(OFFSET(L70,-1,0,-OFFSET($AF$20,MATCH($D70,OFFSET($AD$20,1,0,$AD$19,1),0),0,1,1)-1,1)),_xlfn.IFNA(OFFSET(Report!$R$196,MATCH($J70,OFFSET(Report!$G$196,1,0,$AJ$19,1),0),0,1,1),0)))</f>
        <v>5.7061003435317045E-2</v>
      </c>
      <c r="M70" s="396">
        <f ca="1">+IF(J70="","",IF($J70="Total",SUM(OFFSET(M70,-1,0,-OFFSET($AF$20,MATCH($D70,OFFSET($AD$20,1,0,$AD$19,1),0),0,1,1)-1,1)),_xlfn.IFNA(OFFSET(Report!$J$352,MATCH($J70,OFFSET(Report!$G$352,1,0,$AJ$19,1),0),0,1,1),0)))</f>
        <v>4.7391568471240424E-3</v>
      </c>
      <c r="O70" s="396">
        <f t="shared" ca="1" si="16"/>
        <v>0.11551925652866139</v>
      </c>
      <c r="P70" s="396">
        <f t="shared" ca="1" si="16"/>
        <v>0.27443970966461689</v>
      </c>
      <c r="Q70" s="396">
        <f t="shared" ca="1" si="16"/>
        <v>8.9013894661761572E-2</v>
      </c>
      <c r="T70" s="397">
        <f ca="1">+IF(J70="","",IF($J70="Total",SUM(OFFSET(T70,-1,0,-OFFSET($AF$20,MATCH($D70,OFFSET($AD$20,1,0,$AD$19,1),0),0,1,1)-1,1)),_xlfn.IFNA(OFFSET(Report!$J$196,MATCH($J70,OFFSET(Report!$G$196,1,0,$AJ$19,1),0),0,1,1),0)))</f>
        <v>-569385.36303383356</v>
      </c>
      <c r="U70" s="396">
        <f t="shared" ca="1" si="17"/>
        <v>0.22004722965817414</v>
      </c>
      <c r="AJ70" t="e">
        <f t="shared" si="12"/>
        <v>#N/A</v>
      </c>
      <c r="AK70" t="e">
        <f ca="1"/>
        <v>#N/A</v>
      </c>
      <c r="AL70" t="e">
        <f ca="1"/>
        <v>#N/A</v>
      </c>
      <c r="AM70" t="str">
        <f t="shared" ca="1" si="4"/>
        <v/>
      </c>
      <c r="AN70" t="str">
        <f t="shared" ca="1" si="5"/>
        <v/>
      </c>
      <c r="AO70" t="str">
        <f t="shared" ca="1" si="13"/>
        <v/>
      </c>
      <c r="AP70" t="str">
        <f t="shared" ca="1" si="6"/>
        <v/>
      </c>
    </row>
    <row r="71" spans="1:42" x14ac:dyDescent="0.25">
      <c r="A71" t="str">
        <f t="shared" ca="1" si="14"/>
        <v/>
      </c>
      <c r="B71">
        <f t="shared" ca="1" si="7"/>
        <v>50</v>
      </c>
      <c r="D71">
        <f t="shared" ca="1" si="15"/>
        <v>9</v>
      </c>
      <c r="E71" t="str">
        <f t="shared" ca="1" si="8"/>
        <v/>
      </c>
      <c r="G71" s="382" t="str">
        <f t="shared" ca="1" si="1"/>
        <v>EQUITY TACTICAL/MEAN REVERSION</v>
      </c>
      <c r="J71" s="378" t="str">
        <f t="shared" ca="1" si="9"/>
        <v/>
      </c>
      <c r="K71" s="396" t="str">
        <f ca="1">+IF(J71="","",IF($J71="Total",SUM(OFFSET(K71,-1,0,-OFFSET($AF$20,MATCH($D71,OFFSET($AD$20,1,0,$AD$19,1),0),0,1,1)-1,1)),_xlfn.IFNA(OFFSET(Report!$Q$116,MATCH($J71,OFFSET(Report!$G$116,1,0,$AJ$19,1),0),0,1,1),0)))</f>
        <v/>
      </c>
      <c r="L71" s="396" t="str">
        <f ca="1">+IF(J71="","",IF($J71="Total",SUM(OFFSET(L71,-1,0,-OFFSET($AF$20,MATCH($D71,OFFSET($AD$20,1,0,$AD$19,1),0),0,1,1)-1,1)),_xlfn.IFNA(OFFSET(Report!$R$196,MATCH($J71,OFFSET(Report!$G$196,1,0,$AJ$19,1),0),0,1,1),0)))</f>
        <v/>
      </c>
      <c r="M71" s="396" t="str">
        <f ca="1">+IF(J71="","",IF($J71="Total",SUM(OFFSET(M71,-1,0,-OFFSET($AF$20,MATCH($D71,OFFSET($AD$20,1,0,$AD$19,1),0),0,1,1)-1,1)),_xlfn.IFNA(OFFSET(Report!$J$352,MATCH($J71,OFFSET(Report!$G$352,1,0,$AJ$19,1),0),0,1,1),0)))</f>
        <v/>
      </c>
      <c r="O71" s="396" t="str">
        <f t="shared" ca="1" si="16"/>
        <v/>
      </c>
      <c r="P71" s="396" t="str">
        <f t="shared" ca="1" si="16"/>
        <v/>
      </c>
      <c r="Q71" s="396" t="str">
        <f t="shared" ca="1" si="16"/>
        <v/>
      </c>
      <c r="T71" s="397" t="str">
        <f ca="1">+IF(J71="","",IF($J71="Total",SUM(OFFSET(T71,-1,0,-OFFSET($AF$20,MATCH($D71,OFFSET($AD$20,1,0,$AD$19,1),0),0,1,1)-1,1)),_xlfn.IFNA(OFFSET(Report!$J$196,MATCH($J71,OFFSET(Report!$G$196,1,0,$AJ$19,1),0),0,1,1),0)))</f>
        <v/>
      </c>
      <c r="U71" s="396" t="str">
        <f t="shared" ca="1" si="17"/>
        <v/>
      </c>
      <c r="X71" s="379"/>
      <c r="Y71" s="383"/>
      <c r="AJ71" t="e">
        <f t="shared" si="12"/>
        <v>#N/A</v>
      </c>
      <c r="AK71" t="e">
        <f ca="1"/>
        <v>#N/A</v>
      </c>
      <c r="AL71" t="e">
        <f ca="1"/>
        <v>#N/A</v>
      </c>
      <c r="AM71" t="str">
        <f t="shared" ca="1" si="4"/>
        <v/>
      </c>
      <c r="AN71" t="str">
        <f t="shared" ca="1" si="5"/>
        <v/>
      </c>
      <c r="AO71" t="str">
        <f t="shared" ca="1" si="13"/>
        <v/>
      </c>
      <c r="AP71" t="str">
        <f t="shared" ca="1" si="6"/>
        <v/>
      </c>
    </row>
    <row r="72" spans="1:42" x14ac:dyDescent="0.25">
      <c r="A72" t="str">
        <f t="shared" ca="1" si="14"/>
        <v>GREEK BANKS BASKET</v>
      </c>
      <c r="B72">
        <f t="shared" ca="1" si="7"/>
        <v>51</v>
      </c>
      <c r="D72">
        <f t="shared" ca="1" si="15"/>
        <v>9</v>
      </c>
      <c r="E72">
        <f t="shared" ca="1" si="8"/>
        <v>1</v>
      </c>
      <c r="G72" s="382" t="str">
        <f t="shared" ca="1" si="1"/>
        <v/>
      </c>
      <c r="J72" s="378" t="str">
        <f t="shared" ca="1" si="9"/>
        <v>GREEK BANKS BASKET</v>
      </c>
      <c r="K72" s="396">
        <f ca="1">+IF(J72="","",IF($J72="Total",SUM(OFFSET(K72,-1,0,-OFFSET($AF$20,MATCH($D72,OFFSET($AD$20,1,0,$AD$19,1),0),0,1,1)-1,1)),_xlfn.IFNA(OFFSET(Report!$Q$116,MATCH($J72,OFFSET(Report!$G$116,1,0,$AJ$19,1),0),0,1,1),0)))</f>
        <v>8.340638965127096E-5</v>
      </c>
      <c r="L72" s="396">
        <f ca="1">+IF(J72="","",IF($J72="Total",SUM(OFFSET(L72,-1,0,-OFFSET($AF$20,MATCH($D72,OFFSET($AD$20,1,0,$AD$19,1),0),0,1,1)-1,1)),_xlfn.IFNA(OFFSET(Report!$R$196,MATCH($J72,OFFSET(Report!$G$196,1,0,$AJ$19,1),0),0,1,1),0)))</f>
        <v>4.0552134332424005E-3</v>
      </c>
      <c r="M72" s="396">
        <f ca="1">+IF(J72="","",IF($J72="Total",SUM(OFFSET(M72,-1,0,-OFFSET($AF$20,MATCH($D72,OFFSET($AD$20,1,0,$AD$19,1),0),0,1,1)-1,1)),_xlfn.IFNA(OFFSET(Report!$J$352,MATCH($J72,OFFSET(Report!$G$352,1,0,$AJ$19,1),0),0,1,1),0)))</f>
        <v>4.2828220383293777E-4</v>
      </c>
      <c r="O72" s="396">
        <f t="shared" ca="1" si="16"/>
        <v>2.6273958245377755E-3</v>
      </c>
      <c r="P72" s="396">
        <f t="shared" ca="1" si="16"/>
        <v>1.9503891103293831E-2</v>
      </c>
      <c r="Q72" s="396">
        <f t="shared" ca="1" si="16"/>
        <v>8.0442720524489929E-3</v>
      </c>
      <c r="T72" s="397">
        <f ca="1">+IF(J72="","",IF($J72="Total",SUM(OFFSET(T72,-1,0,-OFFSET($AF$20,MATCH($D72,OFFSET($AD$20,1,0,$AD$19,1),0),0,1,1)-1,1)),_xlfn.IFNA(OFFSET(Report!$J$196,MATCH($J72,OFFSET(Report!$G$196,1,0,$AJ$19,1),0),0,1,1),0)))</f>
        <v>-1046433.0936623763</v>
      </c>
      <c r="U72" s="396">
        <f t="shared" ca="1" si="17"/>
        <v>0.40440924237343973</v>
      </c>
      <c r="X72" s="379"/>
      <c r="Y72" s="383"/>
      <c r="AJ72" t="e">
        <f t="shared" si="12"/>
        <v>#N/A</v>
      </c>
      <c r="AK72" t="e">
        <f ca="1"/>
        <v>#N/A</v>
      </c>
      <c r="AL72" t="e">
        <f ca="1"/>
        <v>#N/A</v>
      </c>
      <c r="AM72" t="str">
        <f t="shared" ca="1" si="4"/>
        <v/>
      </c>
      <c r="AN72" t="str">
        <f t="shared" ca="1" si="5"/>
        <v/>
      </c>
      <c r="AO72" t="str">
        <f t="shared" ca="1" si="13"/>
        <v/>
      </c>
      <c r="AP72" t="str">
        <f t="shared" ca="1" si="6"/>
        <v/>
      </c>
    </row>
    <row r="73" spans="1:42" x14ac:dyDescent="0.25">
      <c r="A73" t="str">
        <f t="shared" ca="1" si="14"/>
        <v>EURUSD/EURBRL DUAL BINARY</v>
      </c>
      <c r="B73">
        <f t="shared" ca="1" si="7"/>
        <v>52</v>
      </c>
      <c r="D73">
        <f t="shared" ca="1" si="15"/>
        <v>9</v>
      </c>
      <c r="E73">
        <f t="shared" ca="1" si="8"/>
        <v>2</v>
      </c>
      <c r="G73" s="382" t="str">
        <f t="shared" ca="1" si="1"/>
        <v/>
      </c>
      <c r="J73" s="378" t="str">
        <f t="shared" ca="1" si="9"/>
        <v>EURUSD/EURBRL DUAL BINARY</v>
      </c>
      <c r="K73" s="396">
        <f ca="1">+IF(J73="","",IF($J73="Total",SUM(OFFSET(K73,-1,0,-OFFSET($AF$20,MATCH($D73,OFFSET($AD$20,1,0,$AD$19,1),0),0,1,1)-1,1)),_xlfn.IFNA(OFFSET(Report!$Q$116,MATCH($J73,OFFSET(Report!$G$116,1,0,$AJ$19,1),0),0,1,1),0)))</f>
        <v>5.8108979087788208E-4</v>
      </c>
      <c r="L73" s="396">
        <f ca="1">+IF(J73="","",IF($J73="Total",SUM(OFFSET(L73,-1,0,-OFFSET($AF$20,MATCH($D73,OFFSET($AD$20,1,0,$AD$19,1),0),0,1,1)-1,1)),_xlfn.IFNA(OFFSET(Report!$R$196,MATCH($J73,OFFSET(Report!$G$196,1,0,$AJ$19,1),0),0,1,1),0)))</f>
        <v>1.3911536725478781E-3</v>
      </c>
      <c r="M73" s="396">
        <f ca="1">+IF(J73="","",IF($J73="Total",SUM(OFFSET(M73,-1,0,-OFFSET($AF$20,MATCH($D73,OFFSET($AD$20,1,0,$AD$19,1),0),0,1,1)-1,1)),_xlfn.IFNA(OFFSET(Report!$J$352,MATCH($J73,OFFSET(Report!$G$352,1,0,$AJ$19,1),0),0,1,1),0)))</f>
        <v>5.283715211005217E-4</v>
      </c>
      <c r="O73" s="396">
        <f t="shared" ca="1" si="16"/>
        <v>1.8304987143281912E-2</v>
      </c>
      <c r="P73" s="396">
        <f t="shared" ca="1" si="16"/>
        <v>6.6908709452628279E-3</v>
      </c>
      <c r="Q73" s="396">
        <f t="shared" ca="1" si="16"/>
        <v>9.9242140403220016E-3</v>
      </c>
      <c r="T73" s="397">
        <f ca="1">+IF(J73="","",IF($J73="Total",SUM(OFFSET(T73,-1,0,-OFFSET($AF$20,MATCH($D73,OFFSET($AD$20,1,0,$AD$19,1),0),0,1,1)-1,1)),_xlfn.IFNA(OFFSET(Report!$J$196,MATCH($J73,OFFSET(Report!$G$196,1,0,$AJ$19,1),0),0,1,1),0)))</f>
        <v>-170294.02996436891</v>
      </c>
      <c r="U73" s="396">
        <f t="shared" ca="1" si="17"/>
        <v>6.5812597150936597E-2</v>
      </c>
      <c r="AJ73" t="e">
        <f t="shared" si="12"/>
        <v>#N/A</v>
      </c>
      <c r="AK73" t="e">
        <f ca="1"/>
        <v>#N/A</v>
      </c>
      <c r="AL73" t="e">
        <f ca="1"/>
        <v>#N/A</v>
      </c>
      <c r="AM73" t="str">
        <f t="shared" ca="1" si="4"/>
        <v/>
      </c>
      <c r="AN73" t="str">
        <f t="shared" ca="1" si="5"/>
        <v/>
      </c>
      <c r="AO73" t="str">
        <f t="shared" ca="1" si="13"/>
        <v/>
      </c>
      <c r="AP73" t="str">
        <f t="shared" ca="1" si="6"/>
        <v/>
      </c>
    </row>
    <row r="74" spans="1:42" x14ac:dyDescent="0.25">
      <c r="A74" t="e">
        <f t="shared" ca="1" si="14"/>
        <v>#N/A</v>
      </c>
      <c r="B74">
        <f t="shared" ca="1" si="7"/>
        <v>53</v>
      </c>
      <c r="D74">
        <f t="shared" ca="1" si="15"/>
        <v>9</v>
      </c>
      <c r="E74">
        <f t="shared" ca="1" si="8"/>
        <v>3</v>
      </c>
      <c r="G74" s="382" t="str">
        <f t="shared" ca="1" si="1"/>
        <v/>
      </c>
      <c r="J74" s="378" t="str">
        <f t="shared" ca="1" si="9"/>
        <v>Total</v>
      </c>
      <c r="K74" s="396">
        <f ca="1">+IF(J74="","",IF($J74="Total",SUM(OFFSET(K74,-1,0,-OFFSET($AF$20,MATCH($D74,OFFSET($AD$20,1,0,$AD$19,1),0),0,1,1)-1,1)),_xlfn.IFNA(OFFSET(Report!$Q$116,MATCH($J74,OFFSET(Report!$G$116,1,0,$AJ$19,1),0),0,1,1),0)))</f>
        <v>6.6449618052915303E-4</v>
      </c>
      <c r="L74" s="396">
        <f ca="1">+IF(J74="","",IF($J74="Total",SUM(OFFSET(L74,-1,0,-OFFSET($AF$20,MATCH($D74,OFFSET($AD$20,1,0,$AD$19,1),0),0,1,1)-1,1)),_xlfn.IFNA(OFFSET(Report!$R$196,MATCH($J74,OFFSET(Report!$G$196,1,0,$AJ$19,1),0),0,1,1),0)))</f>
        <v>5.4463671057902781E-3</v>
      </c>
      <c r="M74" s="396">
        <f ca="1">+IF(J74="","",IF($J74="Total",SUM(OFFSET(M74,-1,0,-OFFSET($AF$20,MATCH($D74,OFFSET($AD$20,1,0,$AD$19,1),0),0,1,1)-1,1)),_xlfn.IFNA(OFFSET(Report!$J$352,MATCH($J74,OFFSET(Report!$G$352,1,0,$AJ$19,1),0),0,1,1),0)))</f>
        <v>9.5665372493345942E-4</v>
      </c>
      <c r="O74" s="396">
        <f t="shared" ca="1" si="16"/>
        <v>2.0932382967819688E-2</v>
      </c>
      <c r="P74" s="396">
        <f t="shared" ca="1" si="16"/>
        <v>2.6194762048556655E-2</v>
      </c>
      <c r="Q74" s="396">
        <f t="shared" ca="1" si="16"/>
        <v>1.7968486092770995E-2</v>
      </c>
      <c r="T74" s="397">
        <f ca="1">+IF(J74="","",IF($J74="Total",SUM(OFFSET(T74,-1,0,-OFFSET($AF$20,MATCH($D74,OFFSET($AD$20,1,0,$AD$19,1),0),0,1,1)-1,1)),_xlfn.IFNA(OFFSET(Report!$J$196,MATCH($J74,OFFSET(Report!$G$196,1,0,$AJ$19,1),0),0,1,1),0)))</f>
        <v>-1216727.1236267453</v>
      </c>
      <c r="U74" s="396">
        <f t="shared" ca="1" si="17"/>
        <v>0.47022183952437635</v>
      </c>
      <c r="AJ74" t="e">
        <f t="shared" si="12"/>
        <v>#N/A</v>
      </c>
      <c r="AK74" t="e">
        <f ca="1"/>
        <v>#N/A</v>
      </c>
      <c r="AL74" t="e">
        <f ca="1"/>
        <v>#N/A</v>
      </c>
      <c r="AM74" t="str">
        <f t="shared" ca="1" si="4"/>
        <v/>
      </c>
      <c r="AN74" t="str">
        <f t="shared" ca="1" si="5"/>
        <v/>
      </c>
      <c r="AO74" t="str">
        <f t="shared" ca="1" si="13"/>
        <v/>
      </c>
      <c r="AP74" t="str">
        <f t="shared" ca="1" si="6"/>
        <v/>
      </c>
    </row>
    <row r="75" spans="1:42" x14ac:dyDescent="0.25">
      <c r="A75" t="str">
        <f t="shared" ca="1" si="14"/>
        <v/>
      </c>
      <c r="B75">
        <f t="shared" ca="1" si="7"/>
        <v>54</v>
      </c>
      <c r="D75">
        <f t="shared" ca="1" si="15"/>
        <v>10</v>
      </c>
      <c r="E75" t="str">
        <f t="shared" ca="1" si="8"/>
        <v/>
      </c>
      <c r="G75" s="382" t="str">
        <f t="shared" ca="1" si="1"/>
        <v>CREDIT VS EQUITY</v>
      </c>
      <c r="J75" s="378" t="str">
        <f t="shared" ca="1" si="9"/>
        <v/>
      </c>
      <c r="K75" s="396" t="str">
        <f ca="1">+IF(J75="","",IF($J75="Total",SUM(OFFSET(K75,-1,0,-OFFSET($AF$20,MATCH($D75,OFFSET($AD$20,1,0,$AD$19,1),0),0,1,1)-1,1)),_xlfn.IFNA(OFFSET(Report!$Q$116,MATCH($J75,OFFSET(Report!$G$116,1,0,$AJ$19,1),0),0,1,1),0)))</f>
        <v/>
      </c>
      <c r="L75" s="396" t="str">
        <f ca="1">+IF(J75="","",IF($J75="Total",SUM(OFFSET(L75,-1,0,-OFFSET($AF$20,MATCH($D75,OFFSET($AD$20,1,0,$AD$19,1),0),0,1,1)-1,1)),_xlfn.IFNA(OFFSET(Report!$R$196,MATCH($J75,OFFSET(Report!$G$196,1,0,$AJ$19,1),0),0,1,1),0)))</f>
        <v/>
      </c>
      <c r="M75" s="396" t="str">
        <f ca="1">+IF(J75="","",IF($J75="Total",SUM(OFFSET(M75,-1,0,-OFFSET($AF$20,MATCH($D75,OFFSET($AD$20,1,0,$AD$19,1),0),0,1,1)-1,1)),_xlfn.IFNA(OFFSET(Report!$J$352,MATCH($J75,OFFSET(Report!$G$352,1,0,$AJ$19,1),0),0,1,1),0)))</f>
        <v/>
      </c>
      <c r="O75" s="396" t="str">
        <f t="shared" ca="1" si="16"/>
        <v/>
      </c>
      <c r="P75" s="396" t="str">
        <f t="shared" ca="1" si="16"/>
        <v/>
      </c>
      <c r="Q75" s="396" t="str">
        <f t="shared" ca="1" si="16"/>
        <v/>
      </c>
      <c r="T75" s="397" t="str">
        <f ca="1">+IF(J75="","",IF($J75="Total",SUM(OFFSET(T75,-1,0,-OFFSET($AF$20,MATCH($D75,OFFSET($AD$20,1,0,$AD$19,1),0),0,1,1)-1,1)),_xlfn.IFNA(OFFSET(Report!$J$196,MATCH($J75,OFFSET(Report!$G$196,1,0,$AJ$19,1),0),0,1,1),0)))</f>
        <v/>
      </c>
      <c r="U75" s="396" t="str">
        <f t="shared" ca="1" si="17"/>
        <v/>
      </c>
      <c r="AJ75" t="e">
        <f t="shared" si="12"/>
        <v>#N/A</v>
      </c>
      <c r="AK75" t="e">
        <f ca="1"/>
        <v>#N/A</v>
      </c>
      <c r="AL75" t="e">
        <f ca="1"/>
        <v>#N/A</v>
      </c>
      <c r="AM75" t="str">
        <f t="shared" ca="1" si="4"/>
        <v/>
      </c>
      <c r="AN75" t="str">
        <f t="shared" ca="1" si="5"/>
        <v/>
      </c>
      <c r="AO75" t="str">
        <f t="shared" ca="1" si="13"/>
        <v/>
      </c>
      <c r="AP75" t="str">
        <f t="shared" ca="1" si="6"/>
        <v/>
      </c>
    </row>
    <row r="76" spans="1:42" x14ac:dyDescent="0.25">
      <c r="A76" t="str">
        <f t="shared" ca="1" si="14"/>
        <v>US CREDIT BASKET</v>
      </c>
      <c r="B76">
        <f t="shared" ca="1" si="7"/>
        <v>55</v>
      </c>
      <c r="D76">
        <f t="shared" ca="1" si="15"/>
        <v>10</v>
      </c>
      <c r="E76">
        <f t="shared" ca="1" si="8"/>
        <v>1</v>
      </c>
      <c r="G76" s="382" t="str">
        <f t="shared" ca="1" si="1"/>
        <v/>
      </c>
      <c r="J76" s="378" t="str">
        <f t="shared" ca="1" si="9"/>
        <v>US CREDIT BASKET</v>
      </c>
      <c r="K76" s="396">
        <f ca="1">+IF(J76="","",IF($J76="Total",SUM(OFFSET(K76,-1,0,-OFFSET($AF$20,MATCH($D76,OFFSET($AD$20,1,0,$AD$19,1),0),0,1,1)-1,1)),_xlfn.IFNA(OFFSET(Report!$Q$116,MATCH($J76,OFFSET(Report!$G$116,1,0,$AJ$19,1),0),0,1,1),0)))</f>
        <v>1.3825223699780095E-4</v>
      </c>
      <c r="L76" s="396">
        <f ca="1">+IF(J76="","",IF($J76="Total",SUM(OFFSET(L76,-1,0,-OFFSET($AF$20,MATCH($D76,OFFSET($AD$20,1,0,$AD$19,1),0),0,1,1)-1,1)),_xlfn.IFNA(OFFSET(Report!$R$196,MATCH($J76,OFFSET(Report!$G$196,1,0,$AJ$19,1),0),0,1,1),0)))</f>
        <v>6.3092002955231147E-3</v>
      </c>
      <c r="M76" s="396">
        <f ca="1">+IF(J76="","",IF($J76="Total",SUM(OFFSET(M76,-1,0,-OFFSET($AF$20,MATCH($D76,OFFSET($AD$20,1,0,$AD$19,1),0),0,1,1)-1,1)),_xlfn.IFNA(OFFSET(Report!$J$352,MATCH($J76,OFFSET(Report!$G$352,1,0,$AJ$19,1),0),0,1,1),0)))</f>
        <v>6.3603286172983376E-5</v>
      </c>
      <c r="O76" s="396">
        <f t="shared" ca="1" si="16"/>
        <v>4.3551021898895247E-3</v>
      </c>
      <c r="P76" s="396">
        <f t="shared" ca="1" si="16"/>
        <v>3.0344631062824881E-2</v>
      </c>
      <c r="Q76" s="396">
        <f t="shared" ca="1" si="16"/>
        <v>1.1946378645348163E-3</v>
      </c>
      <c r="T76" s="397">
        <f ca="1">+IF(J76="","",IF($J76="Total",SUM(OFFSET(T76,-1,0,-OFFSET($AF$20,MATCH($D76,OFFSET($AD$20,1,0,$AD$19,1),0),0,1,1)-1,1)),_xlfn.IFNA(OFFSET(Report!$J$196,MATCH($J76,OFFSET(Report!$G$196,1,0,$AJ$19,1),0),0,1,1),0)))</f>
        <v>820314.63134601375</v>
      </c>
      <c r="U76" s="396">
        <f t="shared" ca="1" si="17"/>
        <v>-0.31702248388325843</v>
      </c>
      <c r="AJ76" t="e">
        <f t="shared" si="12"/>
        <v>#N/A</v>
      </c>
      <c r="AK76" t="e">
        <f ca="1"/>
        <v>#N/A</v>
      </c>
      <c r="AL76" t="e">
        <f ca="1"/>
        <v>#N/A</v>
      </c>
      <c r="AM76" t="str">
        <f t="shared" ca="1" si="4"/>
        <v/>
      </c>
      <c r="AN76" t="str">
        <f t="shared" ca="1" si="5"/>
        <v/>
      </c>
      <c r="AO76" t="str">
        <f t="shared" ca="1" si="13"/>
        <v/>
      </c>
      <c r="AP76" t="str">
        <f t="shared" ca="1" si="6"/>
        <v/>
      </c>
    </row>
    <row r="77" spans="1:42" x14ac:dyDescent="0.25">
      <c r="A77" t="e">
        <f t="shared" ca="1" si="14"/>
        <v>#N/A</v>
      </c>
      <c r="B77">
        <f t="shared" ca="1" si="7"/>
        <v>56</v>
      </c>
      <c r="D77">
        <f t="shared" ca="1" si="15"/>
        <v>10</v>
      </c>
      <c r="E77">
        <f t="shared" ca="1" si="8"/>
        <v>2</v>
      </c>
      <c r="G77" s="382" t="str">
        <f t="shared" ca="1" si="1"/>
        <v/>
      </c>
      <c r="J77" s="378" t="str">
        <f t="shared" ca="1" si="9"/>
        <v>Total</v>
      </c>
      <c r="K77" s="396">
        <f ca="1">+IF(J77="","",IF($J77="Total",SUM(OFFSET(K77,-1,0,-OFFSET($AF$20,MATCH($D77,OFFSET($AD$20,1,0,$AD$19,1),0),0,1,1)-1,1)),_xlfn.IFNA(OFFSET(Report!$Q$116,MATCH($J77,OFFSET(Report!$G$116,1,0,$AJ$19,1),0),0,1,1),0)))</f>
        <v>1.3825223699780095E-4</v>
      </c>
      <c r="L77" s="396">
        <f ca="1">+IF(J77="","",IF($J77="Total",SUM(OFFSET(L77,-1,0,-OFFSET($AF$20,MATCH($D77,OFFSET($AD$20,1,0,$AD$19,1),0),0,1,1)-1,1)),_xlfn.IFNA(OFFSET(Report!$R$196,MATCH($J77,OFFSET(Report!$G$196,1,0,$AJ$19,1),0),0,1,1),0)))</f>
        <v>6.3092002955231147E-3</v>
      </c>
      <c r="M77" s="396">
        <f ca="1">+IF(J77="","",IF($J77="Total",SUM(OFFSET(M77,-1,0,-OFFSET($AF$20,MATCH($D77,OFFSET($AD$20,1,0,$AD$19,1),0),0,1,1)-1,1)),_xlfn.IFNA(OFFSET(Report!$J$352,MATCH($J77,OFFSET(Report!$G$352,1,0,$AJ$19,1),0),0,1,1),0)))</f>
        <v>6.3603286172983376E-5</v>
      </c>
      <c r="O77" s="396">
        <f t="shared" ca="1" si="16"/>
        <v>4.3551021898895247E-3</v>
      </c>
      <c r="P77" s="396">
        <f t="shared" ca="1" si="16"/>
        <v>3.0344631062824881E-2</v>
      </c>
      <c r="Q77" s="396">
        <f t="shared" ca="1" si="16"/>
        <v>1.1946378645348163E-3</v>
      </c>
      <c r="T77" s="397">
        <f ca="1">+IF(J77="","",IF($J77="Total",SUM(OFFSET(T77,-1,0,-OFFSET($AF$20,MATCH($D77,OFFSET($AD$20,1,0,$AD$19,1),0),0,1,1)-1,1)),_xlfn.IFNA(OFFSET(Report!$J$196,MATCH($J77,OFFSET(Report!$G$196,1,0,$AJ$19,1),0),0,1,1),0)))</f>
        <v>820314.63134601375</v>
      </c>
      <c r="U77" s="396">
        <f t="shared" ca="1" si="17"/>
        <v>-0.31702248388325843</v>
      </c>
      <c r="AJ77" t="e">
        <f t="shared" si="12"/>
        <v>#N/A</v>
      </c>
      <c r="AK77" t="e">
        <f ca="1"/>
        <v>#N/A</v>
      </c>
      <c r="AL77" t="e">
        <f ca="1"/>
        <v>#N/A</v>
      </c>
      <c r="AM77" t="str">
        <f t="shared" ca="1" si="4"/>
        <v/>
      </c>
      <c r="AN77" t="str">
        <f t="shared" ca="1" si="5"/>
        <v/>
      </c>
      <c r="AO77" t="str">
        <f t="shared" ca="1" si="13"/>
        <v/>
      </c>
      <c r="AP77" t="str">
        <f t="shared" ca="1" si="6"/>
        <v/>
      </c>
    </row>
    <row r="78" spans="1:42" x14ac:dyDescent="0.25">
      <c r="A78" t="str">
        <f t="shared" ca="1" si="14"/>
        <v/>
      </c>
      <c r="B78">
        <f t="shared" ca="1" si="7"/>
        <v>57</v>
      </c>
      <c r="D78">
        <f t="shared" ca="1" si="15"/>
        <v>11</v>
      </c>
      <c r="E78" t="str">
        <f t="shared" ca="1" si="8"/>
        <v/>
      </c>
      <c r="G78" s="382" t="str">
        <f t="shared" ca="1" si="1"/>
        <v>CREDIT TERM STRUCTURE</v>
      </c>
      <c r="J78" s="378" t="str">
        <f t="shared" ca="1" si="9"/>
        <v/>
      </c>
      <c r="K78" s="396" t="str">
        <f ca="1">+IF(J78="","",IF($J78="Total",SUM(OFFSET(K78,-1,0,-OFFSET($AF$20,MATCH($D78,OFFSET($AD$20,1,0,$AD$19,1),0),0,1,1)-1,1)),_xlfn.IFNA(OFFSET(Report!$Q$116,MATCH($J78,OFFSET(Report!$G$116,1,0,$AJ$19,1),0),0,1,1),0)))</f>
        <v/>
      </c>
      <c r="L78" s="396" t="str">
        <f ca="1">+IF(J78="","",IF($J78="Total",SUM(OFFSET(L78,-1,0,-OFFSET($AF$20,MATCH($D78,OFFSET($AD$20,1,0,$AD$19,1),0),0,1,1)-1,1)),_xlfn.IFNA(OFFSET(Report!$R$196,MATCH($J78,OFFSET(Report!$G$196,1,0,$AJ$19,1),0),0,1,1),0)))</f>
        <v/>
      </c>
      <c r="M78" s="396" t="str">
        <f ca="1">+IF(J78="","",IF($J78="Total",SUM(OFFSET(M78,-1,0,-OFFSET($AF$20,MATCH($D78,OFFSET($AD$20,1,0,$AD$19,1),0),0,1,1)-1,1)),_xlfn.IFNA(OFFSET(Report!$J$352,MATCH($J78,OFFSET(Report!$G$352,1,0,$AJ$19,1),0),0,1,1),0)))</f>
        <v/>
      </c>
      <c r="O78" s="396" t="str">
        <f t="shared" ca="1" si="16"/>
        <v/>
      </c>
      <c r="P78" s="396" t="str">
        <f t="shared" ca="1" si="16"/>
        <v/>
      </c>
      <c r="Q78" s="396" t="str">
        <f t="shared" ca="1" si="16"/>
        <v/>
      </c>
      <c r="T78" s="397" t="str">
        <f ca="1">+IF(J78="","",IF($J78="Total",SUM(OFFSET(T78,-1,0,-OFFSET($AF$20,MATCH($D78,OFFSET($AD$20,1,0,$AD$19,1),0),0,1,1)-1,1)),_xlfn.IFNA(OFFSET(Report!$J$196,MATCH($J78,OFFSET(Report!$G$196,1,0,$AJ$19,1),0),0,1,1),0)))</f>
        <v/>
      </c>
      <c r="U78" s="396" t="str">
        <f t="shared" ca="1" si="17"/>
        <v/>
      </c>
      <c r="AJ78" t="e">
        <f t="shared" si="12"/>
        <v>#N/A</v>
      </c>
      <c r="AK78" t="e">
        <f ca="1"/>
        <v>#N/A</v>
      </c>
      <c r="AL78" t="e">
        <f ca="1"/>
        <v>#N/A</v>
      </c>
      <c r="AM78" t="str">
        <f t="shared" ca="1" si="4"/>
        <v/>
      </c>
      <c r="AN78" t="str">
        <f t="shared" ca="1" si="5"/>
        <v/>
      </c>
      <c r="AO78" t="str">
        <f t="shared" ca="1" si="13"/>
        <v/>
      </c>
      <c r="AP78" t="str">
        <f t="shared" ca="1" si="6"/>
        <v/>
      </c>
    </row>
    <row r="79" spans="1:42" x14ac:dyDescent="0.25">
      <c r="A79" t="str">
        <f t="shared" ca="1" si="14"/>
        <v>LONG DISH CALLS</v>
      </c>
      <c r="B79">
        <f t="shared" ca="1" si="7"/>
        <v>58</v>
      </c>
      <c r="D79">
        <f t="shared" ca="1" si="15"/>
        <v>11</v>
      </c>
      <c r="E79">
        <f t="shared" ca="1" si="8"/>
        <v>1</v>
      </c>
      <c r="G79" s="382" t="str">
        <f t="shared" ca="1" si="1"/>
        <v/>
      </c>
      <c r="J79" s="378" t="str">
        <f t="shared" ca="1" si="9"/>
        <v>LONG DISH CALLS</v>
      </c>
      <c r="K79" s="396">
        <f ca="1">+IF(J79="","",IF($J79="Total",SUM(OFFSET(K79,-1,0,-OFFSET($AF$20,MATCH($D79,OFFSET($AD$20,1,0,$AD$19,1),0),0,1,1)-1,1)),_xlfn.IFNA(OFFSET(Report!$Q$116,MATCH($J79,OFFSET(Report!$G$116,1,0,$AJ$19,1),0),0,1,1),0)))</f>
        <v>2.157571395668663E-5</v>
      </c>
      <c r="L79" s="396">
        <f ca="1">+IF(J79="","",IF($J79="Total",SUM(OFFSET(L79,-1,0,-OFFSET($AF$20,MATCH($D79,OFFSET($AD$20,1,0,$AD$19,1),0),0,1,1)-1,1)),_xlfn.IFNA(OFFSET(Report!$R$196,MATCH($J79,OFFSET(Report!$G$196,1,0,$AJ$19,1),0),0,1,1),0)))</f>
        <v>3.4806208837014389E-4</v>
      </c>
      <c r="M79" s="396">
        <f ca="1">+IF(J79="","",IF($J79="Total",SUM(OFFSET(M79,-1,0,-OFFSET($AF$20,MATCH($D79,OFFSET($AD$20,1,0,$AD$19,1),0),0,1,1)-1,1)),_xlfn.IFNA(OFFSET(Report!$J$352,MATCH($J79,OFFSET(Report!$G$352,1,0,$AJ$19,1),0),0,1,1),0)))</f>
        <v>6.226312317501409E-5</v>
      </c>
      <c r="O79" s="396">
        <f t="shared" ca="1" si="16"/>
        <v>6.7965944813385218E-4</v>
      </c>
      <c r="P79" s="396">
        <f t="shared" ca="1" si="16"/>
        <v>1.6740339763888657E-3</v>
      </c>
      <c r="Q79" s="396">
        <f t="shared" ca="1" si="16"/>
        <v>1.1694660603977108E-3</v>
      </c>
      <c r="T79" s="397">
        <f ca="1">+IF(J79="","",IF($J79="Total",SUM(OFFSET(T79,-1,0,-OFFSET($AF$20,MATCH($D79,OFFSET($AD$20,1,0,$AD$19,1),0),0,1,1)-1,1)),_xlfn.IFNA(OFFSET(Report!$J$196,MATCH($J79,OFFSET(Report!$G$196,1,0,$AJ$19,1),0),0,1,1),0)))</f>
        <v>-82458</v>
      </c>
      <c r="U79" s="396">
        <f t="shared" ca="1" si="17"/>
        <v>3.1867089744763155E-2</v>
      </c>
      <c r="AJ79" t="e">
        <f t="shared" si="12"/>
        <v>#N/A</v>
      </c>
      <c r="AK79" t="e">
        <f ca="1"/>
        <v>#N/A</v>
      </c>
      <c r="AL79" t="e">
        <f ca="1"/>
        <v>#N/A</v>
      </c>
      <c r="AM79" t="str">
        <f t="shared" ca="1" si="4"/>
        <v/>
      </c>
      <c r="AN79" t="str">
        <f t="shared" ca="1" si="5"/>
        <v/>
      </c>
      <c r="AO79" t="str">
        <f t="shared" ca="1" si="13"/>
        <v/>
      </c>
      <c r="AP79" t="str">
        <f t="shared" ca="1" si="6"/>
        <v/>
      </c>
    </row>
    <row r="80" spans="1:42" x14ac:dyDescent="0.25">
      <c r="A80" t="str">
        <f t="shared" ca="1" si="14"/>
        <v>DISH CDS FLATTENER</v>
      </c>
      <c r="B80">
        <f t="shared" ca="1" si="7"/>
        <v>59</v>
      </c>
      <c r="D80">
        <f t="shared" ca="1" si="15"/>
        <v>11</v>
      </c>
      <c r="E80">
        <f t="shared" ca="1" si="8"/>
        <v>2</v>
      </c>
      <c r="G80" s="382" t="str">
        <f t="shared" ca="1" si="1"/>
        <v/>
      </c>
      <c r="J80" s="378" t="str">
        <f t="shared" ca="1" si="9"/>
        <v>DISH CDS FLATTENER</v>
      </c>
      <c r="K80" s="396">
        <f ca="1">+IF(J80="","",IF($J80="Total",SUM(OFFSET(K80,-1,0,-OFFSET($AF$20,MATCH($D80,OFFSET($AD$20,1,0,$AD$19,1),0),0,1,1)-1,1)),_xlfn.IFNA(OFFSET(Report!$Q$116,MATCH($J80,OFFSET(Report!$G$116,1,0,$AJ$19,1),0),0,1,1),0)))</f>
        <v>-5.4393868414829307E-6</v>
      </c>
      <c r="L80" s="396">
        <f ca="1">+IF(J80="","",IF($J80="Total",SUM(OFFSET(L80,-1,0,-OFFSET($AF$20,MATCH($D80,OFFSET($AD$20,1,0,$AD$19,1),0),0,1,1)-1,1)),_xlfn.IFNA(OFFSET(Report!$R$196,MATCH($J80,OFFSET(Report!$G$196,1,0,$AJ$19,1),0),0,1,1),0)))</f>
        <v>5.7726242435625127E-3</v>
      </c>
      <c r="M80" s="396">
        <f ca="1">+IF(J80="","",IF($J80="Total",SUM(OFFSET(M80,-1,0,-OFFSET($AF$20,MATCH($D80,OFFSET($AD$20,1,0,$AD$19,1),0),0,1,1)-1,1)),_xlfn.IFNA(OFFSET(Report!$J$352,MATCH($J80,OFFSET(Report!$G$352,1,0,$AJ$19,1),0),0,1,1),0)))</f>
        <v>4.756042199390994E-4</v>
      </c>
      <c r="O80" s="396">
        <f t="shared" ca="1" si="16"/>
        <v>-1.7134685166342285E-4</v>
      </c>
      <c r="P80" s="396">
        <f t="shared" ca="1" si="16"/>
        <v>2.7763923275588333E-2</v>
      </c>
      <c r="Q80" s="396">
        <f t="shared" ca="1" si="16"/>
        <v>8.9331046217724381E-3</v>
      </c>
      <c r="T80" s="397">
        <f ca="1">+IF(J80="","",IF($J80="Total",SUM(OFFSET(T80,-1,0,-OFFSET($AF$20,MATCH($D80,OFFSET($AD$20,1,0,$AD$19,1),0),0,1,1)-1,1)),_xlfn.IFNA(OFFSET(Report!$J$196,MATCH($J80,OFFSET(Report!$G$196,1,0,$AJ$19,1),0),0,1,1),0)))</f>
        <v>432624.833179635</v>
      </c>
      <c r="U80" s="396">
        <f t="shared" ca="1" si="17"/>
        <v>-0.16719413986209486</v>
      </c>
      <c r="AJ80" t="e">
        <f t="shared" si="12"/>
        <v>#N/A</v>
      </c>
      <c r="AK80" t="e">
        <f ca="1"/>
        <v>#N/A</v>
      </c>
      <c r="AL80" t="e">
        <f ca="1"/>
        <v>#N/A</v>
      </c>
      <c r="AM80" t="str">
        <f t="shared" ca="1" si="4"/>
        <v/>
      </c>
      <c r="AN80" t="str">
        <f t="shared" ca="1" si="5"/>
        <v/>
      </c>
      <c r="AO80" t="str">
        <f t="shared" ca="1" si="13"/>
        <v/>
      </c>
      <c r="AP80" t="str">
        <f t="shared" ca="1" si="6"/>
        <v/>
      </c>
    </row>
    <row r="81" spans="1:42" x14ac:dyDescent="0.25">
      <c r="A81" t="e">
        <f t="shared" ca="1" si="14"/>
        <v>#N/A</v>
      </c>
      <c r="B81">
        <f t="shared" ca="1" si="7"/>
        <v>60</v>
      </c>
      <c r="D81">
        <f t="shared" ca="1" si="15"/>
        <v>11</v>
      </c>
      <c r="E81">
        <f t="shared" ca="1" si="8"/>
        <v>3</v>
      </c>
      <c r="G81" s="382" t="str">
        <f t="shared" ca="1" si="1"/>
        <v/>
      </c>
      <c r="J81" s="378" t="str">
        <f t="shared" ca="1" si="9"/>
        <v>Total</v>
      </c>
      <c r="K81" s="396">
        <f ca="1">+IF(J81="","",IF($J81="Total",SUM(OFFSET(K81,-1,0,-OFFSET($AF$20,MATCH($D81,OFFSET($AD$20,1,0,$AD$19,1),0),0,1,1)-1,1)),_xlfn.IFNA(OFFSET(Report!$Q$116,MATCH($J81,OFFSET(Report!$G$116,1,0,$AJ$19,1),0),0,1,1),0)))</f>
        <v>1.6136327115203701E-5</v>
      </c>
      <c r="L81" s="396">
        <f ca="1">+IF(J81="","",IF($J81="Total",SUM(OFFSET(L81,-1,0,-OFFSET($AF$20,MATCH($D81,OFFSET($AD$20,1,0,$AD$19,1),0),0,1,1)-1,1)),_xlfn.IFNA(OFFSET(Report!$R$196,MATCH($J81,OFFSET(Report!$G$196,1,0,$AJ$19,1),0),0,1,1),0)))</f>
        <v>6.1206863319326569E-3</v>
      </c>
      <c r="M81" s="396">
        <f ca="1">+IF(J81="","",IF($J81="Total",SUM(OFFSET(M81,-1,0,-OFFSET($AF$20,MATCH($D81,OFFSET($AD$20,1,0,$AD$19,1),0),0,1,1)-1,1)),_xlfn.IFNA(OFFSET(Report!$J$352,MATCH($J81,OFFSET(Report!$G$352,1,0,$AJ$19,1),0),0,1,1),0)))</f>
        <v>5.3786734311411354E-4</v>
      </c>
      <c r="O81" s="396">
        <f t="shared" ca="1" si="16"/>
        <v>5.0831259647042938E-4</v>
      </c>
      <c r="P81" s="396">
        <f t="shared" ca="1" si="16"/>
        <v>2.94379572519772E-2</v>
      </c>
      <c r="Q81" s="396">
        <f t="shared" ca="1" si="16"/>
        <v>1.010257068217015E-2</v>
      </c>
      <c r="T81" s="397">
        <f ca="1">+IF(J81="","",IF($J81="Total",SUM(OFFSET(T81,-1,0,-OFFSET($AF$20,MATCH($D81,OFFSET($AD$20,1,0,$AD$19,1),0),0,1,1)-1,1)),_xlfn.IFNA(OFFSET(Report!$J$196,MATCH($J81,OFFSET(Report!$G$196,1,0,$AJ$19,1),0),0,1,1),0)))</f>
        <v>350166.833179635</v>
      </c>
      <c r="U81" s="396">
        <f t="shared" ca="1" si="17"/>
        <v>-0.1353270501173317</v>
      </c>
      <c r="AJ81" t="e">
        <f t="shared" si="12"/>
        <v>#N/A</v>
      </c>
      <c r="AK81" t="e">
        <f ca="1"/>
        <v>#N/A</v>
      </c>
      <c r="AL81" t="e">
        <f ca="1"/>
        <v>#N/A</v>
      </c>
      <c r="AM81" t="str">
        <f t="shared" ca="1" si="4"/>
        <v/>
      </c>
      <c r="AN81" t="str">
        <f t="shared" ca="1" si="5"/>
        <v/>
      </c>
      <c r="AO81" t="str">
        <f t="shared" ca="1" si="13"/>
        <v/>
      </c>
      <c r="AP81" t="str">
        <f t="shared" ca="1" si="6"/>
        <v/>
      </c>
    </row>
    <row r="82" spans="1:42" x14ac:dyDescent="0.25">
      <c r="A82" t="str">
        <f t="shared" ca="1" si="14"/>
        <v/>
      </c>
      <c r="B82">
        <f t="shared" ca="1" si="7"/>
        <v>61</v>
      </c>
      <c r="D82">
        <f t="shared" ca="1" si="15"/>
        <v>12</v>
      </c>
      <c r="E82" t="str">
        <f t="shared" ca="1" si="8"/>
        <v/>
      </c>
      <c r="G82" s="382" t="str">
        <f t="shared" ca="1" si="1"/>
        <v>CREDIT TACTICAL/MEAN REVERSION</v>
      </c>
      <c r="J82" s="378" t="str">
        <f t="shared" ca="1" si="9"/>
        <v/>
      </c>
      <c r="K82" s="396" t="str">
        <f ca="1">+IF(J82="","",IF($J82="Total",SUM(OFFSET(K82,-1,0,-OFFSET($AF$20,MATCH($D82,OFFSET($AD$20,1,0,$AD$19,1),0),0,1,1)-1,1)),_xlfn.IFNA(OFFSET(Report!$Q$116,MATCH($J82,OFFSET(Report!$G$116,1,0,$AJ$19,1),0),0,1,1),0)))</f>
        <v/>
      </c>
      <c r="L82" s="396" t="str">
        <f ca="1">+IF(J82="","",IF($J82="Total",SUM(OFFSET(L82,-1,0,-OFFSET($AF$20,MATCH($D82,OFFSET($AD$20,1,0,$AD$19,1),0),0,1,1)-1,1)),_xlfn.IFNA(OFFSET(Report!$R$196,MATCH($J82,OFFSET(Report!$G$196,1,0,$AJ$19,1),0),0,1,1),0)))</f>
        <v/>
      </c>
      <c r="M82" s="396" t="str">
        <f ca="1">+IF(J82="","",IF($J82="Total",SUM(OFFSET(M82,-1,0,-OFFSET($AF$20,MATCH($D82,OFFSET($AD$20,1,0,$AD$19,1),0),0,1,1)-1,1)),_xlfn.IFNA(OFFSET(Report!$J$352,MATCH($J82,OFFSET(Report!$G$352,1,0,$AJ$19,1),0),0,1,1),0)))</f>
        <v/>
      </c>
      <c r="O82" s="396" t="str">
        <f t="shared" ca="1" si="16"/>
        <v/>
      </c>
      <c r="P82" s="396" t="str">
        <f t="shared" ca="1" si="16"/>
        <v/>
      </c>
      <c r="Q82" s="396" t="str">
        <f t="shared" ca="1" si="16"/>
        <v/>
      </c>
      <c r="T82" s="397" t="str">
        <f ca="1">+IF(J82="","",IF($J82="Total",SUM(OFFSET(T82,-1,0,-OFFSET($AF$20,MATCH($D82,OFFSET($AD$20,1,0,$AD$19,1),0),0,1,1)-1,1)),_xlfn.IFNA(OFFSET(Report!$J$196,MATCH($J82,OFFSET(Report!$G$196,1,0,$AJ$19,1),0),0,1,1),0)))</f>
        <v/>
      </c>
      <c r="U82" s="396" t="str">
        <f t="shared" ca="1" si="17"/>
        <v/>
      </c>
      <c r="AJ82" t="e">
        <f t="shared" si="12"/>
        <v>#N/A</v>
      </c>
      <c r="AK82" t="e">
        <f ca="1"/>
        <v>#N/A</v>
      </c>
      <c r="AL82" t="e">
        <f ca="1"/>
        <v>#N/A</v>
      </c>
      <c r="AM82" t="str">
        <f t="shared" ca="1" si="4"/>
        <v/>
      </c>
      <c r="AN82" t="str">
        <f t="shared" ca="1" si="5"/>
        <v/>
      </c>
      <c r="AO82" t="str">
        <f t="shared" ca="1" si="13"/>
        <v/>
      </c>
      <c r="AP82" t="str">
        <f t="shared" ca="1" si="6"/>
        <v/>
      </c>
    </row>
    <row r="83" spans="1:42" x14ac:dyDescent="0.25">
      <c r="A83" t="str">
        <f t="shared" ca="1" si="14"/>
        <v>JPY CDS</v>
      </c>
      <c r="B83">
        <f t="shared" ca="1" si="7"/>
        <v>62</v>
      </c>
      <c r="D83">
        <f t="shared" ca="1" si="15"/>
        <v>12</v>
      </c>
      <c r="E83">
        <f t="shared" ca="1" si="8"/>
        <v>1</v>
      </c>
      <c r="G83" s="382" t="str">
        <f t="shared" ca="1" si="1"/>
        <v/>
      </c>
      <c r="J83" s="378" t="str">
        <f t="shared" ca="1" si="9"/>
        <v>JPY CDS</v>
      </c>
      <c r="K83" s="396">
        <f ca="1">+IF(J83="","",IF($J83="Total",SUM(OFFSET(K83,-1,0,-OFFSET($AF$20,MATCH($D83,OFFSET($AD$20,1,0,$AD$19,1),0),0,1,1)-1,1)),_xlfn.IFNA(OFFSET(Report!$Q$116,MATCH($J83,OFFSET(Report!$G$116,1,0,$AJ$19,1),0),0,1,1),0)))</f>
        <v>5.0463281031756888E-4</v>
      </c>
      <c r="L83" s="396">
        <f ca="1">+IF(J83="","",IF($J83="Total",SUM(OFFSET(L83,-1,0,-OFFSET($AF$20,MATCH($D83,OFFSET($AD$20,1,0,$AD$19,1),0),0,1,1)-1,1)),_xlfn.IFNA(OFFSET(Report!$R$196,MATCH($J83,OFFSET(Report!$G$196,1,0,$AJ$19,1),0),0,1,1),0)))</f>
        <v>4.1591932648640008E-3</v>
      </c>
      <c r="M83" s="396">
        <f ca="1">+IF(J83="","",IF($J83="Total",SUM(OFFSET(M83,-1,0,-OFFSET($AF$20,MATCH($D83,OFFSET($AD$20,1,0,$AD$19,1),0),0,1,1)-1,1)),_xlfn.IFNA(OFFSET(Report!$J$352,MATCH($J83,OFFSET(Report!$G$352,1,0,$AJ$19,1),0),0,1,1),0)))</f>
        <v>1.72907897565958E-4</v>
      </c>
      <c r="O83" s="396">
        <f t="shared" ca="1" si="16"/>
        <v>1.5896505583046058E-2</v>
      </c>
      <c r="P83" s="396">
        <f t="shared" ca="1" si="16"/>
        <v>2.0003990875173159E-2</v>
      </c>
      <c r="Q83" s="396">
        <f t="shared" ca="1" si="16"/>
        <v>3.2476674388742799E-3</v>
      </c>
      <c r="T83" s="397">
        <f ca="1">+IF(J83="","",IF($J83="Total",SUM(OFFSET(T83,-1,0,-OFFSET($AF$20,MATCH($D83,OFFSET($AD$20,1,0,$AD$19,1),0),0,1,1)-1,1)),_xlfn.IFNA(OFFSET(Report!$J$196,MATCH($J83,OFFSET(Report!$G$196,1,0,$AJ$19,1),0),0,1,1),0)))</f>
        <v>-1150113.0474431238</v>
      </c>
      <c r="U83" s="396">
        <f t="shared" ca="1" si="17"/>
        <v>0.44447786387607108</v>
      </c>
      <c r="AJ83" t="e">
        <f t="shared" si="12"/>
        <v>#N/A</v>
      </c>
      <c r="AK83" t="e">
        <f ca="1"/>
        <v>#N/A</v>
      </c>
      <c r="AL83" t="e">
        <f ca="1"/>
        <v>#N/A</v>
      </c>
      <c r="AM83" t="str">
        <f t="shared" ca="1" si="4"/>
        <v/>
      </c>
      <c r="AN83" t="str">
        <f t="shared" ca="1" si="5"/>
        <v/>
      </c>
      <c r="AO83" t="str">
        <f t="shared" ca="1" si="13"/>
        <v/>
      </c>
      <c r="AP83" t="str">
        <f t="shared" ca="1" si="6"/>
        <v/>
      </c>
    </row>
    <row r="84" spans="1:42" x14ac:dyDescent="0.25">
      <c r="A84" t="str">
        <f t="shared" ca="1" si="14"/>
        <v>BANKOFCHINA V SOV SPREAD</v>
      </c>
      <c r="B84">
        <f t="shared" ca="1" si="7"/>
        <v>63</v>
      </c>
      <c r="D84">
        <f t="shared" ca="1" si="15"/>
        <v>12</v>
      </c>
      <c r="E84">
        <f t="shared" ca="1" si="8"/>
        <v>2</v>
      </c>
      <c r="G84" s="382" t="str">
        <f t="shared" ca="1" si="1"/>
        <v/>
      </c>
      <c r="J84" s="378" t="str">
        <f t="shared" ca="1" si="9"/>
        <v>BANKOFCHINA V SOV SPREAD</v>
      </c>
      <c r="K84" s="396">
        <f ca="1">+IF(J84="","",IF($J84="Total",SUM(OFFSET(K84,-1,0,-OFFSET($AF$20,MATCH($D84,OFFSET($AD$20,1,0,$AD$19,1),0),0,1,1)-1,1)),_xlfn.IFNA(OFFSET(Report!$Q$116,MATCH($J84,OFFSET(Report!$G$116,1,0,$AJ$19,1),0),0,1,1),0)))</f>
        <v>1.3759992397410147E-3</v>
      </c>
      <c r="L84" s="396">
        <f ca="1">+IF(J84="","",IF($J84="Total",SUM(OFFSET(L84,-1,0,-OFFSET($AF$20,MATCH($D84,OFFSET($AD$20,1,0,$AD$19,1),0),0,1,1)-1,1)),_xlfn.IFNA(OFFSET(Report!$R$196,MATCH($J84,OFFSET(Report!$G$196,1,0,$AJ$19,1),0),0,1,1),0)))</f>
        <v>1.0303111498373672E-2</v>
      </c>
      <c r="M84" s="396">
        <f ca="1">+IF(J84="","",IF($J84="Total",SUM(OFFSET(M84,-1,0,-OFFSET($AF$20,MATCH($D84,OFFSET($AD$20,1,0,$AD$19,1),0),0,1,1)-1,1)),_xlfn.IFNA(OFFSET(Report!$J$352,MATCH($J84,OFFSET(Report!$G$352,1,0,$AJ$19,1),0),0,1,1),0)))</f>
        <v>4.5786513873993908E-3</v>
      </c>
      <c r="O84" s="396">
        <f t="shared" ca="1" si="16"/>
        <v>4.3345535901728183E-2</v>
      </c>
      <c r="P84" s="396">
        <f t="shared" ca="1" si="16"/>
        <v>4.9553683917618545E-2</v>
      </c>
      <c r="Q84" s="396">
        <f t="shared" ca="1" si="16"/>
        <v>8.5999177794300649E-2</v>
      </c>
      <c r="T84" s="397">
        <f ca="1">+IF(J84="","",IF($J84="Total",SUM(OFFSET(T84,-1,0,-OFFSET($AF$20,MATCH($D84,OFFSET($AD$20,1,0,$AD$19,1),0),0,1,1)-1,1)),_xlfn.IFNA(OFFSET(Report!$J$196,MATCH($J84,OFFSET(Report!$G$196,1,0,$AJ$19,1),0),0,1,1),0)))</f>
        <v>-1969985.1223321273</v>
      </c>
      <c r="U84" s="396">
        <f t="shared" ca="1" si="17"/>
        <v>0.76132931539942905</v>
      </c>
      <c r="AJ84" t="e">
        <f t="shared" si="12"/>
        <v>#N/A</v>
      </c>
      <c r="AK84" t="e">
        <f ca="1"/>
        <v>#N/A</v>
      </c>
      <c r="AL84" t="e">
        <f ca="1"/>
        <v>#N/A</v>
      </c>
      <c r="AM84" t="str">
        <f t="shared" ca="1" si="4"/>
        <v/>
      </c>
      <c r="AN84" t="str">
        <f t="shared" ca="1" si="5"/>
        <v/>
      </c>
      <c r="AO84" t="str">
        <f t="shared" ca="1" si="13"/>
        <v/>
      </c>
      <c r="AP84" t="str">
        <f t="shared" ca="1" si="6"/>
        <v/>
      </c>
    </row>
    <row r="85" spans="1:42" x14ac:dyDescent="0.25">
      <c r="A85" t="e">
        <f t="shared" ca="1" si="14"/>
        <v>#N/A</v>
      </c>
      <c r="B85">
        <f t="shared" ca="1" si="7"/>
        <v>64</v>
      </c>
      <c r="D85">
        <f t="shared" ca="1" si="15"/>
        <v>12</v>
      </c>
      <c r="E85">
        <f t="shared" ca="1" si="8"/>
        <v>3</v>
      </c>
      <c r="G85" s="382" t="str">
        <f t="shared" ca="1" si="1"/>
        <v/>
      </c>
      <c r="J85" s="378" t="str">
        <f t="shared" ca="1" si="9"/>
        <v>Total</v>
      </c>
      <c r="K85" s="396">
        <f ca="1">+IF(J85="","",IF($J85="Total",SUM(OFFSET(K85,-1,0,-OFFSET($AF$20,MATCH($D85,OFFSET($AD$20,1,0,$AD$19,1),0),0,1,1)-1,1)),_xlfn.IFNA(OFFSET(Report!$Q$116,MATCH($J85,OFFSET(Report!$G$116,1,0,$AJ$19,1),0),0,1,1),0)))</f>
        <v>1.8806320500585837E-3</v>
      </c>
      <c r="L85" s="396">
        <f ca="1">+IF(J85="","",IF($J85="Total",SUM(OFFSET(L85,-1,0,-OFFSET($AF$20,MATCH($D85,OFFSET($AD$20,1,0,$AD$19,1),0),0,1,1)-1,1)),_xlfn.IFNA(OFFSET(Report!$R$196,MATCH($J85,OFFSET(Report!$G$196,1,0,$AJ$19,1),0),0,1,1),0)))</f>
        <v>1.4462304763237673E-2</v>
      </c>
      <c r="M85" s="396">
        <f ca="1">+IF(J85="","",IF($J85="Total",SUM(OFFSET(M85,-1,0,-OFFSET($AF$20,MATCH($D85,OFFSET($AD$20,1,0,$AD$19,1),0),0,1,1)-1,1)),_xlfn.IFNA(OFFSET(Report!$J$352,MATCH($J85,OFFSET(Report!$G$352,1,0,$AJ$19,1),0),0,1,1),0)))</f>
        <v>4.7515592849653489E-3</v>
      </c>
      <c r="O85" s="396">
        <f t="shared" ca="1" si="16"/>
        <v>5.9242041484774244E-2</v>
      </c>
      <c r="P85" s="396">
        <f t="shared" ca="1" si="16"/>
        <v>6.9557674792791707E-2</v>
      </c>
      <c r="Q85" s="396">
        <f t="shared" ca="1" si="16"/>
        <v>8.9246845233174943E-2</v>
      </c>
      <c r="T85" s="397">
        <f ca="1">+IF(J85="","",IF($J85="Total",SUM(OFFSET(T85,-1,0,-OFFSET($AF$20,MATCH($D85,OFFSET($AD$20,1,0,$AD$19,1),0),0,1,1)-1,1)),_xlfn.IFNA(OFFSET(Report!$J$196,MATCH($J85,OFFSET(Report!$G$196,1,0,$AJ$19,1),0),0,1,1),0)))</f>
        <v>-3120098.1697752513</v>
      </c>
      <c r="U85" s="396">
        <f t="shared" ca="1" si="17"/>
        <v>1.2058071792755001</v>
      </c>
      <c r="AJ85" t="e">
        <f t="shared" si="12"/>
        <v>#N/A</v>
      </c>
      <c r="AK85" t="e">
        <f ca="1"/>
        <v>#N/A</v>
      </c>
      <c r="AL85" t="e">
        <f ca="1"/>
        <v>#N/A</v>
      </c>
      <c r="AM85" t="str">
        <f t="shared" ca="1" si="4"/>
        <v/>
      </c>
      <c r="AN85" t="str">
        <f t="shared" ca="1" si="5"/>
        <v/>
      </c>
      <c r="AO85" t="str">
        <f t="shared" ca="1" si="13"/>
        <v/>
      </c>
      <c r="AP85" t="str">
        <f t="shared" ca="1" si="6"/>
        <v/>
      </c>
    </row>
    <row r="86" spans="1:42" x14ac:dyDescent="0.25">
      <c r="A86" t="str">
        <f t="shared" ca="1" si="14"/>
        <v/>
      </c>
      <c r="B86">
        <f t="shared" ca="1" si="7"/>
        <v>65</v>
      </c>
      <c r="D86">
        <f t="shared" ca="1" si="15"/>
        <v>13</v>
      </c>
      <c r="E86" t="str">
        <f t="shared" ca="1" si="8"/>
        <v/>
      </c>
      <c r="G86" s="382" t="str">
        <f t="shared" ref="G86:G149" ca="1" si="19">+IF(ISNA($B86),"",_xlfn.IFNA(OFFSET($AE$20,MATCH($B86,OFFSET($AH$20,1,0,$AD$19,1),0),0,1,1),""))</f>
        <v>CREDIT DISPERSION</v>
      </c>
      <c r="J86" s="378" t="str">
        <f t="shared" ca="1" si="9"/>
        <v/>
      </c>
      <c r="K86" s="396" t="str">
        <f ca="1">+IF(J86="","",IF($J86="Total",SUM(OFFSET(K86,-1,0,-OFFSET($AF$20,MATCH($D86,OFFSET($AD$20,1,0,$AD$19,1),0),0,1,1)-1,1)),_xlfn.IFNA(OFFSET(Report!$Q$116,MATCH($J86,OFFSET(Report!$G$116,1,0,$AJ$19,1),0),0,1,1),0)))</f>
        <v/>
      </c>
      <c r="L86" s="396" t="str">
        <f ca="1">+IF(J86="","",IF($J86="Total",SUM(OFFSET(L86,-1,0,-OFFSET($AF$20,MATCH($D86,OFFSET($AD$20,1,0,$AD$19,1),0),0,1,1)-1,1)),_xlfn.IFNA(OFFSET(Report!$R$196,MATCH($J86,OFFSET(Report!$G$196,1,0,$AJ$19,1),0),0,1,1),0)))</f>
        <v/>
      </c>
      <c r="M86" s="396" t="str">
        <f ca="1">+IF(J86="","",IF($J86="Total",SUM(OFFSET(M86,-1,0,-OFFSET($AF$20,MATCH($D86,OFFSET($AD$20,1,0,$AD$19,1),0),0,1,1)-1,1)),_xlfn.IFNA(OFFSET(Report!$J$352,MATCH($J86,OFFSET(Report!$G$352,1,0,$AJ$19,1),0),0,1,1),0)))</f>
        <v/>
      </c>
      <c r="O86" s="396" t="str">
        <f t="shared" ca="1" si="16"/>
        <v/>
      </c>
      <c r="P86" s="396" t="str">
        <f t="shared" ca="1" si="16"/>
        <v/>
      </c>
      <c r="Q86" s="396" t="str">
        <f t="shared" ca="1" si="16"/>
        <v/>
      </c>
      <c r="T86" s="397" t="str">
        <f ca="1">+IF(J86="","",IF($J86="Total",SUM(OFFSET(T86,-1,0,-OFFSET($AF$20,MATCH($D86,OFFSET($AD$20,1,0,$AD$19,1),0),0,1,1)-1,1)),_xlfn.IFNA(OFFSET(Report!$J$196,MATCH($J86,OFFSET(Report!$G$196,1,0,$AJ$19,1),0),0,1,1),0)))</f>
        <v/>
      </c>
      <c r="U86" s="396" t="str">
        <f t="shared" ca="1" si="17"/>
        <v/>
      </c>
      <c r="AJ86" t="e">
        <f t="shared" si="12"/>
        <v>#N/A</v>
      </c>
      <c r="AK86" t="e">
        <f ca="1"/>
        <v>#N/A</v>
      </c>
      <c r="AL86" t="e">
        <f ca="1"/>
        <v>#N/A</v>
      </c>
      <c r="AM86" t="str">
        <f t="shared" ref="AM86:AM132" ca="1" si="20">+IF(ISNA($AJ86),"",COUNTIF(OFFSET($AL86,0,0,-$AJ86,1),$AL86))</f>
        <v/>
      </c>
      <c r="AN86" t="str">
        <f t="shared" ref="AN86:AN132" ca="1" si="21">+IF(ISNA($AJ86),"",OFFSET($AH$20,MATCH($AL86,OFFSET($AE$20,1,0,$AD$19,1),0),0,1,1)+AM86)</f>
        <v/>
      </c>
      <c r="AO86" t="str">
        <f t="shared" ca="1" si="13"/>
        <v/>
      </c>
      <c r="AP86" t="str">
        <f t="shared" ref="AP86:AP132" ca="1" si="22">+IF(ISNA($AJ86),"",IF($AO86=0,0,IF($AJ86=1,IF($AL86="CASH MANAGEMENT",$AD$19,$AO86),IF($AL86="CASH MANAGEMENT",$AD$19,IF(MAX(OFFSET(AP86,-1,0,-$AJ86,1))=$AD$19,$AO86-1,$AO86)))))</f>
        <v/>
      </c>
    </row>
    <row r="87" spans="1:42" x14ac:dyDescent="0.25">
      <c r="A87" t="str">
        <f t="shared" ca="1" si="14"/>
        <v>US CREDIT DISPERSION</v>
      </c>
      <c r="B87">
        <f t="shared" ref="B87:B150" ca="1" si="23">+IF(OR(ISNA(B86),1+B86&gt;$B$21),NA(),1+B86)</f>
        <v>66</v>
      </c>
      <c r="D87">
        <f t="shared" ca="1" si="15"/>
        <v>13</v>
      </c>
      <c r="E87">
        <f t="shared" ref="E87:E150" ca="1" si="24">+IF(ISNA($B87),"",IF($G87&lt;&gt;"","",IF(E86="",1,1+E86)))</f>
        <v>1</v>
      </c>
      <c r="G87" s="382" t="str">
        <f t="shared" ca="1" si="19"/>
        <v/>
      </c>
      <c r="J87" s="378" t="str">
        <f t="shared" ref="J87:J150" ca="1" si="25">+IF(ISNA($B87),"",IF($G87&lt;&gt;"","",IF($E87&gt;OFFSET($AF$20,MATCH($D87,OFFSET($AD$20,1,0,$AD$19,1),0),0,1,1),"Total",OFFSET($AK$20,MATCH($B87,OFFSET($AN$20,1,0,$AJ$19,1),0),0,1,1))))</f>
        <v>US CREDIT DISPERSION</v>
      </c>
      <c r="K87" s="396">
        <f ca="1">+IF(J87="","",IF($J87="Total",SUM(OFFSET(K87,-1,0,-OFFSET($AF$20,MATCH($D87,OFFSET($AD$20,1,0,$AD$19,1),0),0,1,1)-1,1)),_xlfn.IFNA(OFFSET(Report!$Q$116,MATCH($J87,OFFSET(Report!$G$116,1,0,$AJ$19,1),0),0,1,1),0)))</f>
        <v>4.2172837310343585E-3</v>
      </c>
      <c r="L87" s="396">
        <f ca="1">+IF(J87="","",IF($J87="Total",SUM(OFFSET(L87,-1,0,-OFFSET($AF$20,MATCH($D87,OFFSET($AD$20,1,0,$AD$19,1),0),0,1,1)-1,1)),_xlfn.IFNA(OFFSET(Report!$R$196,MATCH($J87,OFFSET(Report!$G$196,1,0,$AJ$19,1),0),0,1,1),0)))</f>
        <v>1.2182677749243672E-2</v>
      </c>
      <c r="M87" s="396">
        <f ca="1">+IF(J87="","",IF($J87="Total",SUM(OFFSET(M87,-1,0,-OFFSET($AF$20,MATCH($D87,OFFSET($AD$20,1,0,$AD$19,1),0),0,1,1)-1,1)),_xlfn.IFNA(OFFSET(Report!$J$352,MATCH($J87,OFFSET(Report!$G$352,1,0,$AJ$19,1),0),0,1,1),0)))</f>
        <v>7.6174591210546334E-3</v>
      </c>
      <c r="O87" s="396">
        <f t="shared" ca="1" si="16"/>
        <v>0.13284921829297666</v>
      </c>
      <c r="P87" s="396">
        <f t="shared" ca="1" si="16"/>
        <v>5.859361636060309E-2</v>
      </c>
      <c r="Q87" s="396">
        <f t="shared" ca="1" si="16"/>
        <v>0.14307602083339205</v>
      </c>
      <c r="T87" s="397">
        <f ca="1">+IF(J87="","",IF($J87="Total",SUM(OFFSET(T87,-1,0,-OFFSET($AF$20,MATCH($D87,OFFSET($AD$20,1,0,$AD$19,1),0),0,1,1)-1,1)),_xlfn.IFNA(OFFSET(Report!$J$196,MATCH($J87,OFFSET(Report!$G$196,1,0,$AJ$19,1),0),0,1,1),0)))</f>
        <v>514915.60216556361</v>
      </c>
      <c r="U87" s="396">
        <f t="shared" ca="1" si="17"/>
        <v>-0.1989966007566128</v>
      </c>
      <c r="AJ87" t="e">
        <f t="shared" ref="AJ87:AJ132" si="26">+IF(OR(ISNA(AJ86),1+AJ86&gt;$AJ$19),NA(),1+AJ86)</f>
        <v>#N/A</v>
      </c>
      <c r="AK87" t="e">
        <f ca="1"/>
        <v>#N/A</v>
      </c>
      <c r="AL87" t="e">
        <f ca="1"/>
        <v>#N/A</v>
      </c>
      <c r="AM87" t="str">
        <f t="shared" ca="1" si="20"/>
        <v/>
      </c>
      <c r="AN87" t="str">
        <f t="shared" ca="1" si="21"/>
        <v/>
      </c>
      <c r="AO87" t="str">
        <f t="shared" ref="AO87:AO132" ca="1" si="27">+IF(ISNA($AJ87),"",IF(ISNA(MATCH($AL87,OFFSET($AL87,-1,0,-$AJ87,1),0)),1+MAX(OFFSET($AO87,-1,0,-$AJ87,1)),0))</f>
        <v/>
      </c>
      <c r="AP87" t="str">
        <f t="shared" ca="1" si="22"/>
        <v/>
      </c>
    </row>
    <row r="88" spans="1:42" x14ac:dyDescent="0.25">
      <c r="A88" t="e">
        <f t="shared" ref="A88:A151" ca="1" si="28">+IF(ISNA($B88),"",IF($G88&lt;&gt;"","",OFFSET($AK$20,MATCH($B88,OFFSET($AN$20,1,0,$AJ$19,1),0),0,1,1)))</f>
        <v>#N/A</v>
      </c>
      <c r="B88">
        <f t="shared" ca="1" si="23"/>
        <v>67</v>
      </c>
      <c r="D88">
        <f t="shared" ref="D88:D151" ca="1" si="29">+IF(ISNA($B88),"",IF(G88="",D87,1+D87))</f>
        <v>13</v>
      </c>
      <c r="E88">
        <f t="shared" ca="1" si="24"/>
        <v>2</v>
      </c>
      <c r="G88" s="382" t="str">
        <f t="shared" ca="1" si="19"/>
        <v/>
      </c>
      <c r="J88" s="378" t="str">
        <f t="shared" ca="1" si="25"/>
        <v>Total</v>
      </c>
      <c r="K88" s="396">
        <f ca="1">+IF(J88="","",IF($J88="Total",SUM(OFFSET(K88,-1,0,-OFFSET($AF$20,MATCH($D88,OFFSET($AD$20,1,0,$AD$19,1),0),0,1,1)-1,1)),_xlfn.IFNA(OFFSET(Report!$Q$116,MATCH($J88,OFFSET(Report!$G$116,1,0,$AJ$19,1),0),0,1,1),0)))</f>
        <v>4.2172837310343585E-3</v>
      </c>
      <c r="L88" s="396">
        <f ca="1">+IF(J88="","",IF($J88="Total",SUM(OFFSET(L88,-1,0,-OFFSET($AF$20,MATCH($D88,OFFSET($AD$20,1,0,$AD$19,1),0),0,1,1)-1,1)),_xlfn.IFNA(OFFSET(Report!$R$196,MATCH($J88,OFFSET(Report!$G$196,1,0,$AJ$19,1),0),0,1,1),0)))</f>
        <v>1.2182677749243672E-2</v>
      </c>
      <c r="M88" s="396">
        <f ca="1">+IF(J88="","",IF($J88="Total",SUM(OFFSET(M88,-1,0,-OFFSET($AF$20,MATCH($D88,OFFSET($AD$20,1,0,$AD$19,1),0),0,1,1)-1,1)),_xlfn.IFNA(OFFSET(Report!$J$352,MATCH($J88,OFFSET(Report!$G$352,1,0,$AJ$19,1),0),0,1,1),0)))</f>
        <v>7.6174591210546334E-3</v>
      </c>
      <c r="O88" s="396">
        <f t="shared" ref="O88:Q151" ca="1" si="30">+IF($J88="","",K88/K$21)</f>
        <v>0.13284921829297666</v>
      </c>
      <c r="P88" s="396">
        <f t="shared" ca="1" si="30"/>
        <v>5.859361636060309E-2</v>
      </c>
      <c r="Q88" s="396">
        <f t="shared" ca="1" si="30"/>
        <v>0.14307602083339205</v>
      </c>
      <c r="T88" s="397">
        <f ca="1">+IF(J88="","",IF($J88="Total",SUM(OFFSET(T88,-1,0,-OFFSET($AF$20,MATCH($D88,OFFSET($AD$20,1,0,$AD$19,1),0),0,1,1)-1,1)),_xlfn.IFNA(OFFSET(Report!$J$196,MATCH($J88,OFFSET(Report!$G$196,1,0,$AJ$19,1),0),0,1,1),0)))</f>
        <v>514915.60216556361</v>
      </c>
      <c r="U88" s="396">
        <f t="shared" ref="U88:U151" ca="1" si="31">+IF(J88="","",IF($J88="Total",SUM(OFFSET(U88,-1,0,-OFFSET($AF$20,MATCH($D88,OFFSET($AD$20,1,0,$AD$19,1),0),0,1,1)-1,1)),$T88/T$21))</f>
        <v>-0.1989966007566128</v>
      </c>
      <c r="AJ88" t="e">
        <f t="shared" si="26"/>
        <v>#N/A</v>
      </c>
      <c r="AK88" t="e">
        <f ca="1"/>
        <v>#N/A</v>
      </c>
      <c r="AL88" t="e">
        <f ca="1"/>
        <v>#N/A</v>
      </c>
      <c r="AM88" t="str">
        <f t="shared" ca="1" si="20"/>
        <v/>
      </c>
      <c r="AN88" t="str">
        <f t="shared" ca="1" si="21"/>
        <v/>
      </c>
      <c r="AO88" t="str">
        <f t="shared" ca="1" si="27"/>
        <v/>
      </c>
      <c r="AP88" t="str">
        <f t="shared" ca="1" si="22"/>
        <v/>
      </c>
    </row>
    <row r="89" spans="1:42" x14ac:dyDescent="0.25">
      <c r="A89" t="str">
        <f t="shared" ca="1" si="28"/>
        <v/>
      </c>
      <c r="B89">
        <f t="shared" ca="1" si="23"/>
        <v>68</v>
      </c>
      <c r="D89">
        <f t="shared" ca="1" si="29"/>
        <v>14</v>
      </c>
      <c r="E89" t="str">
        <f t="shared" ca="1" si="24"/>
        <v/>
      </c>
      <c r="G89" s="382" t="str">
        <f t="shared" ca="1" si="19"/>
        <v>CASH MANAGEMENT</v>
      </c>
      <c r="J89" s="378" t="str">
        <f t="shared" ca="1" si="25"/>
        <v/>
      </c>
      <c r="K89" s="396" t="str">
        <f ca="1">+IF(J89="","",IF($J89="Total",SUM(OFFSET(K89,-1,0,-OFFSET($AF$20,MATCH($D89,OFFSET($AD$20,1,0,$AD$19,1),0),0,1,1)-1,1)),_xlfn.IFNA(OFFSET(Report!$Q$116,MATCH($J89,OFFSET(Report!$G$116,1,0,$AJ$19,1),0),0,1,1),0)))</f>
        <v/>
      </c>
      <c r="L89" s="396" t="str">
        <f ca="1">+IF(J89="","",IF($J89="Total",SUM(OFFSET(L89,-1,0,-OFFSET($AF$20,MATCH($D89,OFFSET($AD$20,1,0,$AD$19,1),0),0,1,1)-1,1)),_xlfn.IFNA(OFFSET(Report!$R$196,MATCH($J89,OFFSET(Report!$G$196,1,0,$AJ$19,1),0),0,1,1),0)))</f>
        <v/>
      </c>
      <c r="M89" s="396" t="str">
        <f ca="1">+IF(J89="","",IF($J89="Total",SUM(OFFSET(M89,-1,0,-OFFSET($AF$20,MATCH($D89,OFFSET($AD$20,1,0,$AD$19,1),0),0,1,1)-1,1)),_xlfn.IFNA(OFFSET(Report!$J$352,MATCH($J89,OFFSET(Report!$G$352,1,0,$AJ$19,1),0),0,1,1),0)))</f>
        <v/>
      </c>
      <c r="O89" s="396" t="str">
        <f t="shared" ca="1" si="30"/>
        <v/>
      </c>
      <c r="P89" s="396" t="str">
        <f t="shared" ca="1" si="30"/>
        <v/>
      </c>
      <c r="Q89" s="396" t="str">
        <f t="shared" ca="1" si="30"/>
        <v/>
      </c>
      <c r="T89" s="397" t="str">
        <f ca="1">+IF(J89="","",IF($J89="Total",SUM(OFFSET(T89,-1,0,-OFFSET($AF$20,MATCH($D89,OFFSET($AD$20,1,0,$AD$19,1),0),0,1,1)-1,1)),_xlfn.IFNA(OFFSET(Report!$J$196,MATCH($J89,OFFSET(Report!$G$196,1,0,$AJ$19,1),0),0,1,1),0)))</f>
        <v/>
      </c>
      <c r="U89" s="396" t="str">
        <f t="shared" ca="1" si="31"/>
        <v/>
      </c>
      <c r="AJ89" t="e">
        <f t="shared" si="26"/>
        <v>#N/A</v>
      </c>
      <c r="AK89" t="e">
        <f ca="1"/>
        <v>#N/A</v>
      </c>
      <c r="AL89" t="e">
        <f ca="1"/>
        <v>#N/A</v>
      </c>
      <c r="AM89" t="str">
        <f t="shared" ca="1" si="20"/>
        <v/>
      </c>
      <c r="AN89" t="str">
        <f t="shared" ca="1" si="21"/>
        <v/>
      </c>
      <c r="AO89" t="str">
        <f t="shared" ca="1" si="27"/>
        <v/>
      </c>
      <c r="AP89" t="str">
        <f t="shared" ca="1" si="22"/>
        <v/>
      </c>
    </row>
    <row r="90" spans="1:42" x14ac:dyDescent="0.25">
      <c r="A90" t="str">
        <f t="shared" ca="1" si="28"/>
        <v>JPM CP</v>
      </c>
      <c r="B90">
        <f t="shared" ca="1" si="23"/>
        <v>69</v>
      </c>
      <c r="D90">
        <f t="shared" ca="1" si="29"/>
        <v>14</v>
      </c>
      <c r="E90">
        <f t="shared" ca="1" si="24"/>
        <v>1</v>
      </c>
      <c r="G90" s="382" t="str">
        <f t="shared" ca="1" si="19"/>
        <v/>
      </c>
      <c r="J90" s="378" t="str">
        <f t="shared" ca="1" si="25"/>
        <v>JPM CP</v>
      </c>
      <c r="K90" s="396">
        <f ca="1">+IF(J90="","",IF($J90="Total",SUM(OFFSET(K90,-1,0,-OFFSET($AF$20,MATCH($D90,OFFSET($AD$20,1,0,$AD$19,1),0),0,1,1)-1,1)),_xlfn.IFNA(OFFSET(Report!$Q$116,MATCH($J90,OFFSET(Report!$G$116,1,0,$AJ$19,1),0),0,1,1),0)))</f>
        <v>0</v>
      </c>
      <c r="L90" s="396">
        <f ca="1">+IF(J90="","",IF($J90="Total",SUM(OFFSET(L90,-1,0,-OFFSET($AF$20,MATCH($D90,OFFSET($AD$20,1,0,$AD$19,1),0),0,1,1)-1,1)),_xlfn.IFNA(OFFSET(Report!$R$196,MATCH($J90,OFFSET(Report!$G$196,1,0,$AJ$19,1),0),0,1,1),0)))</f>
        <v>0</v>
      </c>
      <c r="M90" s="396">
        <f ca="1">+IF(J90="","",IF($J90="Total",SUM(OFFSET(M90,-1,0,-OFFSET($AF$20,MATCH($D90,OFFSET($AD$20,1,0,$AD$19,1),0),0,1,1)-1,1)),_xlfn.IFNA(OFFSET(Report!$J$352,MATCH($J90,OFFSET(Report!$G$352,1,0,$AJ$19,1),0),0,1,1),0)))</f>
        <v>0</v>
      </c>
      <c r="O90" s="396">
        <f t="shared" ca="1" si="30"/>
        <v>0</v>
      </c>
      <c r="P90" s="396">
        <f t="shared" ca="1" si="30"/>
        <v>0</v>
      </c>
      <c r="Q90" s="396">
        <f t="shared" ca="1" si="30"/>
        <v>0</v>
      </c>
      <c r="T90" s="397">
        <f ca="1">+IF(J90="","",IF($J90="Total",SUM(OFFSET(T90,-1,0,-OFFSET($AF$20,MATCH($D90,OFFSET($AD$20,1,0,$AD$19,1),0),0,1,1)-1,1)),_xlfn.IFNA(OFFSET(Report!$J$196,MATCH($J90,OFFSET(Report!$G$196,1,0,$AJ$19,1),0),0,1,1),0)))</f>
        <v>405746.16666666418</v>
      </c>
      <c r="U90" s="396">
        <f t="shared" ca="1" si="31"/>
        <v>-0.15680648944626618</v>
      </c>
      <c r="AJ90" t="e">
        <f t="shared" si="26"/>
        <v>#N/A</v>
      </c>
      <c r="AK90" t="e">
        <f ca="1"/>
        <v>#N/A</v>
      </c>
      <c r="AL90" t="e">
        <f ca="1"/>
        <v>#N/A</v>
      </c>
      <c r="AM90" t="str">
        <f t="shared" ca="1" si="20"/>
        <v/>
      </c>
      <c r="AN90" t="str">
        <f t="shared" ca="1" si="21"/>
        <v/>
      </c>
      <c r="AO90" t="str">
        <f t="shared" ca="1" si="27"/>
        <v/>
      </c>
      <c r="AP90" t="str">
        <f t="shared" ca="1" si="22"/>
        <v/>
      </c>
    </row>
    <row r="91" spans="1:42" x14ac:dyDescent="0.25">
      <c r="A91" t="str">
        <f t="shared" ca="1" si="28"/>
        <v>TBILL</v>
      </c>
      <c r="B91">
        <f t="shared" ca="1" si="23"/>
        <v>70</v>
      </c>
      <c r="D91">
        <f t="shared" ca="1" si="29"/>
        <v>14</v>
      </c>
      <c r="E91">
        <f t="shared" ca="1" si="24"/>
        <v>2</v>
      </c>
      <c r="G91" s="382" t="str">
        <f t="shared" ca="1" si="19"/>
        <v/>
      </c>
      <c r="J91" s="378" t="str">
        <f t="shared" ca="1" si="25"/>
        <v>TBILL</v>
      </c>
      <c r="K91" s="396">
        <f ca="1">+IF(J91="","",IF($J91="Total",SUM(OFFSET(K91,-1,0,-OFFSET($AF$20,MATCH($D91,OFFSET($AD$20,1,0,$AD$19,1),0),0,1,1)-1,1)),_xlfn.IFNA(OFFSET(Report!$Q$116,MATCH($J91,OFFSET(Report!$G$116,1,0,$AJ$19,1),0),0,1,1),0)))</f>
        <v>4.7418905301080742E-5</v>
      </c>
      <c r="L91" s="396">
        <f ca="1">+IF(J91="","",IF($J91="Total",SUM(OFFSET(L91,-1,0,-OFFSET($AF$20,MATCH($D91,OFFSET($AD$20,1,0,$AD$19,1),0),0,1,1)-1,1)),_xlfn.IFNA(OFFSET(Report!$R$196,MATCH($J91,OFFSET(Report!$G$196,1,0,$AJ$19,1),0),0,1,1),0)))</f>
        <v>0</v>
      </c>
      <c r="M91" s="396">
        <f ca="1">+IF(J91="","",IF($J91="Total",SUM(OFFSET(M91,-1,0,-OFFSET($AF$20,MATCH($D91,OFFSET($AD$20,1,0,$AD$19,1),0),0,1,1)-1,1)),_xlfn.IFNA(OFFSET(Report!$J$352,MATCH($J91,OFFSET(Report!$G$352,1,0,$AJ$19,1),0),0,1,1),0)))</f>
        <v>7.5219482130760919E-5</v>
      </c>
      <c r="O91" s="396">
        <f t="shared" ca="1" si="30"/>
        <v>1.4937492716460392E-3</v>
      </c>
      <c r="P91" s="396">
        <f t="shared" ca="1" si="30"/>
        <v>0</v>
      </c>
      <c r="Q91" s="396">
        <f t="shared" ca="1" si="30"/>
        <v>1.4128207347606616E-3</v>
      </c>
      <c r="T91" s="397">
        <f ca="1">+IF(J91="","",IF($J91="Total",SUM(OFFSET(T91,-1,0,-OFFSET($AF$20,MATCH($D91,OFFSET($AD$20,1,0,$AD$19,1),0),0,1,1)-1,1)),_xlfn.IFNA(OFFSET(Report!$J$196,MATCH($J91,OFFSET(Report!$G$196,1,0,$AJ$19,1),0),0,1,1),0)))</f>
        <v>2394257.270132497</v>
      </c>
      <c r="U91" s="396">
        <f t="shared" ca="1" si="31"/>
        <v>-0.92529543888238763</v>
      </c>
      <c r="AJ91" t="e">
        <f t="shared" si="26"/>
        <v>#N/A</v>
      </c>
      <c r="AK91" t="e">
        <f ca="1"/>
        <v>#N/A</v>
      </c>
      <c r="AL91" t="e">
        <f ca="1"/>
        <v>#N/A</v>
      </c>
      <c r="AM91" t="str">
        <f t="shared" ca="1" si="20"/>
        <v/>
      </c>
      <c r="AN91" t="str">
        <f t="shared" ca="1" si="21"/>
        <v/>
      </c>
      <c r="AO91" t="str">
        <f t="shared" ca="1" si="27"/>
        <v/>
      </c>
      <c r="AP91" t="str">
        <f t="shared" ca="1" si="22"/>
        <v/>
      </c>
    </row>
    <row r="92" spans="1:42" x14ac:dyDescent="0.25">
      <c r="A92" t="e">
        <f t="shared" ca="1" si="28"/>
        <v>#N/A</v>
      </c>
      <c r="B92">
        <f t="shared" ca="1" si="23"/>
        <v>71</v>
      </c>
      <c r="D92">
        <f t="shared" ca="1" si="29"/>
        <v>14</v>
      </c>
      <c r="E92">
        <f t="shared" ca="1" si="24"/>
        <v>3</v>
      </c>
      <c r="G92" s="382" t="str">
        <f t="shared" ca="1" si="19"/>
        <v/>
      </c>
      <c r="J92" s="378" t="str">
        <f t="shared" ca="1" si="25"/>
        <v>Total</v>
      </c>
      <c r="K92" s="396">
        <f ca="1">+IF(J92="","",IF($J92="Total",SUM(OFFSET(K92,-1,0,-OFFSET($AF$20,MATCH($D92,OFFSET($AD$20,1,0,$AD$19,1),0),0,1,1)-1,1)),_xlfn.IFNA(OFFSET(Report!$Q$116,MATCH($J92,OFFSET(Report!$G$116,1,0,$AJ$19,1),0),0,1,1),0)))</f>
        <v>4.7418905301080742E-5</v>
      </c>
      <c r="L92" s="396">
        <f ca="1">+IF(J92="","",IF($J92="Total",SUM(OFFSET(L92,-1,0,-OFFSET($AF$20,MATCH($D92,OFFSET($AD$20,1,0,$AD$19,1),0),0,1,1)-1,1)),_xlfn.IFNA(OFFSET(Report!$R$196,MATCH($J92,OFFSET(Report!$G$196,1,0,$AJ$19,1),0),0,1,1),0)))</f>
        <v>0</v>
      </c>
      <c r="M92" s="396">
        <f ca="1">+IF(J92="","",IF($J92="Total",SUM(OFFSET(M92,-1,0,-OFFSET($AF$20,MATCH($D92,OFFSET($AD$20,1,0,$AD$19,1),0),0,1,1)-1,1)),_xlfn.IFNA(OFFSET(Report!$J$352,MATCH($J92,OFFSET(Report!$G$352,1,0,$AJ$19,1),0),0,1,1),0)))</f>
        <v>7.5219482130760919E-5</v>
      </c>
      <c r="O92" s="396">
        <f t="shared" ca="1" si="30"/>
        <v>1.4937492716460392E-3</v>
      </c>
      <c r="P92" s="396">
        <f t="shared" ca="1" si="30"/>
        <v>0</v>
      </c>
      <c r="Q92" s="396">
        <f t="shared" ca="1" si="30"/>
        <v>1.4128207347606616E-3</v>
      </c>
      <c r="T92" s="397">
        <f ca="1">+IF(J92="","",IF($J92="Total",SUM(OFFSET(T92,-1,0,-OFFSET($AF$20,MATCH($D92,OFFSET($AD$20,1,0,$AD$19,1),0),0,1,1)-1,1)),_xlfn.IFNA(OFFSET(Report!$J$196,MATCH($J92,OFFSET(Report!$G$196,1,0,$AJ$19,1),0),0,1,1),0)))</f>
        <v>2800003.4367991611</v>
      </c>
      <c r="U92" s="396">
        <f t="shared" ca="1" si="31"/>
        <v>-1.0821019283286537</v>
      </c>
      <c r="AJ92" t="e">
        <f t="shared" si="26"/>
        <v>#N/A</v>
      </c>
      <c r="AK92" t="e">
        <f ca="1"/>
        <v>#N/A</v>
      </c>
      <c r="AL92" t="e">
        <f ca="1"/>
        <v>#N/A</v>
      </c>
      <c r="AM92" t="str">
        <f t="shared" ca="1" si="20"/>
        <v/>
      </c>
      <c r="AN92" t="str">
        <f t="shared" ca="1" si="21"/>
        <v/>
      </c>
      <c r="AO92" t="str">
        <f t="shared" ca="1" si="27"/>
        <v/>
      </c>
      <c r="AP92" t="str">
        <f t="shared" ca="1" si="22"/>
        <v/>
      </c>
    </row>
    <row r="93" spans="1:42" x14ac:dyDescent="0.25">
      <c r="A93" t="str">
        <f t="shared" ca="1" si="28"/>
        <v/>
      </c>
      <c r="B93" t="e">
        <f t="shared" ca="1" si="23"/>
        <v>#N/A</v>
      </c>
      <c r="D93" t="str">
        <f t="shared" ca="1" si="29"/>
        <v/>
      </c>
      <c r="E93" t="str">
        <f t="shared" ca="1" si="24"/>
        <v/>
      </c>
      <c r="G93" s="382" t="str">
        <f t="shared" ca="1" si="19"/>
        <v/>
      </c>
      <c r="J93" s="378" t="str">
        <f t="shared" ca="1" si="25"/>
        <v/>
      </c>
      <c r="K93" s="396" t="str">
        <f ca="1">+IF(J93="","",IF($J93="Total",SUM(OFFSET(K93,-1,0,-OFFSET($AF$20,MATCH($D93,OFFSET($AD$20,1,0,$AD$19,1),0),0,1,1)-1,1)),_xlfn.IFNA(OFFSET(Report!$Q$116,MATCH($J93,OFFSET(Report!$G$116,1,0,$AJ$19,1),0),0,1,1),0)))</f>
        <v/>
      </c>
      <c r="L93" s="396" t="str">
        <f ca="1">+IF(J93="","",IF($J93="Total",SUM(OFFSET(L93,-1,0,-OFFSET($AF$20,MATCH($D93,OFFSET($AD$20,1,0,$AD$19,1),0),0,1,1)-1,1)),_xlfn.IFNA(OFFSET(Report!$R$196,MATCH($J93,OFFSET(Report!$G$196,1,0,$AJ$19,1),0),0,1,1),0)))</f>
        <v/>
      </c>
      <c r="M93" s="396" t="str">
        <f ca="1">+IF(J93="","",IF($J93="Total",SUM(OFFSET(M93,-1,0,-OFFSET($AF$20,MATCH($D93,OFFSET($AD$20,1,0,$AD$19,1),0),0,1,1)-1,1)),_xlfn.IFNA(OFFSET(Report!$J$352,MATCH($J93,OFFSET(Report!$G$352,1,0,$AJ$19,1),0),0,1,1),0)))</f>
        <v/>
      </c>
      <c r="O93" s="396" t="str">
        <f t="shared" ca="1" si="30"/>
        <v/>
      </c>
      <c r="P93" s="396" t="str">
        <f t="shared" ca="1" si="30"/>
        <v/>
      </c>
      <c r="Q93" s="396" t="str">
        <f t="shared" ca="1" si="30"/>
        <v/>
      </c>
      <c r="T93" s="397" t="str">
        <f ca="1">+IF(J93="","",IF($J93="Total",SUM(OFFSET(T93,-1,0,-OFFSET($AF$20,MATCH($D93,OFFSET($AD$20,1,0,$AD$19,1),0),0,1,1)-1,1)),_xlfn.IFNA(OFFSET(Report!$J$196,MATCH($J93,OFFSET(Report!$G$196,1,0,$AJ$19,1),0),0,1,1),0)))</f>
        <v/>
      </c>
      <c r="U93" s="396" t="str">
        <f t="shared" ca="1" si="31"/>
        <v/>
      </c>
      <c r="AJ93" t="e">
        <f t="shared" si="26"/>
        <v>#N/A</v>
      </c>
      <c r="AK93" t="e">
        <f ca="1"/>
        <v>#N/A</v>
      </c>
      <c r="AL93" t="e">
        <f ca="1"/>
        <v>#N/A</v>
      </c>
      <c r="AM93" t="str">
        <f t="shared" ca="1" si="20"/>
        <v/>
      </c>
      <c r="AN93" t="str">
        <f t="shared" ca="1" si="21"/>
        <v/>
      </c>
      <c r="AO93" t="str">
        <f t="shared" ca="1" si="27"/>
        <v/>
      </c>
      <c r="AP93" t="str">
        <f t="shared" ca="1" si="22"/>
        <v/>
      </c>
    </row>
    <row r="94" spans="1:42" x14ac:dyDescent="0.25">
      <c r="A94" t="str">
        <f t="shared" ca="1" si="28"/>
        <v/>
      </c>
      <c r="B94" t="e">
        <f t="shared" ca="1" si="23"/>
        <v>#N/A</v>
      </c>
      <c r="D94" t="str">
        <f t="shared" ca="1" si="29"/>
        <v/>
      </c>
      <c r="E94" t="str">
        <f t="shared" ca="1" si="24"/>
        <v/>
      </c>
      <c r="G94" s="382" t="str">
        <f t="shared" ca="1" si="19"/>
        <v/>
      </c>
      <c r="J94" s="378" t="str">
        <f t="shared" ca="1" si="25"/>
        <v/>
      </c>
      <c r="K94" s="396" t="str">
        <f ca="1">+IF(J94="","",IF($J94="Total",SUM(OFFSET(K94,-1,0,-OFFSET($AF$20,MATCH($D94,OFFSET($AD$20,1,0,$AD$19,1),0),0,1,1)-1,1)),_xlfn.IFNA(OFFSET(Report!$Q$116,MATCH($J94,OFFSET(Report!$G$116,1,0,$AJ$19,1),0),0,1,1),0)))</f>
        <v/>
      </c>
      <c r="L94" s="396" t="str">
        <f ca="1">+IF(J94="","",IF($J94="Total",SUM(OFFSET(L94,-1,0,-OFFSET($AF$20,MATCH($D94,OFFSET($AD$20,1,0,$AD$19,1),0),0,1,1)-1,1)),_xlfn.IFNA(OFFSET(Report!$R$196,MATCH($J94,OFFSET(Report!$G$196,1,0,$AJ$19,1),0),0,1,1),0)))</f>
        <v/>
      </c>
      <c r="M94" s="396" t="str">
        <f ca="1">+IF(J94="","",IF($J94="Total",SUM(OFFSET(M94,-1,0,-OFFSET($AF$20,MATCH($D94,OFFSET($AD$20,1,0,$AD$19,1),0),0,1,1)-1,1)),_xlfn.IFNA(OFFSET(Report!$J$352,MATCH($J94,OFFSET(Report!$G$352,1,0,$AJ$19,1),0),0,1,1),0)))</f>
        <v/>
      </c>
      <c r="O94" s="396" t="str">
        <f t="shared" ca="1" si="30"/>
        <v/>
      </c>
      <c r="P94" s="396" t="str">
        <f t="shared" ca="1" si="30"/>
        <v/>
      </c>
      <c r="Q94" s="396" t="str">
        <f t="shared" ca="1" si="30"/>
        <v/>
      </c>
      <c r="T94" s="397" t="str">
        <f ca="1">+IF(J94="","",IF($J94="Total",SUM(OFFSET(T94,-1,0,-OFFSET($AF$20,MATCH($D94,OFFSET($AD$20,1,0,$AD$19,1),0),0,1,1)-1,1)),_xlfn.IFNA(OFFSET(Report!$J$196,MATCH($J94,OFFSET(Report!$G$196,1,0,$AJ$19,1),0),0,1,1),0)))</f>
        <v/>
      </c>
      <c r="U94" s="396" t="str">
        <f t="shared" ca="1" si="31"/>
        <v/>
      </c>
      <c r="AJ94" t="e">
        <f t="shared" si="26"/>
        <v>#N/A</v>
      </c>
      <c r="AK94" t="e">
        <f ca="1"/>
        <v>#N/A</v>
      </c>
      <c r="AL94" t="e">
        <f ca="1"/>
        <v>#N/A</v>
      </c>
      <c r="AM94" t="str">
        <f t="shared" ca="1" si="20"/>
        <v/>
      </c>
      <c r="AN94" t="str">
        <f t="shared" ca="1" si="21"/>
        <v/>
      </c>
      <c r="AO94" t="str">
        <f t="shared" ca="1" si="27"/>
        <v/>
      </c>
      <c r="AP94" t="str">
        <f t="shared" ca="1" si="22"/>
        <v/>
      </c>
    </row>
    <row r="95" spans="1:42" x14ac:dyDescent="0.25">
      <c r="A95" t="str">
        <f t="shared" ca="1" si="28"/>
        <v/>
      </c>
      <c r="B95" t="e">
        <f t="shared" ca="1" si="23"/>
        <v>#N/A</v>
      </c>
      <c r="D95" t="str">
        <f t="shared" ca="1" si="29"/>
        <v/>
      </c>
      <c r="E95" t="str">
        <f t="shared" ca="1" si="24"/>
        <v/>
      </c>
      <c r="G95" s="382" t="str">
        <f t="shared" ca="1" si="19"/>
        <v/>
      </c>
      <c r="J95" s="378" t="str">
        <f t="shared" ca="1" si="25"/>
        <v/>
      </c>
      <c r="K95" s="396" t="str">
        <f ca="1">+IF(J95="","",IF($J95="Total",SUM(OFFSET(K95,-1,0,-OFFSET($AF$20,MATCH($D95,OFFSET($AD$20,1,0,$AD$19,1),0),0,1,1)-1,1)),_xlfn.IFNA(OFFSET(Report!$Q$116,MATCH($J95,OFFSET(Report!$G$116,1,0,$AJ$19,1),0),0,1,1),0)))</f>
        <v/>
      </c>
      <c r="L95" s="396" t="str">
        <f ca="1">+IF(J95="","",IF($J95="Total",SUM(OFFSET(L95,-1,0,-OFFSET($AF$20,MATCH($D95,OFFSET($AD$20,1,0,$AD$19,1),0),0,1,1)-1,1)),_xlfn.IFNA(OFFSET(Report!$R$196,MATCH($J95,OFFSET(Report!$G$196,1,0,$AJ$19,1),0),0,1,1),0)))</f>
        <v/>
      </c>
      <c r="M95" s="396" t="str">
        <f ca="1">+IF(J95="","",IF($J95="Total",SUM(OFFSET(M95,-1,0,-OFFSET($AF$20,MATCH($D95,OFFSET($AD$20,1,0,$AD$19,1),0),0,1,1)-1,1)),_xlfn.IFNA(OFFSET(Report!$J$352,MATCH($J95,OFFSET(Report!$G$352,1,0,$AJ$19,1),0),0,1,1),0)))</f>
        <v/>
      </c>
      <c r="O95" s="396" t="str">
        <f t="shared" ca="1" si="30"/>
        <v/>
      </c>
      <c r="P95" s="396" t="str">
        <f t="shared" ca="1" si="30"/>
        <v/>
      </c>
      <c r="Q95" s="396" t="str">
        <f t="shared" ca="1" si="30"/>
        <v/>
      </c>
      <c r="T95" s="397" t="str">
        <f ca="1">+IF(J95="","",IF($J95="Total",SUM(OFFSET(T95,-1,0,-OFFSET($AF$20,MATCH($D95,OFFSET($AD$20,1,0,$AD$19,1),0),0,1,1)-1,1)),_xlfn.IFNA(OFFSET(Report!$J$196,MATCH($J95,OFFSET(Report!$G$196,1,0,$AJ$19,1),0),0,1,1),0)))</f>
        <v/>
      </c>
      <c r="U95" s="396" t="str">
        <f t="shared" ca="1" si="31"/>
        <v/>
      </c>
      <c r="AJ95" t="e">
        <f t="shared" si="26"/>
        <v>#N/A</v>
      </c>
      <c r="AK95" t="e">
        <f ca="1"/>
        <v>#N/A</v>
      </c>
      <c r="AL95" t="e">
        <f ca="1"/>
        <v>#N/A</v>
      </c>
      <c r="AM95" t="str">
        <f t="shared" ca="1" si="20"/>
        <v/>
      </c>
      <c r="AN95" t="str">
        <f t="shared" ca="1" si="21"/>
        <v/>
      </c>
      <c r="AO95" t="str">
        <f t="shared" ca="1" si="27"/>
        <v/>
      </c>
      <c r="AP95" t="str">
        <f t="shared" ca="1" si="22"/>
        <v/>
      </c>
    </row>
    <row r="96" spans="1:42" x14ac:dyDescent="0.25">
      <c r="A96" t="str">
        <f t="shared" ca="1" si="28"/>
        <v/>
      </c>
      <c r="B96" t="e">
        <f t="shared" ca="1" si="23"/>
        <v>#N/A</v>
      </c>
      <c r="D96" t="str">
        <f t="shared" ca="1" si="29"/>
        <v/>
      </c>
      <c r="E96" t="str">
        <f t="shared" ca="1" si="24"/>
        <v/>
      </c>
      <c r="G96" s="382" t="str">
        <f t="shared" ca="1" si="19"/>
        <v/>
      </c>
      <c r="J96" s="378" t="str">
        <f t="shared" ca="1" si="25"/>
        <v/>
      </c>
      <c r="K96" s="396" t="str">
        <f ca="1">+IF(J96="","",IF($J96="Total",SUM(OFFSET(K96,-1,0,-OFFSET($AF$20,MATCH($D96,OFFSET($AD$20,1,0,$AD$19,1),0),0,1,1)-1,1)),_xlfn.IFNA(OFFSET(Report!$Q$116,MATCH($J96,OFFSET(Report!$G$116,1,0,$AJ$19,1),0),0,1,1),0)))</f>
        <v/>
      </c>
      <c r="L96" s="396" t="str">
        <f ca="1">+IF(J96="","",IF($J96="Total",SUM(OFFSET(L96,-1,0,-OFFSET($AF$20,MATCH($D96,OFFSET($AD$20,1,0,$AD$19,1),0),0,1,1)-1,1)),_xlfn.IFNA(OFFSET(Report!$R$196,MATCH($J96,OFFSET(Report!$G$196,1,0,$AJ$19,1),0),0,1,1),0)))</f>
        <v/>
      </c>
      <c r="M96" s="396" t="str">
        <f ca="1">+IF(J96="","",IF($J96="Total",SUM(OFFSET(M96,-1,0,-OFFSET($AF$20,MATCH($D96,OFFSET($AD$20,1,0,$AD$19,1),0),0,1,1)-1,1)),_xlfn.IFNA(OFFSET(Report!$J$352,MATCH($J96,OFFSET(Report!$G$352,1,0,$AJ$19,1),0),0,1,1),0)))</f>
        <v/>
      </c>
      <c r="O96" s="396" t="str">
        <f t="shared" ca="1" si="30"/>
        <v/>
      </c>
      <c r="P96" s="396" t="str">
        <f t="shared" ca="1" si="30"/>
        <v/>
      </c>
      <c r="Q96" s="396" t="str">
        <f t="shared" ca="1" si="30"/>
        <v/>
      </c>
      <c r="T96" s="397" t="str">
        <f ca="1">+IF(J96="","",IF($J96="Total",SUM(OFFSET(T96,-1,0,-OFFSET($AF$20,MATCH($D96,OFFSET($AD$20,1,0,$AD$19,1),0),0,1,1)-1,1)),_xlfn.IFNA(OFFSET(Report!$J$196,MATCH($J96,OFFSET(Report!$G$196,1,0,$AJ$19,1),0),0,1,1),0)))</f>
        <v/>
      </c>
      <c r="U96" s="396" t="str">
        <f t="shared" ca="1" si="31"/>
        <v/>
      </c>
      <c r="AJ96" t="e">
        <f t="shared" si="26"/>
        <v>#N/A</v>
      </c>
      <c r="AK96" t="e">
        <f ca="1"/>
        <v>#N/A</v>
      </c>
      <c r="AL96" t="e">
        <f ca="1"/>
        <v>#N/A</v>
      </c>
      <c r="AM96" t="str">
        <f t="shared" ca="1" si="20"/>
        <v/>
      </c>
      <c r="AN96" t="str">
        <f t="shared" ca="1" si="21"/>
        <v/>
      </c>
      <c r="AO96" t="str">
        <f t="shared" ca="1" si="27"/>
        <v/>
      </c>
      <c r="AP96" t="str">
        <f t="shared" ca="1" si="22"/>
        <v/>
      </c>
    </row>
    <row r="97" spans="1:42" x14ac:dyDescent="0.25">
      <c r="A97" t="str">
        <f t="shared" ca="1" si="28"/>
        <v/>
      </c>
      <c r="B97" t="e">
        <f t="shared" ca="1" si="23"/>
        <v>#N/A</v>
      </c>
      <c r="D97" t="str">
        <f t="shared" ca="1" si="29"/>
        <v/>
      </c>
      <c r="E97" t="str">
        <f t="shared" ca="1" si="24"/>
        <v/>
      </c>
      <c r="G97" s="382" t="str">
        <f t="shared" ca="1" si="19"/>
        <v/>
      </c>
      <c r="J97" s="378" t="str">
        <f t="shared" ca="1" si="25"/>
        <v/>
      </c>
      <c r="K97" s="396" t="str">
        <f ca="1">+IF(J97="","",IF($J97="Total",SUM(OFFSET(K97,-1,0,-OFFSET($AF$20,MATCH($D97,OFFSET($AD$20,1,0,$AD$19,1),0),0,1,1)-1,1)),_xlfn.IFNA(OFFSET(Report!$Q$116,MATCH($J97,OFFSET(Report!$G$116,1,0,$AJ$19,1),0),0,1,1),0)))</f>
        <v/>
      </c>
      <c r="L97" s="396" t="str">
        <f ca="1">+IF(J97="","",IF($J97="Total",SUM(OFFSET(L97,-1,0,-OFFSET($AF$20,MATCH($D97,OFFSET($AD$20,1,0,$AD$19,1),0),0,1,1)-1,1)),_xlfn.IFNA(OFFSET(Report!$R$196,MATCH($J97,OFFSET(Report!$G$196,1,0,$AJ$19,1),0),0,1,1),0)))</f>
        <v/>
      </c>
      <c r="M97" s="396" t="str">
        <f ca="1">+IF(J97="","",IF($J97="Total",SUM(OFFSET(M97,-1,0,-OFFSET($AF$20,MATCH($D97,OFFSET($AD$20,1,0,$AD$19,1),0),0,1,1)-1,1)),_xlfn.IFNA(OFFSET(Report!$J$352,MATCH($J97,OFFSET(Report!$G$352,1,0,$AJ$19,1),0),0,1,1),0)))</f>
        <v/>
      </c>
      <c r="O97" s="396" t="str">
        <f t="shared" ca="1" si="30"/>
        <v/>
      </c>
      <c r="P97" s="396" t="str">
        <f t="shared" ca="1" si="30"/>
        <v/>
      </c>
      <c r="Q97" s="396" t="str">
        <f t="shared" ca="1" si="30"/>
        <v/>
      </c>
      <c r="T97" s="397" t="str">
        <f ca="1">+IF(J97="","",IF($J97="Total",SUM(OFFSET(T97,-1,0,-OFFSET($AF$20,MATCH($D97,OFFSET($AD$20,1,0,$AD$19,1),0),0,1,1)-1,1)),_xlfn.IFNA(OFFSET(Report!$J$196,MATCH($J97,OFFSET(Report!$G$196,1,0,$AJ$19,1),0),0,1,1),0)))</f>
        <v/>
      </c>
      <c r="U97" s="396" t="str">
        <f t="shared" ca="1" si="31"/>
        <v/>
      </c>
      <c r="AJ97" t="e">
        <f t="shared" si="26"/>
        <v>#N/A</v>
      </c>
      <c r="AK97" t="e">
        <f ca="1"/>
        <v>#N/A</v>
      </c>
      <c r="AL97" t="e">
        <f ca="1"/>
        <v>#N/A</v>
      </c>
      <c r="AM97" t="str">
        <f t="shared" ca="1" si="20"/>
        <v/>
      </c>
      <c r="AN97" t="str">
        <f t="shared" ca="1" si="21"/>
        <v/>
      </c>
      <c r="AO97" t="str">
        <f t="shared" ca="1" si="27"/>
        <v/>
      </c>
      <c r="AP97" t="str">
        <f t="shared" ca="1" si="22"/>
        <v/>
      </c>
    </row>
    <row r="98" spans="1:42" x14ac:dyDescent="0.25">
      <c r="A98" t="str">
        <f t="shared" ca="1" si="28"/>
        <v/>
      </c>
      <c r="B98" t="e">
        <f t="shared" ca="1" si="23"/>
        <v>#N/A</v>
      </c>
      <c r="D98" t="str">
        <f t="shared" ca="1" si="29"/>
        <v/>
      </c>
      <c r="E98" t="str">
        <f t="shared" ca="1" si="24"/>
        <v/>
      </c>
      <c r="G98" s="382" t="str">
        <f t="shared" ca="1" si="19"/>
        <v/>
      </c>
      <c r="J98" s="378" t="str">
        <f t="shared" ca="1" si="25"/>
        <v/>
      </c>
      <c r="K98" s="396" t="str">
        <f ca="1">+IF(J98="","",IF($J98="Total",SUM(OFFSET(K98,-1,0,-OFFSET($AF$20,MATCH($D98,OFFSET($AD$20,1,0,$AD$19,1),0),0,1,1)-1,1)),_xlfn.IFNA(OFFSET(Report!$Q$116,MATCH($J98,OFFSET(Report!$G$116,1,0,$AJ$19,1),0),0,1,1),0)))</f>
        <v/>
      </c>
      <c r="L98" s="396" t="str">
        <f ca="1">+IF(J98="","",IF($J98="Total",SUM(OFFSET(L98,-1,0,-OFFSET($AF$20,MATCH($D98,OFFSET($AD$20,1,0,$AD$19,1),0),0,1,1)-1,1)),_xlfn.IFNA(OFFSET(Report!$R$196,MATCH($J98,OFFSET(Report!$G$196,1,0,$AJ$19,1),0),0,1,1),0)))</f>
        <v/>
      </c>
      <c r="M98" s="396" t="str">
        <f ca="1">+IF(J98="","",IF($J98="Total",SUM(OFFSET(M98,-1,0,-OFFSET($AF$20,MATCH($D98,OFFSET($AD$20,1,0,$AD$19,1),0),0,1,1)-1,1)),_xlfn.IFNA(OFFSET(Report!$J$352,MATCH($J98,OFFSET(Report!$G$352,1,0,$AJ$19,1),0),0,1,1),0)))</f>
        <v/>
      </c>
      <c r="O98" s="396" t="str">
        <f t="shared" ca="1" si="30"/>
        <v/>
      </c>
      <c r="P98" s="396" t="str">
        <f t="shared" ca="1" si="30"/>
        <v/>
      </c>
      <c r="Q98" s="396" t="str">
        <f t="shared" ca="1" si="30"/>
        <v/>
      </c>
      <c r="T98" s="397" t="str">
        <f ca="1">+IF(J98="","",IF($J98="Total",SUM(OFFSET(T98,-1,0,-OFFSET($AF$20,MATCH($D98,OFFSET($AD$20,1,0,$AD$19,1),0),0,1,1)-1,1)),_xlfn.IFNA(OFFSET(Report!$J$196,MATCH($J98,OFFSET(Report!$G$196,1,0,$AJ$19,1),0),0,1,1),0)))</f>
        <v/>
      </c>
      <c r="U98" s="396" t="str">
        <f t="shared" ca="1" si="31"/>
        <v/>
      </c>
      <c r="AJ98" t="e">
        <f t="shared" si="26"/>
        <v>#N/A</v>
      </c>
      <c r="AK98" t="e">
        <f ca="1"/>
        <v>#N/A</v>
      </c>
      <c r="AL98" t="e">
        <f ca="1"/>
        <v>#N/A</v>
      </c>
      <c r="AM98" t="str">
        <f t="shared" ca="1" si="20"/>
        <v/>
      </c>
      <c r="AN98" t="str">
        <f t="shared" ca="1" si="21"/>
        <v/>
      </c>
      <c r="AO98" t="str">
        <f t="shared" ca="1" si="27"/>
        <v/>
      </c>
      <c r="AP98" t="str">
        <f t="shared" ca="1" si="22"/>
        <v/>
      </c>
    </row>
    <row r="99" spans="1:42" x14ac:dyDescent="0.25">
      <c r="A99" t="str">
        <f t="shared" ca="1" si="28"/>
        <v/>
      </c>
      <c r="B99" t="e">
        <f t="shared" ca="1" si="23"/>
        <v>#N/A</v>
      </c>
      <c r="D99" t="str">
        <f t="shared" ca="1" si="29"/>
        <v/>
      </c>
      <c r="E99" t="str">
        <f t="shared" ca="1" si="24"/>
        <v/>
      </c>
      <c r="G99" s="382" t="str">
        <f t="shared" ca="1" si="19"/>
        <v/>
      </c>
      <c r="J99" s="378" t="str">
        <f t="shared" ca="1" si="25"/>
        <v/>
      </c>
      <c r="K99" s="396" t="str">
        <f ca="1">+IF(J99="","",IF($J99="Total",SUM(OFFSET(K99,-1,0,-OFFSET($AF$20,MATCH($D99,OFFSET($AD$20,1,0,$AD$19,1),0),0,1,1)-1,1)),_xlfn.IFNA(OFFSET(Report!$Q$116,MATCH($J99,OFFSET(Report!$G$116,1,0,$AJ$19,1),0),0,1,1),0)))</f>
        <v/>
      </c>
      <c r="L99" s="396" t="str">
        <f ca="1">+IF(J99="","",IF($J99="Total",SUM(OFFSET(L99,-1,0,-OFFSET($AF$20,MATCH($D99,OFFSET($AD$20,1,0,$AD$19,1),0),0,1,1)-1,1)),_xlfn.IFNA(OFFSET(Report!$R$196,MATCH($J99,OFFSET(Report!$G$196,1,0,$AJ$19,1),0),0,1,1),0)))</f>
        <v/>
      </c>
      <c r="M99" s="396" t="str">
        <f ca="1">+IF(J99="","",IF($J99="Total",SUM(OFFSET(M99,-1,0,-OFFSET($AF$20,MATCH($D99,OFFSET($AD$20,1,0,$AD$19,1),0),0,1,1)-1,1)),_xlfn.IFNA(OFFSET(Report!$J$352,MATCH($J99,OFFSET(Report!$G$352,1,0,$AJ$19,1),0),0,1,1),0)))</f>
        <v/>
      </c>
      <c r="O99" s="396" t="str">
        <f t="shared" ca="1" si="30"/>
        <v/>
      </c>
      <c r="P99" s="396" t="str">
        <f t="shared" ca="1" si="30"/>
        <v/>
      </c>
      <c r="Q99" s="396" t="str">
        <f t="shared" ca="1" si="30"/>
        <v/>
      </c>
      <c r="T99" s="397" t="str">
        <f ca="1">+IF(J99="","",IF($J99="Total",SUM(OFFSET(T99,-1,0,-OFFSET($AF$20,MATCH($D99,OFFSET($AD$20,1,0,$AD$19,1),0),0,1,1)-1,1)),_xlfn.IFNA(OFFSET(Report!$J$196,MATCH($J99,OFFSET(Report!$G$196,1,0,$AJ$19,1),0),0,1,1),0)))</f>
        <v/>
      </c>
      <c r="U99" s="396" t="str">
        <f t="shared" ca="1" si="31"/>
        <v/>
      </c>
      <c r="AJ99" t="e">
        <f t="shared" si="26"/>
        <v>#N/A</v>
      </c>
      <c r="AK99" t="e">
        <f ca="1"/>
        <v>#N/A</v>
      </c>
      <c r="AL99" t="e">
        <f ca="1"/>
        <v>#N/A</v>
      </c>
      <c r="AM99" t="str">
        <f t="shared" ca="1" si="20"/>
        <v/>
      </c>
      <c r="AN99" t="str">
        <f t="shared" ca="1" si="21"/>
        <v/>
      </c>
      <c r="AO99" t="str">
        <f t="shared" ca="1" si="27"/>
        <v/>
      </c>
      <c r="AP99" t="str">
        <f t="shared" ca="1" si="22"/>
        <v/>
      </c>
    </row>
    <row r="100" spans="1:42" x14ac:dyDescent="0.25">
      <c r="A100" t="str">
        <f t="shared" ca="1" si="28"/>
        <v/>
      </c>
      <c r="B100" t="e">
        <f t="shared" ca="1" si="23"/>
        <v>#N/A</v>
      </c>
      <c r="D100" t="str">
        <f t="shared" ca="1" si="29"/>
        <v/>
      </c>
      <c r="E100" t="str">
        <f t="shared" ca="1" si="24"/>
        <v/>
      </c>
      <c r="G100" s="382" t="str">
        <f t="shared" ca="1" si="19"/>
        <v/>
      </c>
      <c r="J100" s="378" t="str">
        <f t="shared" ca="1" si="25"/>
        <v/>
      </c>
      <c r="K100" s="396" t="str">
        <f ca="1">+IF(J100="","",IF($J100="Total",SUM(OFFSET(K100,-1,0,-OFFSET($AF$20,MATCH($D100,OFFSET($AD$20,1,0,$AD$19,1),0),0,1,1)-1,1)),_xlfn.IFNA(OFFSET(Report!$Q$116,MATCH($J100,OFFSET(Report!$G$116,1,0,$AJ$19,1),0),0,1,1),0)))</f>
        <v/>
      </c>
      <c r="L100" s="396" t="str">
        <f ca="1">+IF(J100="","",IF($J100="Total",SUM(OFFSET(L100,-1,0,-OFFSET($AF$20,MATCH($D100,OFFSET($AD$20,1,0,$AD$19,1),0),0,1,1)-1,1)),_xlfn.IFNA(OFFSET(Report!$R$196,MATCH($J100,OFFSET(Report!$G$196,1,0,$AJ$19,1),0),0,1,1),0)))</f>
        <v/>
      </c>
      <c r="M100" s="396" t="str">
        <f ca="1">+IF(J100="","",IF($J100="Total",SUM(OFFSET(M100,-1,0,-OFFSET($AF$20,MATCH($D100,OFFSET($AD$20,1,0,$AD$19,1),0),0,1,1)-1,1)),_xlfn.IFNA(OFFSET(Report!$J$352,MATCH($J100,OFFSET(Report!$G$352,1,0,$AJ$19,1),0),0,1,1),0)))</f>
        <v/>
      </c>
      <c r="O100" s="396" t="str">
        <f t="shared" ca="1" si="30"/>
        <v/>
      </c>
      <c r="P100" s="396" t="str">
        <f t="shared" ca="1" si="30"/>
        <v/>
      </c>
      <c r="Q100" s="396" t="str">
        <f t="shared" ca="1" si="30"/>
        <v/>
      </c>
      <c r="T100" s="397" t="str">
        <f ca="1">+IF(J100="","",IF($J100="Total",SUM(OFFSET(T100,-1,0,-OFFSET($AF$20,MATCH($D100,OFFSET($AD$20,1,0,$AD$19,1),0),0,1,1)-1,1)),_xlfn.IFNA(OFFSET(Report!$J$196,MATCH($J100,OFFSET(Report!$G$196,1,0,$AJ$19,1),0),0,1,1),0)))</f>
        <v/>
      </c>
      <c r="U100" s="396" t="str">
        <f t="shared" ca="1" si="31"/>
        <v/>
      </c>
      <c r="AJ100" t="e">
        <f t="shared" si="26"/>
        <v>#N/A</v>
      </c>
      <c r="AK100" t="e">
        <f ca="1"/>
        <v>#N/A</v>
      </c>
      <c r="AL100" t="e">
        <f ca="1"/>
        <v>#N/A</v>
      </c>
      <c r="AM100" t="str">
        <f t="shared" ca="1" si="20"/>
        <v/>
      </c>
      <c r="AN100" t="str">
        <f t="shared" ca="1" si="21"/>
        <v/>
      </c>
      <c r="AO100" t="str">
        <f t="shared" ca="1" si="27"/>
        <v/>
      </c>
      <c r="AP100" t="str">
        <f t="shared" ca="1" si="22"/>
        <v/>
      </c>
    </row>
    <row r="101" spans="1:42" x14ac:dyDescent="0.25">
      <c r="A101" t="str">
        <f t="shared" ca="1" si="28"/>
        <v/>
      </c>
      <c r="B101" t="e">
        <f t="shared" ca="1" si="23"/>
        <v>#N/A</v>
      </c>
      <c r="D101" t="str">
        <f t="shared" ca="1" si="29"/>
        <v/>
      </c>
      <c r="E101" t="str">
        <f t="shared" ca="1" si="24"/>
        <v/>
      </c>
      <c r="G101" s="382" t="str">
        <f t="shared" ca="1" si="19"/>
        <v/>
      </c>
      <c r="J101" s="378" t="str">
        <f t="shared" ca="1" si="25"/>
        <v/>
      </c>
      <c r="K101" s="396" t="str">
        <f ca="1">+IF(J101="","",IF($J101="Total",SUM(OFFSET(K101,-1,0,-OFFSET($AF$20,MATCH($D101,OFFSET($AD$20,1,0,$AD$19,1),0),0,1,1)-1,1)),_xlfn.IFNA(OFFSET(Report!$Q$116,MATCH($J101,OFFSET(Report!$G$116,1,0,$AJ$19,1),0),0,1,1),0)))</f>
        <v/>
      </c>
      <c r="L101" s="396" t="str">
        <f ca="1">+IF(J101="","",IF($J101="Total",SUM(OFFSET(L101,-1,0,-OFFSET($AF$20,MATCH($D101,OFFSET($AD$20,1,0,$AD$19,1),0),0,1,1)-1,1)),_xlfn.IFNA(OFFSET(Report!$R$196,MATCH($J101,OFFSET(Report!$G$196,1,0,$AJ$19,1),0),0,1,1),0)))</f>
        <v/>
      </c>
      <c r="M101" s="396" t="str">
        <f ca="1">+IF(J101="","",IF($J101="Total",SUM(OFFSET(M101,-1,0,-OFFSET($AF$20,MATCH($D101,OFFSET($AD$20,1,0,$AD$19,1),0),0,1,1)-1,1)),_xlfn.IFNA(OFFSET(Report!$J$352,MATCH($J101,OFFSET(Report!$G$352,1,0,$AJ$19,1),0),0,1,1),0)))</f>
        <v/>
      </c>
      <c r="O101" s="396" t="str">
        <f t="shared" ca="1" si="30"/>
        <v/>
      </c>
      <c r="P101" s="396" t="str">
        <f t="shared" ca="1" si="30"/>
        <v/>
      </c>
      <c r="Q101" s="396" t="str">
        <f t="shared" ca="1" si="30"/>
        <v/>
      </c>
      <c r="T101" s="397" t="str">
        <f ca="1">+IF(J101="","",IF($J101="Total",SUM(OFFSET(T101,-1,0,-OFFSET($AF$20,MATCH($D101,OFFSET($AD$20,1,0,$AD$19,1),0),0,1,1)-1,1)),_xlfn.IFNA(OFFSET(Report!$J$196,MATCH($J101,OFFSET(Report!$G$196,1,0,$AJ$19,1),0),0,1,1),0)))</f>
        <v/>
      </c>
      <c r="U101" s="396" t="str">
        <f t="shared" ca="1" si="31"/>
        <v/>
      </c>
      <c r="AJ101" t="e">
        <f t="shared" si="26"/>
        <v>#N/A</v>
      </c>
      <c r="AK101" t="e">
        <f ca="1"/>
        <v>#N/A</v>
      </c>
      <c r="AL101" t="e">
        <f ca="1"/>
        <v>#N/A</v>
      </c>
      <c r="AM101" t="str">
        <f t="shared" ca="1" si="20"/>
        <v/>
      </c>
      <c r="AN101" t="str">
        <f t="shared" ca="1" si="21"/>
        <v/>
      </c>
      <c r="AO101" t="str">
        <f t="shared" ca="1" si="27"/>
        <v/>
      </c>
      <c r="AP101" t="str">
        <f t="shared" ca="1" si="22"/>
        <v/>
      </c>
    </row>
    <row r="102" spans="1:42" x14ac:dyDescent="0.25">
      <c r="A102" t="str">
        <f t="shared" ca="1" si="28"/>
        <v/>
      </c>
      <c r="B102" t="e">
        <f t="shared" ca="1" si="23"/>
        <v>#N/A</v>
      </c>
      <c r="D102" t="str">
        <f t="shared" ca="1" si="29"/>
        <v/>
      </c>
      <c r="E102" t="str">
        <f t="shared" ca="1" si="24"/>
        <v/>
      </c>
      <c r="G102" s="382" t="str">
        <f t="shared" ca="1" si="19"/>
        <v/>
      </c>
      <c r="J102" s="378" t="str">
        <f t="shared" ca="1" si="25"/>
        <v/>
      </c>
      <c r="K102" s="396" t="str">
        <f ca="1">+IF(J102="","",IF($J102="Total",SUM(OFFSET(K102,-1,0,-OFFSET($AF$20,MATCH($D102,OFFSET($AD$20,1,0,$AD$19,1),0),0,1,1)-1,1)),_xlfn.IFNA(OFFSET(Report!$Q$116,MATCH($J102,OFFSET(Report!$G$116,1,0,$AJ$19,1),0),0,1,1),0)))</f>
        <v/>
      </c>
      <c r="L102" s="396" t="str">
        <f ca="1">+IF(J102="","",IF($J102="Total",SUM(OFFSET(L102,-1,0,-OFFSET($AF$20,MATCH($D102,OFFSET($AD$20,1,0,$AD$19,1),0),0,1,1)-1,1)),_xlfn.IFNA(OFFSET(Report!$R$196,MATCH($J102,OFFSET(Report!$G$196,1,0,$AJ$19,1),0),0,1,1),0)))</f>
        <v/>
      </c>
      <c r="M102" s="396" t="str">
        <f ca="1">+IF(J102="","",IF($J102="Total",SUM(OFFSET(M102,-1,0,-OFFSET($AF$20,MATCH($D102,OFFSET($AD$20,1,0,$AD$19,1),0),0,1,1)-1,1)),_xlfn.IFNA(OFFSET(Report!$J$352,MATCH($J102,OFFSET(Report!$G$352,1,0,$AJ$19,1),0),0,1,1),0)))</f>
        <v/>
      </c>
      <c r="O102" s="396" t="str">
        <f t="shared" ca="1" si="30"/>
        <v/>
      </c>
      <c r="P102" s="396" t="str">
        <f t="shared" ca="1" si="30"/>
        <v/>
      </c>
      <c r="Q102" s="396" t="str">
        <f t="shared" ca="1" si="30"/>
        <v/>
      </c>
      <c r="T102" s="397" t="str">
        <f ca="1">+IF(J102="","",IF($J102="Total",SUM(OFFSET(T102,-1,0,-OFFSET($AF$20,MATCH($D102,OFFSET($AD$20,1,0,$AD$19,1),0),0,1,1)-1,1)),_xlfn.IFNA(OFFSET(Report!$J$196,MATCH($J102,OFFSET(Report!$G$196,1,0,$AJ$19,1),0),0,1,1),0)))</f>
        <v/>
      </c>
      <c r="U102" s="396" t="str">
        <f t="shared" ca="1" si="31"/>
        <v/>
      </c>
      <c r="AJ102" t="e">
        <f t="shared" si="26"/>
        <v>#N/A</v>
      </c>
      <c r="AK102" t="e">
        <f ca="1"/>
        <v>#N/A</v>
      </c>
      <c r="AL102" t="e">
        <f ca="1"/>
        <v>#N/A</v>
      </c>
      <c r="AM102" t="str">
        <f t="shared" ca="1" si="20"/>
        <v/>
      </c>
      <c r="AN102" t="str">
        <f t="shared" ca="1" si="21"/>
        <v/>
      </c>
      <c r="AO102" t="str">
        <f t="shared" ca="1" si="27"/>
        <v/>
      </c>
      <c r="AP102" t="str">
        <f t="shared" ca="1" si="22"/>
        <v/>
      </c>
    </row>
    <row r="103" spans="1:42" x14ac:dyDescent="0.25">
      <c r="A103" t="str">
        <f t="shared" ca="1" si="28"/>
        <v/>
      </c>
      <c r="B103" t="e">
        <f t="shared" ca="1" si="23"/>
        <v>#N/A</v>
      </c>
      <c r="D103" t="str">
        <f t="shared" ca="1" si="29"/>
        <v/>
      </c>
      <c r="E103" t="str">
        <f t="shared" ca="1" si="24"/>
        <v/>
      </c>
      <c r="G103" s="382" t="str">
        <f t="shared" ca="1" si="19"/>
        <v/>
      </c>
      <c r="J103" s="378" t="str">
        <f t="shared" ca="1" si="25"/>
        <v/>
      </c>
      <c r="K103" s="396" t="str">
        <f ca="1">+IF(J103="","",IF($J103="Total",SUM(OFFSET(K103,-1,0,-OFFSET($AF$20,MATCH($D103,OFFSET($AD$20,1,0,$AD$19,1),0),0,1,1)-1,1)),_xlfn.IFNA(OFFSET(Report!$Q$116,MATCH($J103,OFFSET(Report!$G$116,1,0,$AJ$19,1),0),0,1,1),0)))</f>
        <v/>
      </c>
      <c r="L103" s="396" t="str">
        <f ca="1">+IF(J103="","",IF($J103="Total",SUM(OFFSET(L103,-1,0,-OFFSET($AF$20,MATCH($D103,OFFSET($AD$20,1,0,$AD$19,1),0),0,1,1)-1,1)),_xlfn.IFNA(OFFSET(Report!$R$196,MATCH($J103,OFFSET(Report!$G$196,1,0,$AJ$19,1),0),0,1,1),0)))</f>
        <v/>
      </c>
      <c r="M103" s="396" t="str">
        <f ca="1">+IF(J103="","",IF($J103="Total",SUM(OFFSET(M103,-1,0,-OFFSET($AF$20,MATCH($D103,OFFSET($AD$20,1,0,$AD$19,1),0),0,1,1)-1,1)),_xlfn.IFNA(OFFSET(Report!$J$352,MATCH($J103,OFFSET(Report!$G$352,1,0,$AJ$19,1),0),0,1,1),0)))</f>
        <v/>
      </c>
      <c r="O103" s="396" t="str">
        <f t="shared" ca="1" si="30"/>
        <v/>
      </c>
      <c r="P103" s="396" t="str">
        <f t="shared" ca="1" si="30"/>
        <v/>
      </c>
      <c r="Q103" s="396" t="str">
        <f t="shared" ca="1" si="30"/>
        <v/>
      </c>
      <c r="T103" s="397" t="str">
        <f ca="1">+IF(J103="","",IF($J103="Total",SUM(OFFSET(T103,-1,0,-OFFSET($AF$20,MATCH($D103,OFFSET($AD$20,1,0,$AD$19,1),0),0,1,1)-1,1)),_xlfn.IFNA(OFFSET(Report!$J$196,MATCH($J103,OFFSET(Report!$G$196,1,0,$AJ$19,1),0),0,1,1),0)))</f>
        <v/>
      </c>
      <c r="U103" s="396" t="str">
        <f t="shared" ca="1" si="31"/>
        <v/>
      </c>
      <c r="AJ103" t="e">
        <f t="shared" si="26"/>
        <v>#N/A</v>
      </c>
      <c r="AK103" t="e">
        <f ca="1"/>
        <v>#N/A</v>
      </c>
      <c r="AL103" t="e">
        <f ca="1"/>
        <v>#N/A</v>
      </c>
      <c r="AM103" t="str">
        <f t="shared" ca="1" si="20"/>
        <v/>
      </c>
      <c r="AN103" t="str">
        <f t="shared" ca="1" si="21"/>
        <v/>
      </c>
      <c r="AO103" t="str">
        <f t="shared" ca="1" si="27"/>
        <v/>
      </c>
      <c r="AP103" t="str">
        <f t="shared" ca="1" si="22"/>
        <v/>
      </c>
    </row>
    <row r="104" spans="1:42" x14ac:dyDescent="0.25">
      <c r="A104" t="str">
        <f t="shared" ca="1" si="28"/>
        <v/>
      </c>
      <c r="B104" t="e">
        <f t="shared" ca="1" si="23"/>
        <v>#N/A</v>
      </c>
      <c r="D104" t="str">
        <f t="shared" ca="1" si="29"/>
        <v/>
      </c>
      <c r="E104" t="str">
        <f t="shared" ca="1" si="24"/>
        <v/>
      </c>
      <c r="G104" s="382" t="str">
        <f t="shared" ca="1" si="19"/>
        <v/>
      </c>
      <c r="J104" s="378" t="str">
        <f t="shared" ca="1" si="25"/>
        <v/>
      </c>
      <c r="K104" s="396" t="str">
        <f ca="1">+IF(J104="","",IF($J104="Total",SUM(OFFSET(K104,-1,0,-OFFSET($AF$20,MATCH($D104,OFFSET($AD$20,1,0,$AD$19,1),0),0,1,1)-1,1)),_xlfn.IFNA(OFFSET(Report!$Q$116,MATCH($J104,OFFSET(Report!$G$116,1,0,$AJ$19,1),0),0,1,1),0)))</f>
        <v/>
      </c>
      <c r="L104" s="396" t="str">
        <f ca="1">+IF(J104="","",IF($J104="Total",SUM(OFFSET(L104,-1,0,-OFFSET($AF$20,MATCH($D104,OFFSET($AD$20,1,0,$AD$19,1),0),0,1,1)-1,1)),_xlfn.IFNA(OFFSET(Report!$R$196,MATCH($J104,OFFSET(Report!$G$196,1,0,$AJ$19,1),0),0,1,1),0)))</f>
        <v/>
      </c>
      <c r="M104" s="396" t="str">
        <f ca="1">+IF(J104="","",IF($J104="Total",SUM(OFFSET(M104,-1,0,-OFFSET($AF$20,MATCH($D104,OFFSET($AD$20,1,0,$AD$19,1),0),0,1,1)-1,1)),_xlfn.IFNA(OFFSET(Report!$J$352,MATCH($J104,OFFSET(Report!$G$352,1,0,$AJ$19,1),0),0,1,1),0)))</f>
        <v/>
      </c>
      <c r="O104" s="396" t="str">
        <f t="shared" ca="1" si="30"/>
        <v/>
      </c>
      <c r="P104" s="396" t="str">
        <f t="shared" ca="1" si="30"/>
        <v/>
      </c>
      <c r="Q104" s="396" t="str">
        <f t="shared" ca="1" si="30"/>
        <v/>
      </c>
      <c r="T104" s="397" t="str">
        <f ca="1">+IF(J104="","",IF($J104="Total",SUM(OFFSET(T104,-1,0,-OFFSET($AF$20,MATCH($D104,OFFSET($AD$20,1,0,$AD$19,1),0),0,1,1)-1,1)),_xlfn.IFNA(OFFSET(Report!$J$196,MATCH($J104,OFFSET(Report!$G$196,1,0,$AJ$19,1),0),0,1,1),0)))</f>
        <v/>
      </c>
      <c r="U104" s="396" t="str">
        <f t="shared" ca="1" si="31"/>
        <v/>
      </c>
      <c r="AJ104" t="e">
        <f t="shared" si="26"/>
        <v>#N/A</v>
      </c>
      <c r="AK104" t="e">
        <f ca="1"/>
        <v>#N/A</v>
      </c>
      <c r="AL104" t="e">
        <f ca="1"/>
        <v>#N/A</v>
      </c>
      <c r="AM104" t="str">
        <f t="shared" ca="1" si="20"/>
        <v/>
      </c>
      <c r="AN104" t="str">
        <f t="shared" ca="1" si="21"/>
        <v/>
      </c>
      <c r="AO104" t="str">
        <f t="shared" ca="1" si="27"/>
        <v/>
      </c>
      <c r="AP104" t="str">
        <f t="shared" ca="1" si="22"/>
        <v/>
      </c>
    </row>
    <row r="105" spans="1:42" x14ac:dyDescent="0.25">
      <c r="A105" t="str">
        <f t="shared" ca="1" si="28"/>
        <v/>
      </c>
      <c r="B105" t="e">
        <f t="shared" ca="1" si="23"/>
        <v>#N/A</v>
      </c>
      <c r="D105" t="str">
        <f t="shared" ca="1" si="29"/>
        <v/>
      </c>
      <c r="E105" t="str">
        <f t="shared" ca="1" si="24"/>
        <v/>
      </c>
      <c r="G105" s="382" t="str">
        <f t="shared" ca="1" si="19"/>
        <v/>
      </c>
      <c r="J105" s="378" t="str">
        <f t="shared" ca="1" si="25"/>
        <v/>
      </c>
      <c r="K105" s="396" t="str">
        <f ca="1">+IF(J105="","",IF($J105="Total",SUM(OFFSET(K105,-1,0,-OFFSET($AF$20,MATCH($D105,OFFSET($AD$20,1,0,$AD$19,1),0),0,1,1)-1,1)),_xlfn.IFNA(OFFSET(Report!$Q$116,MATCH($J105,OFFSET(Report!$G$116,1,0,$AJ$19,1),0),0,1,1),0)))</f>
        <v/>
      </c>
      <c r="L105" s="396" t="str">
        <f ca="1">+IF(J105="","",IF($J105="Total",SUM(OFFSET(L105,-1,0,-OFFSET($AF$20,MATCH($D105,OFFSET($AD$20,1,0,$AD$19,1),0),0,1,1)-1,1)),_xlfn.IFNA(OFFSET(Report!$R$196,MATCH($J105,OFFSET(Report!$G$196,1,0,$AJ$19,1),0),0,1,1),0)))</f>
        <v/>
      </c>
      <c r="M105" s="396" t="str">
        <f ca="1">+IF(J105="","",IF($J105="Total",SUM(OFFSET(M105,-1,0,-OFFSET($AF$20,MATCH($D105,OFFSET($AD$20,1,0,$AD$19,1),0),0,1,1)-1,1)),_xlfn.IFNA(OFFSET(Report!$J$352,MATCH($J105,OFFSET(Report!$G$352,1,0,$AJ$19,1),0),0,1,1),0)))</f>
        <v/>
      </c>
      <c r="O105" s="396" t="str">
        <f t="shared" ca="1" si="30"/>
        <v/>
      </c>
      <c r="P105" s="396" t="str">
        <f t="shared" ca="1" si="30"/>
        <v/>
      </c>
      <c r="Q105" s="396" t="str">
        <f t="shared" ca="1" si="30"/>
        <v/>
      </c>
      <c r="T105" s="397" t="str">
        <f ca="1">+IF(J105="","",IF($J105="Total",SUM(OFFSET(T105,-1,0,-OFFSET($AF$20,MATCH($D105,OFFSET($AD$20,1,0,$AD$19,1),0),0,1,1)-1,1)),_xlfn.IFNA(OFFSET(Report!$J$196,MATCH($J105,OFFSET(Report!$G$196,1,0,$AJ$19,1),0),0,1,1),0)))</f>
        <v/>
      </c>
      <c r="U105" s="396" t="str">
        <f t="shared" ca="1" si="31"/>
        <v/>
      </c>
      <c r="AJ105" t="e">
        <f t="shared" si="26"/>
        <v>#N/A</v>
      </c>
      <c r="AK105" t="e">
        <f ca="1"/>
        <v>#N/A</v>
      </c>
      <c r="AL105" t="e">
        <f ca="1"/>
        <v>#N/A</v>
      </c>
      <c r="AM105" t="str">
        <f t="shared" ca="1" si="20"/>
        <v/>
      </c>
      <c r="AN105" t="str">
        <f t="shared" ca="1" si="21"/>
        <v/>
      </c>
      <c r="AO105" t="str">
        <f t="shared" ca="1" si="27"/>
        <v/>
      </c>
      <c r="AP105" t="str">
        <f t="shared" ca="1" si="22"/>
        <v/>
      </c>
    </row>
    <row r="106" spans="1:42" x14ac:dyDescent="0.25">
      <c r="A106" t="str">
        <f t="shared" ca="1" si="28"/>
        <v/>
      </c>
      <c r="B106" t="e">
        <f t="shared" ca="1" si="23"/>
        <v>#N/A</v>
      </c>
      <c r="D106" t="str">
        <f t="shared" ca="1" si="29"/>
        <v/>
      </c>
      <c r="E106" t="str">
        <f t="shared" ca="1" si="24"/>
        <v/>
      </c>
      <c r="G106" s="382" t="str">
        <f t="shared" ca="1" si="19"/>
        <v/>
      </c>
      <c r="J106" s="378" t="str">
        <f t="shared" ca="1" si="25"/>
        <v/>
      </c>
      <c r="K106" s="396" t="str">
        <f ca="1">+IF(J106="","",IF($J106="Total",SUM(OFFSET(K106,-1,0,-OFFSET($AF$20,MATCH($D106,OFFSET($AD$20,1,0,$AD$19,1),0),0,1,1)-1,1)),_xlfn.IFNA(OFFSET(Report!$Q$116,MATCH($J106,OFFSET(Report!$G$116,1,0,$AJ$19,1),0),0,1,1),0)))</f>
        <v/>
      </c>
      <c r="L106" s="396" t="str">
        <f ca="1">+IF(J106="","",IF($J106="Total",SUM(OFFSET(L106,-1,0,-OFFSET($AF$20,MATCH($D106,OFFSET($AD$20,1,0,$AD$19,1),0),0,1,1)-1,1)),_xlfn.IFNA(OFFSET(Report!$R$196,MATCH($J106,OFFSET(Report!$G$196,1,0,$AJ$19,1),0),0,1,1),0)))</f>
        <v/>
      </c>
      <c r="M106" s="396" t="str">
        <f ca="1">+IF(J106="","",IF($J106="Total",SUM(OFFSET(M106,-1,0,-OFFSET($AF$20,MATCH($D106,OFFSET($AD$20,1,0,$AD$19,1),0),0,1,1)-1,1)),_xlfn.IFNA(OFFSET(Report!$J$352,MATCH($J106,OFFSET(Report!$G$352,1,0,$AJ$19,1),0),0,1,1),0)))</f>
        <v/>
      </c>
      <c r="O106" s="396" t="str">
        <f t="shared" ca="1" si="30"/>
        <v/>
      </c>
      <c r="P106" s="396" t="str">
        <f t="shared" ca="1" si="30"/>
        <v/>
      </c>
      <c r="Q106" s="396" t="str">
        <f t="shared" ca="1" si="30"/>
        <v/>
      </c>
      <c r="T106" s="397" t="str">
        <f ca="1">+IF(J106="","",IF($J106="Total",SUM(OFFSET(T106,-1,0,-OFFSET($AF$20,MATCH($D106,OFFSET($AD$20,1,0,$AD$19,1),0),0,1,1)-1,1)),_xlfn.IFNA(OFFSET(Report!$J$196,MATCH($J106,OFFSET(Report!$G$196,1,0,$AJ$19,1),0),0,1,1),0)))</f>
        <v/>
      </c>
      <c r="U106" s="396" t="str">
        <f t="shared" ca="1" si="31"/>
        <v/>
      </c>
      <c r="AJ106" t="e">
        <f t="shared" si="26"/>
        <v>#N/A</v>
      </c>
      <c r="AK106" t="e">
        <f ca="1"/>
        <v>#N/A</v>
      </c>
      <c r="AL106" t="e">
        <f ca="1"/>
        <v>#N/A</v>
      </c>
      <c r="AM106" t="str">
        <f t="shared" ca="1" si="20"/>
        <v/>
      </c>
      <c r="AN106" t="str">
        <f t="shared" ca="1" si="21"/>
        <v/>
      </c>
      <c r="AO106" t="str">
        <f t="shared" ca="1" si="27"/>
        <v/>
      </c>
      <c r="AP106" t="str">
        <f t="shared" ca="1" si="22"/>
        <v/>
      </c>
    </row>
    <row r="107" spans="1:42" x14ac:dyDescent="0.25">
      <c r="A107" t="str">
        <f t="shared" ca="1" si="28"/>
        <v/>
      </c>
      <c r="B107" t="e">
        <f t="shared" ca="1" si="23"/>
        <v>#N/A</v>
      </c>
      <c r="D107" t="str">
        <f t="shared" ca="1" si="29"/>
        <v/>
      </c>
      <c r="E107" t="str">
        <f t="shared" ca="1" si="24"/>
        <v/>
      </c>
      <c r="G107" s="382" t="str">
        <f t="shared" ca="1" si="19"/>
        <v/>
      </c>
      <c r="J107" s="378" t="str">
        <f t="shared" ca="1" si="25"/>
        <v/>
      </c>
      <c r="K107" s="396" t="str">
        <f ca="1">+IF(J107="","",IF($J107="Total",SUM(OFFSET(K107,-1,0,-OFFSET($AF$20,MATCH($D107,OFFSET($AD$20,1,0,$AD$19,1),0),0,1,1)-1,1)),_xlfn.IFNA(OFFSET(Report!$Q$116,MATCH($J107,OFFSET(Report!$G$116,1,0,$AJ$19,1),0),0,1,1),0)))</f>
        <v/>
      </c>
      <c r="L107" s="396" t="str">
        <f ca="1">+IF(J107="","",IF($J107="Total",SUM(OFFSET(L107,-1,0,-OFFSET($AF$20,MATCH($D107,OFFSET($AD$20,1,0,$AD$19,1),0),0,1,1)-1,1)),_xlfn.IFNA(OFFSET(Report!$R$196,MATCH($J107,OFFSET(Report!$G$196,1,0,$AJ$19,1),0),0,1,1),0)))</f>
        <v/>
      </c>
      <c r="M107" s="396" t="str">
        <f ca="1">+IF(J107="","",IF($J107="Total",SUM(OFFSET(M107,-1,0,-OFFSET($AF$20,MATCH($D107,OFFSET($AD$20,1,0,$AD$19,1),0),0,1,1)-1,1)),_xlfn.IFNA(OFFSET(Report!$J$352,MATCH($J107,OFFSET(Report!$G$352,1,0,$AJ$19,1),0),0,1,1),0)))</f>
        <v/>
      </c>
      <c r="O107" s="396" t="str">
        <f t="shared" ca="1" si="30"/>
        <v/>
      </c>
      <c r="P107" s="396" t="str">
        <f t="shared" ca="1" si="30"/>
        <v/>
      </c>
      <c r="Q107" s="396" t="str">
        <f t="shared" ca="1" si="30"/>
        <v/>
      </c>
      <c r="T107" s="397" t="str">
        <f ca="1">+IF(J107="","",IF($J107="Total",SUM(OFFSET(T107,-1,0,-OFFSET($AF$20,MATCH($D107,OFFSET($AD$20,1,0,$AD$19,1),0),0,1,1)-1,1)),_xlfn.IFNA(OFFSET(Report!$J$196,MATCH($J107,OFFSET(Report!$G$196,1,0,$AJ$19,1),0),0,1,1),0)))</f>
        <v/>
      </c>
      <c r="U107" s="396" t="str">
        <f t="shared" ca="1" si="31"/>
        <v/>
      </c>
      <c r="AJ107" t="e">
        <f t="shared" si="26"/>
        <v>#N/A</v>
      </c>
      <c r="AK107" t="e">
        <f ca="1"/>
        <v>#N/A</v>
      </c>
      <c r="AL107" t="e">
        <f ca="1"/>
        <v>#N/A</v>
      </c>
      <c r="AM107" t="str">
        <f t="shared" ca="1" si="20"/>
        <v/>
      </c>
      <c r="AN107" t="str">
        <f t="shared" ca="1" si="21"/>
        <v/>
      </c>
      <c r="AO107" t="str">
        <f t="shared" ca="1" si="27"/>
        <v/>
      </c>
      <c r="AP107" t="str">
        <f t="shared" ca="1" si="22"/>
        <v/>
      </c>
    </row>
    <row r="108" spans="1:42" x14ac:dyDescent="0.25">
      <c r="A108" t="str">
        <f t="shared" ca="1" si="28"/>
        <v/>
      </c>
      <c r="B108" t="e">
        <f t="shared" ca="1" si="23"/>
        <v>#N/A</v>
      </c>
      <c r="D108" t="str">
        <f t="shared" ca="1" si="29"/>
        <v/>
      </c>
      <c r="E108" t="str">
        <f t="shared" ca="1" si="24"/>
        <v/>
      </c>
      <c r="G108" s="382" t="str">
        <f t="shared" ca="1" si="19"/>
        <v/>
      </c>
      <c r="J108" s="378" t="str">
        <f t="shared" ca="1" si="25"/>
        <v/>
      </c>
      <c r="K108" s="396" t="str">
        <f ca="1">+IF(J108="","",IF($J108="Total",SUM(OFFSET(K108,-1,0,-OFFSET($AF$20,MATCH($D108,OFFSET($AD$20,1,0,$AD$19,1),0),0,1,1)-1,1)),_xlfn.IFNA(OFFSET(Report!$Q$116,MATCH($J108,OFFSET(Report!$G$116,1,0,$AJ$19,1),0),0,1,1),0)))</f>
        <v/>
      </c>
      <c r="L108" s="396" t="str">
        <f ca="1">+IF(J108="","",IF($J108="Total",SUM(OFFSET(L108,-1,0,-OFFSET($AF$20,MATCH($D108,OFFSET($AD$20,1,0,$AD$19,1),0),0,1,1)-1,1)),_xlfn.IFNA(OFFSET(Report!$R$196,MATCH($J108,OFFSET(Report!$G$196,1,0,$AJ$19,1),0),0,1,1),0)))</f>
        <v/>
      </c>
      <c r="M108" s="396" t="str">
        <f ca="1">+IF(J108="","",IF($J108="Total",SUM(OFFSET(M108,-1,0,-OFFSET($AF$20,MATCH($D108,OFFSET($AD$20,1,0,$AD$19,1),0),0,1,1)-1,1)),_xlfn.IFNA(OFFSET(Report!$J$352,MATCH($J108,OFFSET(Report!$G$352,1,0,$AJ$19,1),0),0,1,1),0)))</f>
        <v/>
      </c>
      <c r="O108" s="396" t="str">
        <f t="shared" ca="1" si="30"/>
        <v/>
      </c>
      <c r="P108" s="396" t="str">
        <f t="shared" ca="1" si="30"/>
        <v/>
      </c>
      <c r="Q108" s="396" t="str">
        <f t="shared" ca="1" si="30"/>
        <v/>
      </c>
      <c r="T108" s="397" t="str">
        <f ca="1">+IF(J108="","",IF($J108="Total",SUM(OFFSET(T108,-1,0,-OFFSET($AF$20,MATCH($D108,OFFSET($AD$20,1,0,$AD$19,1),0),0,1,1)-1,1)),_xlfn.IFNA(OFFSET(Report!$J$196,MATCH($J108,OFFSET(Report!$G$196,1,0,$AJ$19,1),0),0,1,1),0)))</f>
        <v/>
      </c>
      <c r="U108" s="396" t="str">
        <f t="shared" ca="1" si="31"/>
        <v/>
      </c>
      <c r="AJ108" t="e">
        <f t="shared" si="26"/>
        <v>#N/A</v>
      </c>
      <c r="AK108" t="e">
        <f ca="1"/>
        <v>#N/A</v>
      </c>
      <c r="AL108" t="e">
        <f ca="1"/>
        <v>#N/A</v>
      </c>
      <c r="AM108" t="str">
        <f t="shared" ca="1" si="20"/>
        <v/>
      </c>
      <c r="AN108" t="str">
        <f t="shared" ca="1" si="21"/>
        <v/>
      </c>
      <c r="AO108" t="str">
        <f t="shared" ca="1" si="27"/>
        <v/>
      </c>
      <c r="AP108" t="str">
        <f t="shared" ca="1" si="22"/>
        <v/>
      </c>
    </row>
    <row r="109" spans="1:42" x14ac:dyDescent="0.25">
      <c r="A109" t="str">
        <f t="shared" ca="1" si="28"/>
        <v/>
      </c>
      <c r="B109" t="e">
        <f t="shared" ca="1" si="23"/>
        <v>#N/A</v>
      </c>
      <c r="D109" t="str">
        <f t="shared" ca="1" si="29"/>
        <v/>
      </c>
      <c r="E109" t="str">
        <f t="shared" ca="1" si="24"/>
        <v/>
      </c>
      <c r="G109" s="382" t="str">
        <f t="shared" ca="1" si="19"/>
        <v/>
      </c>
      <c r="J109" s="378" t="str">
        <f t="shared" ca="1" si="25"/>
        <v/>
      </c>
      <c r="K109" s="396" t="str">
        <f ca="1">+IF(J109="","",IF($J109="Total",SUM(OFFSET(K109,-1,0,-OFFSET($AF$20,MATCH($D109,OFFSET($AD$20,1,0,$AD$19,1),0),0,1,1)-1,1)),_xlfn.IFNA(OFFSET(Report!$Q$116,MATCH($J109,OFFSET(Report!$G$116,1,0,$AJ$19,1),0),0,1,1),0)))</f>
        <v/>
      </c>
      <c r="L109" s="396" t="str">
        <f ca="1">+IF(J109="","",IF($J109="Total",SUM(OFFSET(L109,-1,0,-OFFSET($AF$20,MATCH($D109,OFFSET($AD$20,1,0,$AD$19,1),0),0,1,1)-1,1)),_xlfn.IFNA(OFFSET(Report!$R$196,MATCH($J109,OFFSET(Report!$G$196,1,0,$AJ$19,1),0),0,1,1),0)))</f>
        <v/>
      </c>
      <c r="M109" s="396" t="str">
        <f ca="1">+IF(J109="","",IF($J109="Total",SUM(OFFSET(M109,-1,0,-OFFSET($AF$20,MATCH($D109,OFFSET($AD$20,1,0,$AD$19,1),0),0,1,1)-1,1)),_xlfn.IFNA(OFFSET(Report!$J$352,MATCH($J109,OFFSET(Report!$G$352,1,0,$AJ$19,1),0),0,1,1),0)))</f>
        <v/>
      </c>
      <c r="O109" s="396" t="str">
        <f t="shared" ca="1" si="30"/>
        <v/>
      </c>
      <c r="P109" s="396" t="str">
        <f t="shared" ca="1" si="30"/>
        <v/>
      </c>
      <c r="Q109" s="396" t="str">
        <f t="shared" ca="1" si="30"/>
        <v/>
      </c>
      <c r="T109" s="397" t="str">
        <f ca="1">+IF(J109="","",IF($J109="Total",SUM(OFFSET(T109,-1,0,-OFFSET($AF$20,MATCH($D109,OFFSET($AD$20,1,0,$AD$19,1),0),0,1,1)-1,1)),_xlfn.IFNA(OFFSET(Report!$J$196,MATCH($J109,OFFSET(Report!$G$196,1,0,$AJ$19,1),0),0,1,1),0)))</f>
        <v/>
      </c>
      <c r="U109" s="396" t="str">
        <f t="shared" ca="1" si="31"/>
        <v/>
      </c>
      <c r="AJ109" t="e">
        <f t="shared" si="26"/>
        <v>#N/A</v>
      </c>
      <c r="AK109" t="e">
        <f ca="1"/>
        <v>#N/A</v>
      </c>
      <c r="AL109" t="e">
        <f ca="1"/>
        <v>#N/A</v>
      </c>
      <c r="AM109" t="str">
        <f t="shared" ca="1" si="20"/>
        <v/>
      </c>
      <c r="AN109" t="str">
        <f t="shared" ca="1" si="21"/>
        <v/>
      </c>
      <c r="AO109" t="str">
        <f t="shared" ca="1" si="27"/>
        <v/>
      </c>
      <c r="AP109" t="str">
        <f t="shared" ca="1" si="22"/>
        <v/>
      </c>
    </row>
    <row r="110" spans="1:42" x14ac:dyDescent="0.25">
      <c r="A110" t="str">
        <f t="shared" ca="1" si="28"/>
        <v/>
      </c>
      <c r="B110" t="e">
        <f t="shared" ca="1" si="23"/>
        <v>#N/A</v>
      </c>
      <c r="D110" t="str">
        <f t="shared" ca="1" si="29"/>
        <v/>
      </c>
      <c r="E110" t="str">
        <f t="shared" ca="1" si="24"/>
        <v/>
      </c>
      <c r="G110" s="382" t="str">
        <f t="shared" ca="1" si="19"/>
        <v/>
      </c>
      <c r="J110" s="378" t="str">
        <f t="shared" ca="1" si="25"/>
        <v/>
      </c>
      <c r="K110" s="396" t="str">
        <f ca="1">+IF(J110="","",IF($J110="Total",SUM(OFFSET(K110,-1,0,-OFFSET($AF$20,MATCH($D110,OFFSET($AD$20,1,0,$AD$19,1),0),0,1,1)-1,1)),_xlfn.IFNA(OFFSET(Report!$Q$116,MATCH($J110,OFFSET(Report!$G$116,1,0,$AJ$19,1),0),0,1,1),0)))</f>
        <v/>
      </c>
      <c r="L110" s="396" t="str">
        <f ca="1">+IF(J110="","",IF($J110="Total",SUM(OFFSET(L110,-1,0,-OFFSET($AF$20,MATCH($D110,OFFSET($AD$20,1,0,$AD$19,1),0),0,1,1)-1,1)),_xlfn.IFNA(OFFSET(Report!$R$196,MATCH($J110,OFFSET(Report!$G$196,1,0,$AJ$19,1),0),0,1,1),0)))</f>
        <v/>
      </c>
      <c r="M110" s="396" t="str">
        <f ca="1">+IF(J110="","",IF($J110="Total",SUM(OFFSET(M110,-1,0,-OFFSET($AF$20,MATCH($D110,OFFSET($AD$20,1,0,$AD$19,1),0),0,1,1)-1,1)),_xlfn.IFNA(OFFSET(Report!$J$352,MATCH($J110,OFFSET(Report!$G$352,1,0,$AJ$19,1),0),0,1,1),0)))</f>
        <v/>
      </c>
      <c r="O110" s="396" t="str">
        <f t="shared" ca="1" si="30"/>
        <v/>
      </c>
      <c r="P110" s="396" t="str">
        <f t="shared" ca="1" si="30"/>
        <v/>
      </c>
      <c r="Q110" s="396" t="str">
        <f t="shared" ca="1" si="30"/>
        <v/>
      </c>
      <c r="T110" s="397" t="str">
        <f ca="1">+IF(J110="","",IF($J110="Total",SUM(OFFSET(T110,-1,0,-OFFSET($AF$20,MATCH($D110,OFFSET($AD$20,1,0,$AD$19,1),0),0,1,1)-1,1)),_xlfn.IFNA(OFFSET(Report!$J$196,MATCH($J110,OFFSET(Report!$G$196,1,0,$AJ$19,1),0),0,1,1),0)))</f>
        <v/>
      </c>
      <c r="U110" s="396" t="str">
        <f t="shared" ca="1" si="31"/>
        <v/>
      </c>
      <c r="AJ110" t="e">
        <f t="shared" si="26"/>
        <v>#N/A</v>
      </c>
      <c r="AK110" t="e">
        <f ca="1"/>
        <v>#N/A</v>
      </c>
      <c r="AL110" t="e">
        <f ca="1"/>
        <v>#N/A</v>
      </c>
      <c r="AM110" t="str">
        <f t="shared" ca="1" si="20"/>
        <v/>
      </c>
      <c r="AN110" t="str">
        <f t="shared" ca="1" si="21"/>
        <v/>
      </c>
      <c r="AO110" t="str">
        <f t="shared" ca="1" si="27"/>
        <v/>
      </c>
      <c r="AP110" t="str">
        <f t="shared" ca="1" si="22"/>
        <v/>
      </c>
    </row>
    <row r="111" spans="1:42" x14ac:dyDescent="0.25">
      <c r="A111" t="str">
        <f t="shared" ca="1" si="28"/>
        <v/>
      </c>
      <c r="B111" t="e">
        <f t="shared" ca="1" si="23"/>
        <v>#N/A</v>
      </c>
      <c r="D111" t="str">
        <f t="shared" ca="1" si="29"/>
        <v/>
      </c>
      <c r="E111" t="str">
        <f t="shared" ca="1" si="24"/>
        <v/>
      </c>
      <c r="G111" s="382" t="str">
        <f t="shared" ca="1" si="19"/>
        <v/>
      </c>
      <c r="J111" s="378" t="str">
        <f t="shared" ca="1" si="25"/>
        <v/>
      </c>
      <c r="K111" s="396" t="str">
        <f ca="1">+IF(J111="","",IF($J111="Total",SUM(OFFSET(K111,-1,0,-OFFSET($AF$20,MATCH($D111,OFFSET($AD$20,1,0,$AD$19,1),0),0,1,1)-1,1)),_xlfn.IFNA(OFFSET(Report!$Q$116,MATCH($J111,OFFSET(Report!$G$116,1,0,$AJ$19,1),0),0,1,1),0)))</f>
        <v/>
      </c>
      <c r="L111" s="396" t="str">
        <f ca="1">+IF(J111="","",IF($J111="Total",SUM(OFFSET(L111,-1,0,-OFFSET($AF$20,MATCH($D111,OFFSET($AD$20,1,0,$AD$19,1),0),0,1,1)-1,1)),_xlfn.IFNA(OFFSET(Report!$R$196,MATCH($J111,OFFSET(Report!$G$196,1,0,$AJ$19,1),0),0,1,1),0)))</f>
        <v/>
      </c>
      <c r="M111" s="396" t="str">
        <f ca="1">+IF(J111="","",IF($J111="Total",SUM(OFFSET(M111,-1,0,-OFFSET($AF$20,MATCH($D111,OFFSET($AD$20,1,0,$AD$19,1),0),0,1,1)-1,1)),_xlfn.IFNA(OFFSET(Report!$J$352,MATCH($J111,OFFSET(Report!$G$352,1,0,$AJ$19,1),0),0,1,1),0)))</f>
        <v/>
      </c>
      <c r="O111" s="396" t="str">
        <f t="shared" ca="1" si="30"/>
        <v/>
      </c>
      <c r="P111" s="396" t="str">
        <f t="shared" ca="1" si="30"/>
        <v/>
      </c>
      <c r="Q111" s="396" t="str">
        <f t="shared" ca="1" si="30"/>
        <v/>
      </c>
      <c r="T111" s="397" t="str">
        <f ca="1">+IF(J111="","",IF($J111="Total",SUM(OFFSET(T111,-1,0,-OFFSET($AF$20,MATCH($D111,OFFSET($AD$20,1,0,$AD$19,1),0),0,1,1)-1,1)),_xlfn.IFNA(OFFSET(Report!$J$196,MATCH($J111,OFFSET(Report!$G$196,1,0,$AJ$19,1),0),0,1,1),0)))</f>
        <v/>
      </c>
      <c r="U111" s="396" t="str">
        <f t="shared" ca="1" si="31"/>
        <v/>
      </c>
      <c r="AJ111" t="e">
        <f t="shared" si="26"/>
        <v>#N/A</v>
      </c>
      <c r="AK111" t="e">
        <f ca="1"/>
        <v>#N/A</v>
      </c>
      <c r="AL111" t="e">
        <f ca="1"/>
        <v>#N/A</v>
      </c>
      <c r="AM111" t="str">
        <f t="shared" ca="1" si="20"/>
        <v/>
      </c>
      <c r="AN111" t="str">
        <f t="shared" ca="1" si="21"/>
        <v/>
      </c>
      <c r="AO111" t="str">
        <f t="shared" ca="1" si="27"/>
        <v/>
      </c>
      <c r="AP111" t="str">
        <f t="shared" ca="1" si="22"/>
        <v/>
      </c>
    </row>
    <row r="112" spans="1:42" x14ac:dyDescent="0.25">
      <c r="A112" t="str">
        <f t="shared" ca="1" si="28"/>
        <v/>
      </c>
      <c r="B112" t="e">
        <f t="shared" ca="1" si="23"/>
        <v>#N/A</v>
      </c>
      <c r="D112" t="str">
        <f t="shared" ca="1" si="29"/>
        <v/>
      </c>
      <c r="E112" t="str">
        <f t="shared" ca="1" si="24"/>
        <v/>
      </c>
      <c r="G112" s="382" t="str">
        <f t="shared" ca="1" si="19"/>
        <v/>
      </c>
      <c r="J112" s="378" t="str">
        <f t="shared" ca="1" si="25"/>
        <v/>
      </c>
      <c r="K112" s="396" t="str">
        <f ca="1">+IF(J112="","",IF($J112="Total",SUM(OFFSET(K112,-1,0,-OFFSET($AF$20,MATCH($D112,OFFSET($AD$20,1,0,$AD$19,1),0),0,1,1)-1,1)),_xlfn.IFNA(OFFSET(Report!$Q$116,MATCH($J112,OFFSET(Report!$G$116,1,0,$AJ$19,1),0),0,1,1),0)))</f>
        <v/>
      </c>
      <c r="L112" s="396" t="str">
        <f ca="1">+IF(J112="","",IF($J112="Total",SUM(OFFSET(L112,-1,0,-OFFSET($AF$20,MATCH($D112,OFFSET($AD$20,1,0,$AD$19,1),0),0,1,1)-1,1)),_xlfn.IFNA(OFFSET(Report!$R$196,MATCH($J112,OFFSET(Report!$G$196,1,0,$AJ$19,1),0),0,1,1),0)))</f>
        <v/>
      </c>
      <c r="M112" s="396" t="str">
        <f ca="1">+IF(J112="","",IF($J112="Total",SUM(OFFSET(M112,-1,0,-OFFSET($AF$20,MATCH($D112,OFFSET($AD$20,1,0,$AD$19,1),0),0,1,1)-1,1)),_xlfn.IFNA(OFFSET(Report!$J$352,MATCH($J112,OFFSET(Report!$G$352,1,0,$AJ$19,1),0),0,1,1),0)))</f>
        <v/>
      </c>
      <c r="O112" s="396" t="str">
        <f t="shared" ca="1" si="30"/>
        <v/>
      </c>
      <c r="P112" s="396" t="str">
        <f t="shared" ca="1" si="30"/>
        <v/>
      </c>
      <c r="Q112" s="396" t="str">
        <f t="shared" ca="1" si="30"/>
        <v/>
      </c>
      <c r="T112" s="397" t="str">
        <f ca="1">+IF(J112="","",IF($J112="Total",SUM(OFFSET(T112,-1,0,-OFFSET($AF$20,MATCH($D112,OFFSET($AD$20,1,0,$AD$19,1),0),0,1,1)-1,1)),_xlfn.IFNA(OFFSET(Report!$J$196,MATCH($J112,OFFSET(Report!$G$196,1,0,$AJ$19,1),0),0,1,1),0)))</f>
        <v/>
      </c>
      <c r="U112" s="396" t="str">
        <f t="shared" ca="1" si="31"/>
        <v/>
      </c>
      <c r="AJ112" t="e">
        <f t="shared" si="26"/>
        <v>#N/A</v>
      </c>
      <c r="AK112" t="e">
        <f ca="1"/>
        <v>#N/A</v>
      </c>
      <c r="AL112" t="e">
        <f ca="1"/>
        <v>#N/A</v>
      </c>
      <c r="AM112" t="str">
        <f t="shared" ca="1" si="20"/>
        <v/>
      </c>
      <c r="AN112" t="str">
        <f t="shared" ca="1" si="21"/>
        <v/>
      </c>
      <c r="AO112" t="str">
        <f t="shared" ca="1" si="27"/>
        <v/>
      </c>
      <c r="AP112" t="str">
        <f t="shared" ca="1" si="22"/>
        <v/>
      </c>
    </row>
    <row r="113" spans="1:42" x14ac:dyDescent="0.25">
      <c r="A113" t="str">
        <f t="shared" ca="1" si="28"/>
        <v/>
      </c>
      <c r="B113" t="e">
        <f t="shared" ca="1" si="23"/>
        <v>#N/A</v>
      </c>
      <c r="D113" t="str">
        <f t="shared" ca="1" si="29"/>
        <v/>
      </c>
      <c r="E113" t="str">
        <f t="shared" ca="1" si="24"/>
        <v/>
      </c>
      <c r="G113" s="382" t="str">
        <f t="shared" ca="1" si="19"/>
        <v/>
      </c>
      <c r="J113" s="378" t="str">
        <f t="shared" ca="1" si="25"/>
        <v/>
      </c>
      <c r="K113" s="396" t="str">
        <f ca="1">+IF(J113="","",IF($J113="Total",SUM(OFFSET(K113,-1,0,-OFFSET($AF$20,MATCH($D113,OFFSET($AD$20,1,0,$AD$19,1),0),0,1,1)-1,1)),_xlfn.IFNA(OFFSET(Report!$Q$116,MATCH($J113,OFFSET(Report!$G$116,1,0,$AJ$19,1),0),0,1,1),0)))</f>
        <v/>
      </c>
      <c r="L113" s="396" t="str">
        <f ca="1">+IF(J113="","",IF($J113="Total",SUM(OFFSET(L113,-1,0,-OFFSET($AF$20,MATCH($D113,OFFSET($AD$20,1,0,$AD$19,1),0),0,1,1)-1,1)),_xlfn.IFNA(OFFSET(Report!$R$196,MATCH($J113,OFFSET(Report!$G$196,1,0,$AJ$19,1),0),0,1,1),0)))</f>
        <v/>
      </c>
      <c r="M113" s="396" t="str">
        <f ca="1">+IF(J113="","",IF($J113="Total",SUM(OFFSET(M113,-1,0,-OFFSET($AF$20,MATCH($D113,OFFSET($AD$20,1,0,$AD$19,1),0),0,1,1)-1,1)),_xlfn.IFNA(OFFSET(Report!$J$352,MATCH($J113,OFFSET(Report!$G$352,1,0,$AJ$19,1),0),0,1,1),0)))</f>
        <v/>
      </c>
      <c r="O113" s="396" t="str">
        <f t="shared" ca="1" si="30"/>
        <v/>
      </c>
      <c r="P113" s="396" t="str">
        <f t="shared" ca="1" si="30"/>
        <v/>
      </c>
      <c r="Q113" s="396" t="str">
        <f t="shared" ca="1" si="30"/>
        <v/>
      </c>
      <c r="T113" s="397" t="str">
        <f ca="1">+IF(J113="","",IF($J113="Total",SUM(OFFSET(T113,-1,0,-OFFSET($AF$20,MATCH($D113,OFFSET($AD$20,1,0,$AD$19,1),0),0,1,1)-1,1)),_xlfn.IFNA(OFFSET(Report!$J$196,MATCH($J113,OFFSET(Report!$G$196,1,0,$AJ$19,1),0),0,1,1),0)))</f>
        <v/>
      </c>
      <c r="U113" s="396" t="str">
        <f t="shared" ca="1" si="31"/>
        <v/>
      </c>
      <c r="AJ113" t="e">
        <f t="shared" si="26"/>
        <v>#N/A</v>
      </c>
      <c r="AK113" t="e">
        <f ca="1"/>
        <v>#N/A</v>
      </c>
      <c r="AL113" t="e">
        <f ca="1"/>
        <v>#N/A</v>
      </c>
      <c r="AM113" t="str">
        <f t="shared" ca="1" si="20"/>
        <v/>
      </c>
      <c r="AN113" t="str">
        <f t="shared" ca="1" si="21"/>
        <v/>
      </c>
      <c r="AO113" t="str">
        <f t="shared" ca="1" si="27"/>
        <v/>
      </c>
      <c r="AP113" t="str">
        <f t="shared" ca="1" si="22"/>
        <v/>
      </c>
    </row>
    <row r="114" spans="1:42" x14ac:dyDescent="0.25">
      <c r="A114" t="str">
        <f t="shared" ca="1" si="28"/>
        <v/>
      </c>
      <c r="B114" t="e">
        <f t="shared" ca="1" si="23"/>
        <v>#N/A</v>
      </c>
      <c r="D114" t="str">
        <f t="shared" ca="1" si="29"/>
        <v/>
      </c>
      <c r="E114" t="str">
        <f t="shared" ca="1" si="24"/>
        <v/>
      </c>
      <c r="G114" s="382" t="str">
        <f t="shared" ca="1" si="19"/>
        <v/>
      </c>
      <c r="J114" s="378" t="str">
        <f t="shared" ca="1" si="25"/>
        <v/>
      </c>
      <c r="K114" s="396" t="str">
        <f ca="1">+IF(J114="","",IF($J114="Total",SUM(OFFSET(K114,-1,0,-OFFSET($AF$20,MATCH($D114,OFFSET($AD$20,1,0,$AD$19,1),0),0,1,1)-1,1)),_xlfn.IFNA(OFFSET(Report!$Q$116,MATCH($J114,OFFSET(Report!$G$116,1,0,$AJ$19,1),0),0,1,1),0)))</f>
        <v/>
      </c>
      <c r="L114" s="396" t="str">
        <f ca="1">+IF(J114="","",IF($J114="Total",SUM(OFFSET(L114,-1,0,-OFFSET($AF$20,MATCH($D114,OFFSET($AD$20,1,0,$AD$19,1),0),0,1,1)-1,1)),_xlfn.IFNA(OFFSET(Report!$R$196,MATCH($J114,OFFSET(Report!$G$196,1,0,$AJ$19,1),0),0,1,1),0)))</f>
        <v/>
      </c>
      <c r="M114" s="396" t="str">
        <f ca="1">+IF(J114="","",IF($J114="Total",SUM(OFFSET(M114,-1,0,-OFFSET($AF$20,MATCH($D114,OFFSET($AD$20,1,0,$AD$19,1),0),0,1,1)-1,1)),_xlfn.IFNA(OFFSET(Report!$J$352,MATCH($J114,OFFSET(Report!$G$352,1,0,$AJ$19,1),0),0,1,1),0)))</f>
        <v/>
      </c>
      <c r="O114" s="396" t="str">
        <f t="shared" ca="1" si="30"/>
        <v/>
      </c>
      <c r="P114" s="396" t="str">
        <f t="shared" ca="1" si="30"/>
        <v/>
      </c>
      <c r="Q114" s="396" t="str">
        <f t="shared" ca="1" si="30"/>
        <v/>
      </c>
      <c r="T114" s="397" t="str">
        <f ca="1">+IF(J114="","",IF($J114="Total",SUM(OFFSET(T114,-1,0,-OFFSET($AF$20,MATCH($D114,OFFSET($AD$20,1,0,$AD$19,1),0),0,1,1)-1,1)),_xlfn.IFNA(OFFSET(Report!$J$196,MATCH($J114,OFFSET(Report!$G$196,1,0,$AJ$19,1),0),0,1,1),0)))</f>
        <v/>
      </c>
      <c r="U114" s="396" t="str">
        <f t="shared" ca="1" si="31"/>
        <v/>
      </c>
      <c r="AJ114" t="e">
        <f t="shared" si="26"/>
        <v>#N/A</v>
      </c>
      <c r="AK114" t="e">
        <f ca="1"/>
        <v>#N/A</v>
      </c>
      <c r="AL114" t="e">
        <f ca="1"/>
        <v>#N/A</v>
      </c>
      <c r="AM114" t="str">
        <f t="shared" ca="1" si="20"/>
        <v/>
      </c>
      <c r="AN114" t="str">
        <f t="shared" ca="1" si="21"/>
        <v/>
      </c>
      <c r="AO114" t="str">
        <f t="shared" ca="1" si="27"/>
        <v/>
      </c>
      <c r="AP114" t="str">
        <f t="shared" ca="1" si="22"/>
        <v/>
      </c>
    </row>
    <row r="115" spans="1:42" x14ac:dyDescent="0.25">
      <c r="A115" t="str">
        <f t="shared" ca="1" si="28"/>
        <v/>
      </c>
      <c r="B115" t="e">
        <f t="shared" ca="1" si="23"/>
        <v>#N/A</v>
      </c>
      <c r="D115" t="str">
        <f t="shared" ca="1" si="29"/>
        <v/>
      </c>
      <c r="E115" t="str">
        <f t="shared" ca="1" si="24"/>
        <v/>
      </c>
      <c r="G115" s="382" t="str">
        <f t="shared" ca="1" si="19"/>
        <v/>
      </c>
      <c r="J115" s="378" t="str">
        <f t="shared" ca="1" si="25"/>
        <v/>
      </c>
      <c r="K115" s="396" t="str">
        <f ca="1">+IF(J115="","",IF($J115="Total",SUM(OFFSET(K115,-1,0,-OFFSET($AF$20,MATCH($D115,OFFSET($AD$20,1,0,$AD$19,1),0),0,1,1)-1,1)),_xlfn.IFNA(OFFSET(Report!$Q$116,MATCH($J115,OFFSET(Report!$G$116,1,0,$AJ$19,1),0),0,1,1),0)))</f>
        <v/>
      </c>
      <c r="L115" s="396" t="str">
        <f ca="1">+IF(J115="","",IF($J115="Total",SUM(OFFSET(L115,-1,0,-OFFSET($AF$20,MATCH($D115,OFFSET($AD$20,1,0,$AD$19,1),0),0,1,1)-1,1)),_xlfn.IFNA(OFFSET(Report!$R$196,MATCH($J115,OFFSET(Report!$G$196,1,0,$AJ$19,1),0),0,1,1),0)))</f>
        <v/>
      </c>
      <c r="M115" s="396" t="str">
        <f ca="1">+IF(J115="","",IF($J115="Total",SUM(OFFSET(M115,-1,0,-OFFSET($AF$20,MATCH($D115,OFFSET($AD$20,1,0,$AD$19,1),0),0,1,1)-1,1)),_xlfn.IFNA(OFFSET(Report!$J$352,MATCH($J115,OFFSET(Report!$G$352,1,0,$AJ$19,1),0),0,1,1),0)))</f>
        <v/>
      </c>
      <c r="O115" s="396" t="str">
        <f t="shared" ca="1" si="30"/>
        <v/>
      </c>
      <c r="P115" s="396" t="str">
        <f t="shared" ca="1" si="30"/>
        <v/>
      </c>
      <c r="Q115" s="396" t="str">
        <f t="shared" ca="1" si="30"/>
        <v/>
      </c>
      <c r="T115" s="397" t="str">
        <f ca="1">+IF(J115="","",IF($J115="Total",SUM(OFFSET(T115,-1,0,-OFFSET($AF$20,MATCH($D115,OFFSET($AD$20,1,0,$AD$19,1),0),0,1,1)-1,1)),_xlfn.IFNA(OFFSET(Report!$J$196,MATCH($J115,OFFSET(Report!$G$196,1,0,$AJ$19,1),0),0,1,1),0)))</f>
        <v/>
      </c>
      <c r="U115" s="396" t="str">
        <f t="shared" ca="1" si="31"/>
        <v/>
      </c>
      <c r="AJ115" t="e">
        <f t="shared" si="26"/>
        <v>#N/A</v>
      </c>
      <c r="AK115" t="e">
        <f ca="1"/>
        <v>#N/A</v>
      </c>
      <c r="AL115" t="e">
        <f ca="1"/>
        <v>#N/A</v>
      </c>
      <c r="AM115" t="str">
        <f t="shared" ca="1" si="20"/>
        <v/>
      </c>
      <c r="AN115" t="str">
        <f t="shared" ca="1" si="21"/>
        <v/>
      </c>
      <c r="AO115" t="str">
        <f t="shared" ca="1" si="27"/>
        <v/>
      </c>
      <c r="AP115" t="str">
        <f t="shared" ca="1" si="22"/>
        <v/>
      </c>
    </row>
    <row r="116" spans="1:42" x14ac:dyDescent="0.25">
      <c r="A116" t="str">
        <f t="shared" ca="1" si="28"/>
        <v/>
      </c>
      <c r="B116" t="e">
        <f t="shared" ca="1" si="23"/>
        <v>#N/A</v>
      </c>
      <c r="D116" t="str">
        <f t="shared" ca="1" si="29"/>
        <v/>
      </c>
      <c r="E116" t="str">
        <f t="shared" ca="1" si="24"/>
        <v/>
      </c>
      <c r="G116" s="382" t="str">
        <f t="shared" ca="1" si="19"/>
        <v/>
      </c>
      <c r="J116" s="378" t="str">
        <f t="shared" ca="1" si="25"/>
        <v/>
      </c>
      <c r="K116" s="396" t="str">
        <f ca="1">+IF(J116="","",IF($J116="Total",SUM(OFFSET(K116,-1,0,-OFFSET($AF$20,MATCH($D116,OFFSET($AD$20,1,0,$AD$19,1),0),0,1,1)-1,1)),_xlfn.IFNA(OFFSET(Report!$Q$116,MATCH($J116,OFFSET(Report!$G$116,1,0,$AJ$19,1),0),0,1,1),0)))</f>
        <v/>
      </c>
      <c r="L116" s="396" t="str">
        <f ca="1">+IF(J116="","",IF($J116="Total",SUM(OFFSET(L116,-1,0,-OFFSET($AF$20,MATCH($D116,OFFSET($AD$20,1,0,$AD$19,1),0),0,1,1)-1,1)),_xlfn.IFNA(OFFSET(Report!$R$196,MATCH($J116,OFFSET(Report!$G$196,1,0,$AJ$19,1),0),0,1,1),0)))</f>
        <v/>
      </c>
      <c r="M116" s="396" t="str">
        <f ca="1">+IF(J116="","",IF($J116="Total",SUM(OFFSET(M116,-1,0,-OFFSET($AF$20,MATCH($D116,OFFSET($AD$20,1,0,$AD$19,1),0),0,1,1)-1,1)),_xlfn.IFNA(OFFSET(Report!$J$352,MATCH($J116,OFFSET(Report!$G$352,1,0,$AJ$19,1),0),0,1,1),0)))</f>
        <v/>
      </c>
      <c r="O116" s="396" t="str">
        <f t="shared" ca="1" si="30"/>
        <v/>
      </c>
      <c r="P116" s="396" t="str">
        <f t="shared" ca="1" si="30"/>
        <v/>
      </c>
      <c r="Q116" s="396" t="str">
        <f t="shared" ca="1" si="30"/>
        <v/>
      </c>
      <c r="T116" s="397" t="str">
        <f ca="1">+IF(J116="","",IF($J116="Total",SUM(OFFSET(T116,-1,0,-OFFSET($AF$20,MATCH($D116,OFFSET($AD$20,1,0,$AD$19,1),0),0,1,1)-1,1)),_xlfn.IFNA(OFFSET(Report!$J$196,MATCH($J116,OFFSET(Report!$G$196,1,0,$AJ$19,1),0),0,1,1),0)))</f>
        <v/>
      </c>
      <c r="U116" s="396" t="str">
        <f t="shared" ca="1" si="31"/>
        <v/>
      </c>
      <c r="AJ116" t="e">
        <f t="shared" si="26"/>
        <v>#N/A</v>
      </c>
      <c r="AK116" t="e">
        <f ca="1"/>
        <v>#N/A</v>
      </c>
      <c r="AL116" t="e">
        <f ca="1"/>
        <v>#N/A</v>
      </c>
      <c r="AM116" t="str">
        <f t="shared" ca="1" si="20"/>
        <v/>
      </c>
      <c r="AN116" t="str">
        <f t="shared" ca="1" si="21"/>
        <v/>
      </c>
      <c r="AO116" t="str">
        <f t="shared" ca="1" si="27"/>
        <v/>
      </c>
      <c r="AP116" t="str">
        <f t="shared" ca="1" si="22"/>
        <v/>
      </c>
    </row>
    <row r="117" spans="1:42" x14ac:dyDescent="0.25">
      <c r="A117" t="str">
        <f t="shared" ca="1" si="28"/>
        <v/>
      </c>
      <c r="B117" t="e">
        <f t="shared" ca="1" si="23"/>
        <v>#N/A</v>
      </c>
      <c r="D117" t="str">
        <f t="shared" ca="1" si="29"/>
        <v/>
      </c>
      <c r="E117" t="str">
        <f t="shared" ca="1" si="24"/>
        <v/>
      </c>
      <c r="G117" s="382" t="str">
        <f t="shared" ca="1" si="19"/>
        <v/>
      </c>
      <c r="J117" s="378" t="str">
        <f t="shared" ca="1" si="25"/>
        <v/>
      </c>
      <c r="K117" s="396" t="str">
        <f ca="1">+IF(J117="","",IF($J117="Total",SUM(OFFSET(K117,-1,0,-OFFSET($AF$20,MATCH($D117,OFFSET($AD$20,1,0,$AD$19,1),0),0,1,1)-1,1)),_xlfn.IFNA(OFFSET(Report!$Q$116,MATCH($J117,OFFSET(Report!$G$116,1,0,$AJ$19,1),0),0,1,1),0)))</f>
        <v/>
      </c>
      <c r="L117" s="396" t="str">
        <f ca="1">+IF(J117="","",IF($J117="Total",SUM(OFFSET(L117,-1,0,-OFFSET($AF$20,MATCH($D117,OFFSET($AD$20,1,0,$AD$19,1),0),0,1,1)-1,1)),_xlfn.IFNA(OFFSET(Report!$R$196,MATCH($J117,OFFSET(Report!$G$196,1,0,$AJ$19,1),0),0,1,1),0)))</f>
        <v/>
      </c>
      <c r="M117" s="396" t="str">
        <f ca="1">+IF(J117="","",IF($J117="Total",SUM(OFFSET(M117,-1,0,-OFFSET($AF$20,MATCH($D117,OFFSET($AD$20,1,0,$AD$19,1),0),0,1,1)-1,1)),_xlfn.IFNA(OFFSET(Report!$J$352,MATCH($J117,OFFSET(Report!$G$352,1,0,$AJ$19,1),0),0,1,1),0)))</f>
        <v/>
      </c>
      <c r="O117" s="396" t="str">
        <f t="shared" ca="1" si="30"/>
        <v/>
      </c>
      <c r="P117" s="396" t="str">
        <f t="shared" ca="1" si="30"/>
        <v/>
      </c>
      <c r="Q117" s="396" t="str">
        <f t="shared" ca="1" si="30"/>
        <v/>
      </c>
      <c r="T117" s="397" t="str">
        <f ca="1">+IF(J117="","",IF($J117="Total",SUM(OFFSET(T117,-1,0,-OFFSET($AF$20,MATCH($D117,OFFSET($AD$20,1,0,$AD$19,1),0),0,1,1)-1,1)),_xlfn.IFNA(OFFSET(Report!$J$196,MATCH($J117,OFFSET(Report!$G$196,1,0,$AJ$19,1),0),0,1,1),0)))</f>
        <v/>
      </c>
      <c r="U117" s="396" t="str">
        <f t="shared" ca="1" si="31"/>
        <v/>
      </c>
      <c r="AJ117" t="e">
        <f t="shared" si="26"/>
        <v>#N/A</v>
      </c>
      <c r="AK117" t="e">
        <f ca="1"/>
        <v>#N/A</v>
      </c>
      <c r="AL117" t="e">
        <f ca="1"/>
        <v>#N/A</v>
      </c>
      <c r="AM117" t="str">
        <f t="shared" ca="1" si="20"/>
        <v/>
      </c>
      <c r="AN117" t="str">
        <f t="shared" ca="1" si="21"/>
        <v/>
      </c>
      <c r="AO117" t="str">
        <f t="shared" ca="1" si="27"/>
        <v/>
      </c>
      <c r="AP117" t="str">
        <f t="shared" ca="1" si="22"/>
        <v/>
      </c>
    </row>
    <row r="118" spans="1:42" x14ac:dyDescent="0.25">
      <c r="A118" t="str">
        <f t="shared" ca="1" si="28"/>
        <v/>
      </c>
      <c r="B118" t="e">
        <f t="shared" ca="1" si="23"/>
        <v>#N/A</v>
      </c>
      <c r="D118" t="str">
        <f t="shared" ca="1" si="29"/>
        <v/>
      </c>
      <c r="E118" t="str">
        <f t="shared" ca="1" si="24"/>
        <v/>
      </c>
      <c r="G118" s="382" t="str">
        <f t="shared" ca="1" si="19"/>
        <v/>
      </c>
      <c r="J118" s="378" t="str">
        <f t="shared" ca="1" si="25"/>
        <v/>
      </c>
      <c r="K118" s="396" t="str">
        <f ca="1">+IF(J118="","",IF($J118="Total",SUM(OFFSET(K118,-1,0,-OFFSET($AF$20,MATCH($D118,OFFSET($AD$20,1,0,$AD$19,1),0),0,1,1)-1,1)),_xlfn.IFNA(OFFSET(Report!$Q$116,MATCH($J118,OFFSET(Report!$G$116,1,0,$AJ$19,1),0),0,1,1),0)))</f>
        <v/>
      </c>
      <c r="L118" s="396" t="str">
        <f ca="1">+IF(J118="","",IF($J118="Total",SUM(OFFSET(L118,-1,0,-OFFSET($AF$20,MATCH($D118,OFFSET($AD$20,1,0,$AD$19,1),0),0,1,1)-1,1)),_xlfn.IFNA(OFFSET(Report!$R$196,MATCH($J118,OFFSET(Report!$G$196,1,0,$AJ$19,1),0),0,1,1),0)))</f>
        <v/>
      </c>
      <c r="M118" s="396" t="str">
        <f ca="1">+IF(J118="","",IF($J118="Total",SUM(OFFSET(M118,-1,0,-OFFSET($AF$20,MATCH($D118,OFFSET($AD$20,1,0,$AD$19,1),0),0,1,1)-1,1)),_xlfn.IFNA(OFFSET(Report!$J$352,MATCH($J118,OFFSET(Report!$G$352,1,0,$AJ$19,1),0),0,1,1),0)))</f>
        <v/>
      </c>
      <c r="O118" s="396" t="str">
        <f t="shared" ca="1" si="30"/>
        <v/>
      </c>
      <c r="P118" s="396" t="str">
        <f t="shared" ca="1" si="30"/>
        <v/>
      </c>
      <c r="Q118" s="396" t="str">
        <f t="shared" ca="1" si="30"/>
        <v/>
      </c>
      <c r="T118" s="397" t="str">
        <f ca="1">+IF(J118="","",IF($J118="Total",SUM(OFFSET(T118,-1,0,-OFFSET($AF$20,MATCH($D118,OFFSET($AD$20,1,0,$AD$19,1),0),0,1,1)-1,1)),_xlfn.IFNA(OFFSET(Report!$J$196,MATCH($J118,OFFSET(Report!$G$196,1,0,$AJ$19,1),0),0,1,1),0)))</f>
        <v/>
      </c>
      <c r="U118" s="396" t="str">
        <f t="shared" ca="1" si="31"/>
        <v/>
      </c>
      <c r="AJ118" t="e">
        <f t="shared" si="26"/>
        <v>#N/A</v>
      </c>
      <c r="AK118" t="e">
        <f ca="1"/>
        <v>#N/A</v>
      </c>
      <c r="AL118" t="e">
        <f ca="1"/>
        <v>#N/A</v>
      </c>
      <c r="AM118" t="str">
        <f t="shared" ca="1" si="20"/>
        <v/>
      </c>
      <c r="AN118" t="str">
        <f t="shared" ca="1" si="21"/>
        <v/>
      </c>
      <c r="AO118" t="str">
        <f t="shared" ca="1" si="27"/>
        <v/>
      </c>
      <c r="AP118" t="str">
        <f t="shared" ca="1" si="22"/>
        <v/>
      </c>
    </row>
    <row r="119" spans="1:42" x14ac:dyDescent="0.25">
      <c r="A119" t="str">
        <f t="shared" ca="1" si="28"/>
        <v/>
      </c>
      <c r="B119" t="e">
        <f t="shared" ca="1" si="23"/>
        <v>#N/A</v>
      </c>
      <c r="D119" t="str">
        <f t="shared" ca="1" si="29"/>
        <v/>
      </c>
      <c r="E119" t="str">
        <f t="shared" ca="1" si="24"/>
        <v/>
      </c>
      <c r="G119" s="382" t="str">
        <f t="shared" ca="1" si="19"/>
        <v/>
      </c>
      <c r="J119" s="378" t="str">
        <f t="shared" ca="1" si="25"/>
        <v/>
      </c>
      <c r="K119" s="396" t="str">
        <f ca="1">+IF(J119="","",IF($J119="Total",SUM(OFFSET(K119,-1,0,-OFFSET($AF$20,MATCH($D119,OFFSET($AD$20,1,0,$AD$19,1),0),0,1,1)-1,1)),_xlfn.IFNA(OFFSET(Report!$Q$116,MATCH($J119,OFFSET(Report!$G$116,1,0,$AJ$19,1),0),0,1,1),0)))</f>
        <v/>
      </c>
      <c r="L119" s="396" t="str">
        <f ca="1">+IF(J119="","",IF($J119="Total",SUM(OFFSET(L119,-1,0,-OFFSET($AF$20,MATCH($D119,OFFSET($AD$20,1,0,$AD$19,1),0),0,1,1)-1,1)),_xlfn.IFNA(OFFSET(Report!$R$196,MATCH($J119,OFFSET(Report!$G$196,1,0,$AJ$19,1),0),0,1,1),0)))</f>
        <v/>
      </c>
      <c r="M119" s="396" t="str">
        <f ca="1">+IF(J119="","",IF($J119="Total",SUM(OFFSET(M119,-1,0,-OFFSET($AF$20,MATCH($D119,OFFSET($AD$20,1,0,$AD$19,1),0),0,1,1)-1,1)),_xlfn.IFNA(OFFSET(Report!$J$352,MATCH($J119,OFFSET(Report!$G$352,1,0,$AJ$19,1),0),0,1,1),0)))</f>
        <v/>
      </c>
      <c r="O119" s="396" t="str">
        <f t="shared" ca="1" si="30"/>
        <v/>
      </c>
      <c r="P119" s="396" t="str">
        <f t="shared" ca="1" si="30"/>
        <v/>
      </c>
      <c r="Q119" s="396" t="str">
        <f t="shared" ca="1" si="30"/>
        <v/>
      </c>
      <c r="T119" s="397" t="str">
        <f ca="1">+IF(J119="","",IF($J119="Total",SUM(OFFSET(T119,-1,0,-OFFSET($AF$20,MATCH($D119,OFFSET($AD$20,1,0,$AD$19,1),0),0,1,1)-1,1)),_xlfn.IFNA(OFFSET(Report!$J$196,MATCH($J119,OFFSET(Report!$G$196,1,0,$AJ$19,1),0),0,1,1),0)))</f>
        <v/>
      </c>
      <c r="U119" s="396" t="str">
        <f t="shared" ca="1" si="31"/>
        <v/>
      </c>
      <c r="AJ119" t="e">
        <f t="shared" si="26"/>
        <v>#N/A</v>
      </c>
      <c r="AK119" t="e">
        <f ca="1"/>
        <v>#N/A</v>
      </c>
      <c r="AL119" t="e">
        <f ca="1"/>
        <v>#N/A</v>
      </c>
      <c r="AM119" t="str">
        <f t="shared" ca="1" si="20"/>
        <v/>
      </c>
      <c r="AN119" t="str">
        <f t="shared" ca="1" si="21"/>
        <v/>
      </c>
      <c r="AO119" t="str">
        <f t="shared" ca="1" si="27"/>
        <v/>
      </c>
      <c r="AP119" t="str">
        <f t="shared" ca="1" si="22"/>
        <v/>
      </c>
    </row>
    <row r="120" spans="1:42" x14ac:dyDescent="0.25">
      <c r="A120" t="str">
        <f t="shared" ca="1" si="28"/>
        <v/>
      </c>
      <c r="B120" t="e">
        <f t="shared" ca="1" si="23"/>
        <v>#N/A</v>
      </c>
      <c r="D120" t="str">
        <f t="shared" ca="1" si="29"/>
        <v/>
      </c>
      <c r="E120" t="str">
        <f t="shared" ca="1" si="24"/>
        <v/>
      </c>
      <c r="G120" s="382" t="str">
        <f t="shared" ca="1" si="19"/>
        <v/>
      </c>
      <c r="J120" s="378" t="str">
        <f t="shared" ca="1" si="25"/>
        <v/>
      </c>
      <c r="K120" s="396" t="str">
        <f ca="1">+IF(J120="","",IF($J120="Total",SUM(OFFSET(K120,-1,0,-OFFSET($AF$20,MATCH($D120,OFFSET($AD$20,1,0,$AD$19,1),0),0,1,1)-1,1)),_xlfn.IFNA(OFFSET(Report!$Q$116,MATCH($J120,OFFSET(Report!$G$116,1,0,$AJ$19,1),0),0,1,1),0)))</f>
        <v/>
      </c>
      <c r="L120" s="396" t="str">
        <f ca="1">+IF(J120="","",IF($J120="Total",SUM(OFFSET(L120,-1,0,-OFFSET($AF$20,MATCH($D120,OFFSET($AD$20,1,0,$AD$19,1),0),0,1,1)-1,1)),_xlfn.IFNA(OFFSET(Report!$R$196,MATCH($J120,OFFSET(Report!$G$196,1,0,$AJ$19,1),0),0,1,1),0)))</f>
        <v/>
      </c>
      <c r="M120" s="396" t="str">
        <f ca="1">+IF(J120="","",IF($J120="Total",SUM(OFFSET(M120,-1,0,-OFFSET($AF$20,MATCH($D120,OFFSET($AD$20,1,0,$AD$19,1),0),0,1,1)-1,1)),_xlfn.IFNA(OFFSET(Report!$J$352,MATCH($J120,OFFSET(Report!$G$352,1,0,$AJ$19,1),0),0,1,1),0)))</f>
        <v/>
      </c>
      <c r="O120" s="396" t="str">
        <f t="shared" ca="1" si="30"/>
        <v/>
      </c>
      <c r="P120" s="396" t="str">
        <f t="shared" ca="1" si="30"/>
        <v/>
      </c>
      <c r="Q120" s="396" t="str">
        <f t="shared" ca="1" si="30"/>
        <v/>
      </c>
      <c r="T120" s="397" t="str">
        <f ca="1">+IF(J120="","",IF($J120="Total",SUM(OFFSET(T120,-1,0,-OFFSET($AF$20,MATCH($D120,OFFSET($AD$20,1,0,$AD$19,1),0),0,1,1)-1,1)),_xlfn.IFNA(OFFSET(Report!$J$196,MATCH($J120,OFFSET(Report!$G$196,1,0,$AJ$19,1),0),0,1,1),0)))</f>
        <v/>
      </c>
      <c r="U120" s="396" t="str">
        <f t="shared" ca="1" si="31"/>
        <v/>
      </c>
      <c r="AJ120" t="e">
        <f t="shared" si="26"/>
        <v>#N/A</v>
      </c>
      <c r="AK120" t="e">
        <f ca="1"/>
        <v>#N/A</v>
      </c>
      <c r="AL120" t="e">
        <f ca="1"/>
        <v>#N/A</v>
      </c>
      <c r="AM120" t="str">
        <f t="shared" ca="1" si="20"/>
        <v/>
      </c>
      <c r="AN120" t="str">
        <f t="shared" ca="1" si="21"/>
        <v/>
      </c>
      <c r="AO120" t="str">
        <f t="shared" ca="1" si="27"/>
        <v/>
      </c>
      <c r="AP120" t="str">
        <f t="shared" ca="1" si="22"/>
        <v/>
      </c>
    </row>
    <row r="121" spans="1:42" x14ac:dyDescent="0.25">
      <c r="A121" t="str">
        <f t="shared" ca="1" si="28"/>
        <v/>
      </c>
      <c r="B121" t="e">
        <f t="shared" ca="1" si="23"/>
        <v>#N/A</v>
      </c>
      <c r="D121" t="str">
        <f t="shared" ca="1" si="29"/>
        <v/>
      </c>
      <c r="E121" t="str">
        <f t="shared" ca="1" si="24"/>
        <v/>
      </c>
      <c r="G121" s="382" t="str">
        <f t="shared" ca="1" si="19"/>
        <v/>
      </c>
      <c r="J121" s="378" t="str">
        <f t="shared" ca="1" si="25"/>
        <v/>
      </c>
      <c r="K121" s="396" t="str">
        <f ca="1">+IF(J121="","",IF($J121="Total",SUM(OFFSET(K121,-1,0,-OFFSET($AF$20,MATCH($D121,OFFSET($AD$20,1,0,$AD$19,1),0),0,1,1)-1,1)),_xlfn.IFNA(OFFSET(Report!$Q$116,MATCH($J121,OFFSET(Report!$G$116,1,0,$AJ$19,1),0),0,1,1),0)))</f>
        <v/>
      </c>
      <c r="L121" s="396" t="str">
        <f ca="1">+IF(J121="","",IF($J121="Total",SUM(OFFSET(L121,-1,0,-OFFSET($AF$20,MATCH($D121,OFFSET($AD$20,1,0,$AD$19,1),0),0,1,1)-1,1)),_xlfn.IFNA(OFFSET(Report!$R$196,MATCH($J121,OFFSET(Report!$G$196,1,0,$AJ$19,1),0),0,1,1),0)))</f>
        <v/>
      </c>
      <c r="M121" s="396" t="str">
        <f ca="1">+IF(J121="","",IF($J121="Total",SUM(OFFSET(M121,-1,0,-OFFSET($AF$20,MATCH($D121,OFFSET($AD$20,1,0,$AD$19,1),0),0,1,1)-1,1)),_xlfn.IFNA(OFFSET(Report!$J$352,MATCH($J121,OFFSET(Report!$G$352,1,0,$AJ$19,1),0),0,1,1),0)))</f>
        <v/>
      </c>
      <c r="O121" s="396" t="str">
        <f t="shared" ca="1" si="30"/>
        <v/>
      </c>
      <c r="P121" s="396" t="str">
        <f t="shared" ca="1" si="30"/>
        <v/>
      </c>
      <c r="Q121" s="396" t="str">
        <f t="shared" ca="1" si="30"/>
        <v/>
      </c>
      <c r="T121" s="397" t="str">
        <f ca="1">+IF(J121="","",IF($J121="Total",SUM(OFFSET(T121,-1,0,-OFFSET($AF$20,MATCH($D121,OFFSET($AD$20,1,0,$AD$19,1),0),0,1,1)-1,1)),_xlfn.IFNA(OFFSET(Report!$J$196,MATCH($J121,OFFSET(Report!$G$196,1,0,$AJ$19,1),0),0,1,1),0)))</f>
        <v/>
      </c>
      <c r="U121" s="396" t="str">
        <f t="shared" ca="1" si="31"/>
        <v/>
      </c>
      <c r="AJ121" t="e">
        <f t="shared" si="26"/>
        <v>#N/A</v>
      </c>
      <c r="AK121" t="e">
        <f ca="1"/>
        <v>#N/A</v>
      </c>
      <c r="AL121" t="e">
        <f ca="1"/>
        <v>#N/A</v>
      </c>
      <c r="AM121" t="str">
        <f t="shared" ca="1" si="20"/>
        <v/>
      </c>
      <c r="AN121" t="str">
        <f t="shared" ca="1" si="21"/>
        <v/>
      </c>
      <c r="AO121" t="str">
        <f t="shared" ca="1" si="27"/>
        <v/>
      </c>
      <c r="AP121" t="str">
        <f t="shared" ca="1" si="22"/>
        <v/>
      </c>
    </row>
    <row r="122" spans="1:42" x14ac:dyDescent="0.25">
      <c r="A122" t="str">
        <f t="shared" ca="1" si="28"/>
        <v/>
      </c>
      <c r="B122" t="e">
        <f t="shared" ca="1" si="23"/>
        <v>#N/A</v>
      </c>
      <c r="D122" t="str">
        <f t="shared" ca="1" si="29"/>
        <v/>
      </c>
      <c r="E122" t="str">
        <f t="shared" ca="1" si="24"/>
        <v/>
      </c>
      <c r="G122" s="382" t="str">
        <f t="shared" ca="1" si="19"/>
        <v/>
      </c>
      <c r="J122" s="378" t="str">
        <f t="shared" ca="1" si="25"/>
        <v/>
      </c>
      <c r="K122" s="396" t="str">
        <f ca="1">+IF(J122="","",IF($J122="Total",SUM(OFFSET(K122,-1,0,-OFFSET($AF$20,MATCH($D122,OFFSET($AD$20,1,0,$AD$19,1),0),0,1,1)-1,1)),_xlfn.IFNA(OFFSET(Report!$Q$116,MATCH($J122,OFFSET(Report!$G$116,1,0,$AJ$19,1),0),0,1,1),0)))</f>
        <v/>
      </c>
      <c r="L122" s="396" t="str">
        <f ca="1">+IF(J122="","",IF($J122="Total",SUM(OFFSET(L122,-1,0,-OFFSET($AF$20,MATCH($D122,OFFSET($AD$20,1,0,$AD$19,1),0),0,1,1)-1,1)),_xlfn.IFNA(OFFSET(Report!$R$196,MATCH($J122,OFFSET(Report!$G$196,1,0,$AJ$19,1),0),0,1,1),0)))</f>
        <v/>
      </c>
      <c r="M122" s="396" t="str">
        <f ca="1">+IF(J122="","",IF($J122="Total",SUM(OFFSET(M122,-1,0,-OFFSET($AF$20,MATCH($D122,OFFSET($AD$20,1,0,$AD$19,1),0),0,1,1)-1,1)),_xlfn.IFNA(OFFSET(Report!$J$352,MATCH($J122,OFFSET(Report!$G$352,1,0,$AJ$19,1),0),0,1,1),0)))</f>
        <v/>
      </c>
      <c r="O122" s="396" t="str">
        <f t="shared" ca="1" si="30"/>
        <v/>
      </c>
      <c r="P122" s="396" t="str">
        <f t="shared" ca="1" si="30"/>
        <v/>
      </c>
      <c r="Q122" s="396" t="str">
        <f t="shared" ca="1" si="30"/>
        <v/>
      </c>
      <c r="T122" s="397" t="str">
        <f ca="1">+IF(J122="","",IF($J122="Total",SUM(OFFSET(T122,-1,0,-OFFSET($AF$20,MATCH($D122,OFFSET($AD$20,1,0,$AD$19,1),0),0,1,1)-1,1)),_xlfn.IFNA(OFFSET(Report!$J$196,MATCH($J122,OFFSET(Report!$G$196,1,0,$AJ$19,1),0),0,1,1),0)))</f>
        <v/>
      </c>
      <c r="U122" s="396" t="str">
        <f t="shared" ca="1" si="31"/>
        <v/>
      </c>
      <c r="AJ122" t="e">
        <f t="shared" si="26"/>
        <v>#N/A</v>
      </c>
      <c r="AK122" t="e">
        <f ca="1"/>
        <v>#N/A</v>
      </c>
      <c r="AL122" t="e">
        <f ca="1"/>
        <v>#N/A</v>
      </c>
      <c r="AM122" t="str">
        <f t="shared" ca="1" si="20"/>
        <v/>
      </c>
      <c r="AN122" t="str">
        <f t="shared" ca="1" si="21"/>
        <v/>
      </c>
      <c r="AO122" t="str">
        <f t="shared" ca="1" si="27"/>
        <v/>
      </c>
      <c r="AP122" t="str">
        <f t="shared" ca="1" si="22"/>
        <v/>
      </c>
    </row>
    <row r="123" spans="1:42" x14ac:dyDescent="0.25">
      <c r="A123" t="str">
        <f t="shared" ca="1" si="28"/>
        <v/>
      </c>
      <c r="B123" t="e">
        <f t="shared" ca="1" si="23"/>
        <v>#N/A</v>
      </c>
      <c r="D123" t="str">
        <f t="shared" ca="1" si="29"/>
        <v/>
      </c>
      <c r="E123" t="str">
        <f t="shared" ca="1" si="24"/>
        <v/>
      </c>
      <c r="G123" s="382" t="str">
        <f t="shared" ca="1" si="19"/>
        <v/>
      </c>
      <c r="J123" s="378" t="str">
        <f t="shared" ca="1" si="25"/>
        <v/>
      </c>
      <c r="K123" s="396" t="str">
        <f ca="1">+IF(J123="","",IF($J123="Total",SUM(OFFSET(K123,-1,0,-OFFSET($AF$20,MATCH($D123,OFFSET($AD$20,1,0,$AD$19,1),0),0,1,1)-1,1)),_xlfn.IFNA(OFFSET(Report!$Q$116,MATCH($J123,OFFSET(Report!$G$116,1,0,$AJ$19,1),0),0,1,1),0)))</f>
        <v/>
      </c>
      <c r="L123" s="396" t="str">
        <f ca="1">+IF(J123="","",IF($J123="Total",SUM(OFFSET(L123,-1,0,-OFFSET($AF$20,MATCH($D123,OFFSET($AD$20,1,0,$AD$19,1),0),0,1,1)-1,1)),_xlfn.IFNA(OFFSET(Report!$R$196,MATCH($J123,OFFSET(Report!$G$196,1,0,$AJ$19,1),0),0,1,1),0)))</f>
        <v/>
      </c>
      <c r="M123" s="396" t="str">
        <f ca="1">+IF(J123="","",IF($J123="Total",SUM(OFFSET(M123,-1,0,-OFFSET($AF$20,MATCH($D123,OFFSET($AD$20,1,0,$AD$19,1),0),0,1,1)-1,1)),_xlfn.IFNA(OFFSET(Report!$J$352,MATCH($J123,OFFSET(Report!$G$352,1,0,$AJ$19,1),0),0,1,1),0)))</f>
        <v/>
      </c>
      <c r="O123" s="396" t="str">
        <f t="shared" ca="1" si="30"/>
        <v/>
      </c>
      <c r="P123" s="396" t="str">
        <f t="shared" ca="1" si="30"/>
        <v/>
      </c>
      <c r="Q123" s="396" t="str">
        <f t="shared" ca="1" si="30"/>
        <v/>
      </c>
      <c r="T123" s="397" t="str">
        <f ca="1">+IF(J123="","",IF($J123="Total",SUM(OFFSET(T123,-1,0,-OFFSET($AF$20,MATCH($D123,OFFSET($AD$20,1,0,$AD$19,1),0),0,1,1)-1,1)),_xlfn.IFNA(OFFSET(Report!$J$196,MATCH($J123,OFFSET(Report!$G$196,1,0,$AJ$19,1),0),0,1,1),0)))</f>
        <v/>
      </c>
      <c r="U123" s="396" t="str">
        <f t="shared" ca="1" si="31"/>
        <v/>
      </c>
      <c r="AJ123" t="e">
        <f t="shared" si="26"/>
        <v>#N/A</v>
      </c>
      <c r="AK123" t="e">
        <f ca="1"/>
        <v>#N/A</v>
      </c>
      <c r="AL123" t="e">
        <f ca="1"/>
        <v>#N/A</v>
      </c>
      <c r="AM123" t="str">
        <f t="shared" ca="1" si="20"/>
        <v/>
      </c>
      <c r="AN123" t="str">
        <f t="shared" ca="1" si="21"/>
        <v/>
      </c>
      <c r="AO123" t="str">
        <f t="shared" ca="1" si="27"/>
        <v/>
      </c>
      <c r="AP123" t="str">
        <f t="shared" ca="1" si="22"/>
        <v/>
      </c>
    </row>
    <row r="124" spans="1:42" x14ac:dyDescent="0.25">
      <c r="A124" t="str">
        <f t="shared" ca="1" si="28"/>
        <v/>
      </c>
      <c r="B124" t="e">
        <f t="shared" ca="1" si="23"/>
        <v>#N/A</v>
      </c>
      <c r="D124" t="str">
        <f t="shared" ca="1" si="29"/>
        <v/>
      </c>
      <c r="E124" t="str">
        <f t="shared" ca="1" si="24"/>
        <v/>
      </c>
      <c r="G124" s="382" t="str">
        <f t="shared" ca="1" si="19"/>
        <v/>
      </c>
      <c r="J124" s="378" t="str">
        <f t="shared" ca="1" si="25"/>
        <v/>
      </c>
      <c r="K124" s="396" t="str">
        <f ca="1">+IF(J124="","",IF($J124="Total",SUM(OFFSET(K124,-1,0,-OFFSET($AF$20,MATCH($D124,OFFSET($AD$20,1,0,$AD$19,1),0),0,1,1)-1,1)),_xlfn.IFNA(OFFSET(Report!$Q$116,MATCH($J124,OFFSET(Report!$G$116,1,0,$AJ$19,1),0),0,1,1),0)))</f>
        <v/>
      </c>
      <c r="L124" s="396" t="str">
        <f ca="1">+IF(J124="","",IF($J124="Total",SUM(OFFSET(L124,-1,0,-OFFSET($AF$20,MATCH($D124,OFFSET($AD$20,1,0,$AD$19,1),0),0,1,1)-1,1)),_xlfn.IFNA(OFFSET(Report!$R$196,MATCH($J124,OFFSET(Report!$G$196,1,0,$AJ$19,1),0),0,1,1),0)))</f>
        <v/>
      </c>
      <c r="M124" s="396" t="str">
        <f ca="1">+IF(J124="","",IF($J124="Total",SUM(OFFSET(M124,-1,0,-OFFSET($AF$20,MATCH($D124,OFFSET($AD$20,1,0,$AD$19,1),0),0,1,1)-1,1)),_xlfn.IFNA(OFFSET(Report!$J$352,MATCH($J124,OFFSET(Report!$G$352,1,0,$AJ$19,1),0),0,1,1),0)))</f>
        <v/>
      </c>
      <c r="O124" s="396" t="str">
        <f t="shared" ca="1" si="30"/>
        <v/>
      </c>
      <c r="P124" s="396" t="str">
        <f t="shared" ca="1" si="30"/>
        <v/>
      </c>
      <c r="Q124" s="396" t="str">
        <f t="shared" ca="1" si="30"/>
        <v/>
      </c>
      <c r="T124" s="397" t="str">
        <f ca="1">+IF(J124="","",IF($J124="Total",SUM(OFFSET(T124,-1,0,-OFFSET($AF$20,MATCH($D124,OFFSET($AD$20,1,0,$AD$19,1),0),0,1,1)-1,1)),_xlfn.IFNA(OFFSET(Report!$J$196,MATCH($J124,OFFSET(Report!$G$196,1,0,$AJ$19,1),0),0,1,1),0)))</f>
        <v/>
      </c>
      <c r="U124" s="396" t="str">
        <f t="shared" ca="1" si="31"/>
        <v/>
      </c>
      <c r="AJ124" t="e">
        <f t="shared" si="26"/>
        <v>#N/A</v>
      </c>
      <c r="AK124" t="e">
        <f ca="1"/>
        <v>#N/A</v>
      </c>
      <c r="AL124" t="e">
        <f ca="1"/>
        <v>#N/A</v>
      </c>
      <c r="AM124" t="str">
        <f t="shared" ca="1" si="20"/>
        <v/>
      </c>
      <c r="AN124" t="str">
        <f t="shared" ca="1" si="21"/>
        <v/>
      </c>
      <c r="AO124" t="str">
        <f t="shared" ca="1" si="27"/>
        <v/>
      </c>
      <c r="AP124" t="str">
        <f t="shared" ca="1" si="22"/>
        <v/>
      </c>
    </row>
    <row r="125" spans="1:42" x14ac:dyDescent="0.25">
      <c r="A125" t="str">
        <f t="shared" ca="1" si="28"/>
        <v/>
      </c>
      <c r="B125" t="e">
        <f t="shared" ca="1" si="23"/>
        <v>#N/A</v>
      </c>
      <c r="D125" t="str">
        <f t="shared" ca="1" si="29"/>
        <v/>
      </c>
      <c r="E125" t="str">
        <f t="shared" ca="1" si="24"/>
        <v/>
      </c>
      <c r="G125" s="382" t="str">
        <f t="shared" ca="1" si="19"/>
        <v/>
      </c>
      <c r="J125" s="378" t="str">
        <f t="shared" ca="1" si="25"/>
        <v/>
      </c>
      <c r="K125" s="396" t="str">
        <f ca="1">+IF(J125="","",IF($J125="Total",SUM(OFFSET(K125,-1,0,-OFFSET($AF$20,MATCH($D125,OFFSET($AD$20,1,0,$AD$19,1),0),0,1,1)-1,1)),_xlfn.IFNA(OFFSET(Report!$Q$116,MATCH($J125,OFFSET(Report!$G$116,1,0,$AJ$19,1),0),0,1,1),0)))</f>
        <v/>
      </c>
      <c r="L125" s="396" t="str">
        <f ca="1">+IF(J125="","",IF($J125="Total",SUM(OFFSET(L125,-1,0,-OFFSET($AF$20,MATCH($D125,OFFSET($AD$20,1,0,$AD$19,1),0),0,1,1)-1,1)),_xlfn.IFNA(OFFSET(Report!$R$196,MATCH($J125,OFFSET(Report!$G$196,1,0,$AJ$19,1),0),0,1,1),0)))</f>
        <v/>
      </c>
      <c r="M125" s="396" t="str">
        <f ca="1">+IF(J125="","",IF($J125="Total",SUM(OFFSET(M125,-1,0,-OFFSET($AF$20,MATCH($D125,OFFSET($AD$20,1,0,$AD$19,1),0),0,1,1)-1,1)),_xlfn.IFNA(OFFSET(Report!$J$352,MATCH($J125,OFFSET(Report!$G$352,1,0,$AJ$19,1),0),0,1,1),0)))</f>
        <v/>
      </c>
      <c r="O125" s="396" t="str">
        <f t="shared" ca="1" si="30"/>
        <v/>
      </c>
      <c r="P125" s="396" t="str">
        <f t="shared" ca="1" si="30"/>
        <v/>
      </c>
      <c r="Q125" s="396" t="str">
        <f t="shared" ca="1" si="30"/>
        <v/>
      </c>
      <c r="T125" s="397" t="str">
        <f ca="1">+IF(J125="","",IF($J125="Total",SUM(OFFSET(T125,-1,0,-OFFSET($AF$20,MATCH($D125,OFFSET($AD$20,1,0,$AD$19,1),0),0,1,1)-1,1)),_xlfn.IFNA(OFFSET(Report!$J$196,MATCH($J125,OFFSET(Report!$G$196,1,0,$AJ$19,1),0),0,1,1),0)))</f>
        <v/>
      </c>
      <c r="U125" s="396" t="str">
        <f t="shared" ca="1" si="31"/>
        <v/>
      </c>
      <c r="AJ125" t="e">
        <f t="shared" si="26"/>
        <v>#N/A</v>
      </c>
      <c r="AK125" t="e">
        <f ca="1"/>
        <v>#N/A</v>
      </c>
      <c r="AL125" t="e">
        <f ca="1"/>
        <v>#N/A</v>
      </c>
      <c r="AM125" t="str">
        <f t="shared" ca="1" si="20"/>
        <v/>
      </c>
      <c r="AN125" t="str">
        <f t="shared" ca="1" si="21"/>
        <v/>
      </c>
      <c r="AO125" t="str">
        <f t="shared" ca="1" si="27"/>
        <v/>
      </c>
      <c r="AP125" t="str">
        <f t="shared" ca="1" si="22"/>
        <v/>
      </c>
    </row>
    <row r="126" spans="1:42" x14ac:dyDescent="0.25">
      <c r="A126" t="str">
        <f t="shared" ca="1" si="28"/>
        <v/>
      </c>
      <c r="B126" t="e">
        <f t="shared" ca="1" si="23"/>
        <v>#N/A</v>
      </c>
      <c r="D126" t="str">
        <f t="shared" ca="1" si="29"/>
        <v/>
      </c>
      <c r="E126" t="str">
        <f t="shared" ca="1" si="24"/>
        <v/>
      </c>
      <c r="G126" s="382" t="str">
        <f t="shared" ca="1" si="19"/>
        <v/>
      </c>
      <c r="J126" s="378" t="str">
        <f t="shared" ca="1" si="25"/>
        <v/>
      </c>
      <c r="K126" s="396" t="str">
        <f ca="1">+IF(J126="","",IF($J126="Total",SUM(OFFSET(K126,-1,0,-OFFSET($AF$20,MATCH($D126,OFFSET($AD$20,1,0,$AD$19,1),0),0,1,1)-1,1)),_xlfn.IFNA(OFFSET(Report!$Q$116,MATCH($J126,OFFSET(Report!$G$116,1,0,$AJ$19,1),0),0,1,1),0)))</f>
        <v/>
      </c>
      <c r="L126" s="396" t="str">
        <f ca="1">+IF(J126="","",IF($J126="Total",SUM(OFFSET(L126,-1,0,-OFFSET($AF$20,MATCH($D126,OFFSET($AD$20,1,0,$AD$19,1),0),0,1,1)-1,1)),_xlfn.IFNA(OFFSET(Report!$R$196,MATCH($J126,OFFSET(Report!$G$196,1,0,$AJ$19,1),0),0,1,1),0)))</f>
        <v/>
      </c>
      <c r="M126" s="396" t="str">
        <f ca="1">+IF(J126="","",IF($J126="Total",SUM(OFFSET(M126,-1,0,-OFFSET($AF$20,MATCH($D126,OFFSET($AD$20,1,0,$AD$19,1),0),0,1,1)-1,1)),_xlfn.IFNA(OFFSET(Report!$J$352,MATCH($J126,OFFSET(Report!$G$352,1,0,$AJ$19,1),0),0,1,1),0)))</f>
        <v/>
      </c>
      <c r="O126" s="396" t="str">
        <f t="shared" ca="1" si="30"/>
        <v/>
      </c>
      <c r="P126" s="396" t="str">
        <f t="shared" ca="1" si="30"/>
        <v/>
      </c>
      <c r="Q126" s="396" t="str">
        <f t="shared" ca="1" si="30"/>
        <v/>
      </c>
      <c r="T126" s="397" t="str">
        <f ca="1">+IF(J126="","",IF($J126="Total",SUM(OFFSET(T126,-1,0,-OFFSET($AF$20,MATCH($D126,OFFSET($AD$20,1,0,$AD$19,1),0),0,1,1)-1,1)),_xlfn.IFNA(OFFSET(Report!$J$196,MATCH($J126,OFFSET(Report!$G$196,1,0,$AJ$19,1),0),0,1,1),0)))</f>
        <v/>
      </c>
      <c r="U126" s="396" t="str">
        <f t="shared" ca="1" si="31"/>
        <v/>
      </c>
      <c r="AJ126" t="e">
        <f t="shared" si="26"/>
        <v>#N/A</v>
      </c>
      <c r="AK126" t="e">
        <f ca="1"/>
        <v>#N/A</v>
      </c>
      <c r="AL126" t="e">
        <f ca="1"/>
        <v>#N/A</v>
      </c>
      <c r="AM126" t="str">
        <f t="shared" ca="1" si="20"/>
        <v/>
      </c>
      <c r="AN126" t="str">
        <f t="shared" ca="1" si="21"/>
        <v/>
      </c>
      <c r="AO126" t="str">
        <f t="shared" ca="1" si="27"/>
        <v/>
      </c>
      <c r="AP126" t="str">
        <f t="shared" ca="1" si="22"/>
        <v/>
      </c>
    </row>
    <row r="127" spans="1:42" x14ac:dyDescent="0.25">
      <c r="A127" t="str">
        <f t="shared" ca="1" si="28"/>
        <v/>
      </c>
      <c r="B127" t="e">
        <f t="shared" ca="1" si="23"/>
        <v>#N/A</v>
      </c>
      <c r="D127" t="str">
        <f t="shared" ca="1" si="29"/>
        <v/>
      </c>
      <c r="E127" t="str">
        <f t="shared" ca="1" si="24"/>
        <v/>
      </c>
      <c r="G127" s="382" t="str">
        <f t="shared" ca="1" si="19"/>
        <v/>
      </c>
      <c r="J127" s="378" t="str">
        <f t="shared" ca="1" si="25"/>
        <v/>
      </c>
      <c r="K127" s="396" t="str">
        <f ca="1">+IF(J127="","",IF($J127="Total",SUM(OFFSET(K127,-1,0,-OFFSET($AF$20,MATCH($D127,OFFSET($AD$20,1,0,$AD$19,1),0),0,1,1)-1,1)),_xlfn.IFNA(OFFSET(Report!$Q$116,MATCH($J127,OFFSET(Report!$G$116,1,0,$AJ$19,1),0),0,1,1),0)))</f>
        <v/>
      </c>
      <c r="L127" s="396" t="str">
        <f ca="1">+IF(J127="","",IF($J127="Total",SUM(OFFSET(L127,-1,0,-OFFSET($AF$20,MATCH($D127,OFFSET($AD$20,1,0,$AD$19,1),0),0,1,1)-1,1)),_xlfn.IFNA(OFFSET(Report!$R$196,MATCH($J127,OFFSET(Report!$G$196,1,0,$AJ$19,1),0),0,1,1),0)))</f>
        <v/>
      </c>
      <c r="M127" s="396" t="str">
        <f ca="1">+IF(J127="","",IF($J127="Total",SUM(OFFSET(M127,-1,0,-OFFSET($AF$20,MATCH($D127,OFFSET($AD$20,1,0,$AD$19,1),0),0,1,1)-1,1)),_xlfn.IFNA(OFFSET(Report!$J$352,MATCH($J127,OFFSET(Report!$G$352,1,0,$AJ$19,1),0),0,1,1),0)))</f>
        <v/>
      </c>
      <c r="O127" s="396" t="str">
        <f t="shared" ca="1" si="30"/>
        <v/>
      </c>
      <c r="P127" s="396" t="str">
        <f t="shared" ca="1" si="30"/>
        <v/>
      </c>
      <c r="Q127" s="396" t="str">
        <f t="shared" ca="1" si="30"/>
        <v/>
      </c>
      <c r="T127" s="397" t="str">
        <f ca="1">+IF(J127="","",IF($J127="Total",SUM(OFFSET(T127,-1,0,-OFFSET($AF$20,MATCH($D127,OFFSET($AD$20,1,0,$AD$19,1),0),0,1,1)-1,1)),_xlfn.IFNA(OFFSET(Report!$J$196,MATCH($J127,OFFSET(Report!$G$196,1,0,$AJ$19,1),0),0,1,1),0)))</f>
        <v/>
      </c>
      <c r="U127" s="396" t="str">
        <f t="shared" ca="1" si="31"/>
        <v/>
      </c>
      <c r="AJ127" t="e">
        <f t="shared" si="26"/>
        <v>#N/A</v>
      </c>
      <c r="AK127" t="e">
        <f ca="1"/>
        <v>#N/A</v>
      </c>
      <c r="AL127" t="e">
        <f ca="1"/>
        <v>#N/A</v>
      </c>
      <c r="AM127" t="str">
        <f t="shared" ca="1" si="20"/>
        <v/>
      </c>
      <c r="AN127" t="str">
        <f t="shared" ca="1" si="21"/>
        <v/>
      </c>
      <c r="AO127" t="str">
        <f t="shared" ca="1" si="27"/>
        <v/>
      </c>
      <c r="AP127" t="str">
        <f t="shared" ca="1" si="22"/>
        <v/>
      </c>
    </row>
    <row r="128" spans="1:42" x14ac:dyDescent="0.25">
      <c r="A128" t="str">
        <f t="shared" ca="1" si="28"/>
        <v/>
      </c>
      <c r="B128" t="e">
        <f t="shared" ca="1" si="23"/>
        <v>#N/A</v>
      </c>
      <c r="D128" t="str">
        <f t="shared" ca="1" si="29"/>
        <v/>
      </c>
      <c r="E128" t="str">
        <f t="shared" ca="1" si="24"/>
        <v/>
      </c>
      <c r="G128" s="382" t="str">
        <f t="shared" ca="1" si="19"/>
        <v/>
      </c>
      <c r="J128" s="378" t="str">
        <f t="shared" ca="1" si="25"/>
        <v/>
      </c>
      <c r="K128" s="396" t="str">
        <f ca="1">+IF(J128="","",IF($J128="Total",SUM(OFFSET(K128,-1,0,-OFFSET($AF$20,MATCH($D128,OFFSET($AD$20,1,0,$AD$19,1),0),0,1,1)-1,1)),_xlfn.IFNA(OFFSET(Report!$Q$116,MATCH($J128,OFFSET(Report!$G$116,1,0,$AJ$19,1),0),0,1,1),0)))</f>
        <v/>
      </c>
      <c r="L128" s="396" t="str">
        <f ca="1">+IF(J128="","",IF($J128="Total",SUM(OFFSET(L128,-1,0,-OFFSET($AF$20,MATCH($D128,OFFSET($AD$20,1,0,$AD$19,1),0),0,1,1)-1,1)),_xlfn.IFNA(OFFSET(Report!$R$196,MATCH($J128,OFFSET(Report!$G$196,1,0,$AJ$19,1),0),0,1,1),0)))</f>
        <v/>
      </c>
      <c r="M128" s="396" t="str">
        <f ca="1">+IF(J128="","",IF($J128="Total",SUM(OFFSET(M128,-1,0,-OFFSET($AF$20,MATCH($D128,OFFSET($AD$20,1,0,$AD$19,1),0),0,1,1)-1,1)),_xlfn.IFNA(OFFSET(Report!$J$352,MATCH($J128,OFFSET(Report!$G$352,1,0,$AJ$19,1),0),0,1,1),0)))</f>
        <v/>
      </c>
      <c r="O128" s="396" t="str">
        <f t="shared" ca="1" si="30"/>
        <v/>
      </c>
      <c r="P128" s="396" t="str">
        <f t="shared" ca="1" si="30"/>
        <v/>
      </c>
      <c r="Q128" s="396" t="str">
        <f t="shared" ca="1" si="30"/>
        <v/>
      </c>
      <c r="T128" s="397" t="str">
        <f ca="1">+IF(J128="","",IF($J128="Total",SUM(OFFSET(T128,-1,0,-OFFSET($AF$20,MATCH($D128,OFFSET($AD$20,1,0,$AD$19,1),0),0,1,1)-1,1)),_xlfn.IFNA(OFFSET(Report!$J$196,MATCH($J128,OFFSET(Report!$G$196,1,0,$AJ$19,1),0),0,1,1),0)))</f>
        <v/>
      </c>
      <c r="U128" s="396" t="str">
        <f t="shared" ca="1" si="31"/>
        <v/>
      </c>
      <c r="AJ128" t="e">
        <f t="shared" si="26"/>
        <v>#N/A</v>
      </c>
      <c r="AK128" t="e">
        <f ca="1"/>
        <v>#N/A</v>
      </c>
      <c r="AL128" t="e">
        <f ca="1"/>
        <v>#N/A</v>
      </c>
      <c r="AM128" t="str">
        <f t="shared" ca="1" si="20"/>
        <v/>
      </c>
      <c r="AN128" t="str">
        <f t="shared" ca="1" si="21"/>
        <v/>
      </c>
      <c r="AO128" t="str">
        <f t="shared" ca="1" si="27"/>
        <v/>
      </c>
      <c r="AP128" t="str">
        <f t="shared" ca="1" si="22"/>
        <v/>
      </c>
    </row>
    <row r="129" spans="1:42" x14ac:dyDescent="0.25">
      <c r="A129" t="str">
        <f t="shared" ca="1" si="28"/>
        <v/>
      </c>
      <c r="B129" t="e">
        <f t="shared" ca="1" si="23"/>
        <v>#N/A</v>
      </c>
      <c r="D129" t="str">
        <f t="shared" ca="1" si="29"/>
        <v/>
      </c>
      <c r="E129" t="str">
        <f t="shared" ca="1" si="24"/>
        <v/>
      </c>
      <c r="G129" s="382" t="str">
        <f t="shared" ca="1" si="19"/>
        <v/>
      </c>
      <c r="J129" s="378" t="str">
        <f t="shared" ca="1" si="25"/>
        <v/>
      </c>
      <c r="K129" s="396" t="str">
        <f ca="1">+IF(J129="","",IF($J129="Total",SUM(OFFSET(K129,-1,0,-OFFSET($AF$20,MATCH($D129,OFFSET($AD$20,1,0,$AD$19,1),0),0,1,1)-1,1)),_xlfn.IFNA(OFFSET(Report!$Q$116,MATCH($J129,OFFSET(Report!$G$116,1,0,$AJ$19,1),0),0,1,1),0)))</f>
        <v/>
      </c>
      <c r="L129" s="396" t="str">
        <f ca="1">+IF(J129="","",IF($J129="Total",SUM(OFFSET(L129,-1,0,-OFFSET($AF$20,MATCH($D129,OFFSET($AD$20,1,0,$AD$19,1),0),0,1,1)-1,1)),_xlfn.IFNA(OFFSET(Report!$R$196,MATCH($J129,OFFSET(Report!$G$196,1,0,$AJ$19,1),0),0,1,1),0)))</f>
        <v/>
      </c>
      <c r="M129" s="396" t="str">
        <f ca="1">+IF(J129="","",IF($J129="Total",SUM(OFFSET(M129,-1,0,-OFFSET($AF$20,MATCH($D129,OFFSET($AD$20,1,0,$AD$19,1),0),0,1,1)-1,1)),_xlfn.IFNA(OFFSET(Report!$J$352,MATCH($J129,OFFSET(Report!$G$352,1,0,$AJ$19,1),0),0,1,1),0)))</f>
        <v/>
      </c>
      <c r="O129" s="396" t="str">
        <f t="shared" ca="1" si="30"/>
        <v/>
      </c>
      <c r="P129" s="396" t="str">
        <f t="shared" ca="1" si="30"/>
        <v/>
      </c>
      <c r="Q129" s="396" t="str">
        <f t="shared" ca="1" si="30"/>
        <v/>
      </c>
      <c r="T129" s="397" t="str">
        <f ca="1">+IF(J129="","",IF($J129="Total",SUM(OFFSET(T129,-1,0,-OFFSET($AF$20,MATCH($D129,OFFSET($AD$20,1,0,$AD$19,1),0),0,1,1)-1,1)),_xlfn.IFNA(OFFSET(Report!$J$196,MATCH($J129,OFFSET(Report!$G$196,1,0,$AJ$19,1),0),0,1,1),0)))</f>
        <v/>
      </c>
      <c r="U129" s="396" t="str">
        <f t="shared" ca="1" si="31"/>
        <v/>
      </c>
      <c r="AJ129" t="e">
        <f t="shared" si="26"/>
        <v>#N/A</v>
      </c>
      <c r="AK129" t="e">
        <f ca="1"/>
        <v>#N/A</v>
      </c>
      <c r="AL129" t="e">
        <f ca="1"/>
        <v>#N/A</v>
      </c>
      <c r="AM129" t="str">
        <f t="shared" ca="1" si="20"/>
        <v/>
      </c>
      <c r="AN129" t="str">
        <f t="shared" ca="1" si="21"/>
        <v/>
      </c>
      <c r="AO129" t="str">
        <f t="shared" ca="1" si="27"/>
        <v/>
      </c>
      <c r="AP129" t="str">
        <f t="shared" ca="1" si="22"/>
        <v/>
      </c>
    </row>
    <row r="130" spans="1:42" x14ac:dyDescent="0.25">
      <c r="A130" t="str">
        <f t="shared" ca="1" si="28"/>
        <v/>
      </c>
      <c r="B130" t="e">
        <f t="shared" ca="1" si="23"/>
        <v>#N/A</v>
      </c>
      <c r="D130" t="str">
        <f t="shared" ca="1" si="29"/>
        <v/>
      </c>
      <c r="E130" t="str">
        <f t="shared" ca="1" si="24"/>
        <v/>
      </c>
      <c r="G130" s="382" t="str">
        <f t="shared" ca="1" si="19"/>
        <v/>
      </c>
      <c r="J130" s="378" t="str">
        <f t="shared" ca="1" si="25"/>
        <v/>
      </c>
      <c r="K130" s="396" t="str">
        <f ca="1">+IF(J130="","",IF($J130="Total",SUM(OFFSET(K130,-1,0,-OFFSET($AF$20,MATCH($D130,OFFSET($AD$20,1,0,$AD$19,1),0),0,1,1)-1,1)),_xlfn.IFNA(OFFSET(Report!$Q$116,MATCH($J130,OFFSET(Report!$G$116,1,0,$AJ$19,1),0),0,1,1),0)))</f>
        <v/>
      </c>
      <c r="L130" s="396" t="str">
        <f ca="1">+IF(J130="","",IF($J130="Total",SUM(OFFSET(L130,-1,0,-OFFSET($AF$20,MATCH($D130,OFFSET($AD$20,1,0,$AD$19,1),0),0,1,1)-1,1)),_xlfn.IFNA(OFFSET(Report!$R$196,MATCH($J130,OFFSET(Report!$G$196,1,0,$AJ$19,1),0),0,1,1),0)))</f>
        <v/>
      </c>
      <c r="M130" s="396" t="str">
        <f ca="1">+IF(J130="","",IF($J130="Total",SUM(OFFSET(M130,-1,0,-OFFSET($AF$20,MATCH($D130,OFFSET($AD$20,1,0,$AD$19,1),0),0,1,1)-1,1)),_xlfn.IFNA(OFFSET(Report!$J$352,MATCH($J130,OFFSET(Report!$G$352,1,0,$AJ$19,1),0),0,1,1),0)))</f>
        <v/>
      </c>
      <c r="O130" s="396" t="str">
        <f t="shared" ca="1" si="30"/>
        <v/>
      </c>
      <c r="P130" s="396" t="str">
        <f t="shared" ca="1" si="30"/>
        <v/>
      </c>
      <c r="Q130" s="396" t="str">
        <f t="shared" ca="1" si="30"/>
        <v/>
      </c>
      <c r="T130" s="397" t="str">
        <f ca="1">+IF(J130="","",IF($J130="Total",SUM(OFFSET(T130,-1,0,-OFFSET($AF$20,MATCH($D130,OFFSET($AD$20,1,0,$AD$19,1),0),0,1,1)-1,1)),_xlfn.IFNA(OFFSET(Report!$J$196,MATCH($J130,OFFSET(Report!$G$196,1,0,$AJ$19,1),0),0,1,1),0)))</f>
        <v/>
      </c>
      <c r="U130" s="396" t="str">
        <f t="shared" ca="1" si="31"/>
        <v/>
      </c>
      <c r="AJ130" t="e">
        <f t="shared" si="26"/>
        <v>#N/A</v>
      </c>
      <c r="AK130" t="e">
        <f ca="1"/>
        <v>#N/A</v>
      </c>
      <c r="AL130" t="e">
        <f ca="1"/>
        <v>#N/A</v>
      </c>
      <c r="AM130" t="str">
        <f t="shared" ca="1" si="20"/>
        <v/>
      </c>
      <c r="AN130" t="str">
        <f t="shared" ca="1" si="21"/>
        <v/>
      </c>
      <c r="AO130" t="str">
        <f t="shared" ca="1" si="27"/>
        <v/>
      </c>
      <c r="AP130" t="str">
        <f t="shared" ca="1" si="22"/>
        <v/>
      </c>
    </row>
    <row r="131" spans="1:42" x14ac:dyDescent="0.25">
      <c r="A131" t="str">
        <f t="shared" ca="1" si="28"/>
        <v/>
      </c>
      <c r="B131" t="e">
        <f t="shared" ca="1" si="23"/>
        <v>#N/A</v>
      </c>
      <c r="D131" t="str">
        <f t="shared" ca="1" si="29"/>
        <v/>
      </c>
      <c r="E131" t="str">
        <f t="shared" ca="1" si="24"/>
        <v/>
      </c>
      <c r="G131" s="382" t="str">
        <f t="shared" ca="1" si="19"/>
        <v/>
      </c>
      <c r="J131" s="378" t="str">
        <f t="shared" ca="1" si="25"/>
        <v/>
      </c>
      <c r="K131" s="396" t="str">
        <f ca="1">+IF(J131="","",IF($J131="Total",SUM(OFFSET(K131,-1,0,-OFFSET($AF$20,MATCH($D131,OFFSET($AD$20,1,0,$AD$19,1),0),0,1,1)-1,1)),_xlfn.IFNA(OFFSET(Report!$Q$116,MATCH($J131,OFFSET(Report!$G$116,1,0,$AJ$19,1),0),0,1,1),0)))</f>
        <v/>
      </c>
      <c r="L131" s="396" t="str">
        <f ca="1">+IF(J131="","",IF($J131="Total",SUM(OFFSET(L131,-1,0,-OFFSET($AF$20,MATCH($D131,OFFSET($AD$20,1,0,$AD$19,1),0),0,1,1)-1,1)),_xlfn.IFNA(OFFSET(Report!$R$196,MATCH($J131,OFFSET(Report!$G$196,1,0,$AJ$19,1),0),0,1,1),0)))</f>
        <v/>
      </c>
      <c r="M131" s="396" t="str">
        <f ca="1">+IF(J131="","",IF($J131="Total",SUM(OFFSET(M131,-1,0,-OFFSET($AF$20,MATCH($D131,OFFSET($AD$20,1,0,$AD$19,1),0),0,1,1)-1,1)),_xlfn.IFNA(OFFSET(Report!$J$352,MATCH($J131,OFFSET(Report!$G$352,1,0,$AJ$19,1),0),0,1,1),0)))</f>
        <v/>
      </c>
      <c r="O131" s="396" t="str">
        <f t="shared" ca="1" si="30"/>
        <v/>
      </c>
      <c r="P131" s="396" t="str">
        <f t="shared" ca="1" si="30"/>
        <v/>
      </c>
      <c r="Q131" s="396" t="str">
        <f t="shared" ca="1" si="30"/>
        <v/>
      </c>
      <c r="T131" s="397" t="str">
        <f ca="1">+IF(J131="","",IF($J131="Total",SUM(OFFSET(T131,-1,0,-OFFSET($AF$20,MATCH($D131,OFFSET($AD$20,1,0,$AD$19,1),0),0,1,1)-1,1)),_xlfn.IFNA(OFFSET(Report!$J$196,MATCH($J131,OFFSET(Report!$G$196,1,0,$AJ$19,1),0),0,1,1),0)))</f>
        <v/>
      </c>
      <c r="U131" s="396" t="str">
        <f t="shared" ca="1" si="31"/>
        <v/>
      </c>
      <c r="AJ131" t="e">
        <f t="shared" si="26"/>
        <v>#N/A</v>
      </c>
      <c r="AK131" t="e">
        <f ca="1"/>
        <v>#N/A</v>
      </c>
      <c r="AL131" t="e">
        <f ca="1"/>
        <v>#N/A</v>
      </c>
      <c r="AM131" t="str">
        <f t="shared" ca="1" si="20"/>
        <v/>
      </c>
      <c r="AN131" t="str">
        <f t="shared" ca="1" si="21"/>
        <v/>
      </c>
      <c r="AO131" t="str">
        <f t="shared" ca="1" si="27"/>
        <v/>
      </c>
      <c r="AP131" t="str">
        <f t="shared" ca="1" si="22"/>
        <v/>
      </c>
    </row>
    <row r="132" spans="1:42" x14ac:dyDescent="0.25">
      <c r="A132" t="str">
        <f t="shared" ca="1" si="28"/>
        <v/>
      </c>
      <c r="B132" t="e">
        <f t="shared" ca="1" si="23"/>
        <v>#N/A</v>
      </c>
      <c r="D132" t="str">
        <f t="shared" ca="1" si="29"/>
        <v/>
      </c>
      <c r="E132" t="str">
        <f t="shared" ca="1" si="24"/>
        <v/>
      </c>
      <c r="G132" s="382" t="str">
        <f t="shared" ca="1" si="19"/>
        <v/>
      </c>
      <c r="J132" s="378" t="str">
        <f t="shared" ca="1" si="25"/>
        <v/>
      </c>
      <c r="K132" s="396" t="str">
        <f ca="1">+IF(J132="","",IF($J132="Total",SUM(OFFSET(K132,-1,0,-OFFSET($AF$20,MATCH($D132,OFFSET($AD$20,1,0,$AD$19,1),0),0,1,1)-1,1)),_xlfn.IFNA(OFFSET(Report!$Q$116,MATCH($J132,OFFSET(Report!$G$116,1,0,$AJ$19,1),0),0,1,1),0)))</f>
        <v/>
      </c>
      <c r="L132" s="396" t="str">
        <f ca="1">+IF(J132="","",IF($J132="Total",SUM(OFFSET(L132,-1,0,-OFFSET($AF$20,MATCH($D132,OFFSET($AD$20,1,0,$AD$19,1),0),0,1,1)-1,1)),_xlfn.IFNA(OFFSET(Report!$R$196,MATCH($J132,OFFSET(Report!$G$196,1,0,$AJ$19,1),0),0,1,1),0)))</f>
        <v/>
      </c>
      <c r="M132" s="396" t="str">
        <f ca="1">+IF(J132="","",IF($J132="Total",SUM(OFFSET(M132,-1,0,-OFFSET($AF$20,MATCH($D132,OFFSET($AD$20,1,0,$AD$19,1),0),0,1,1)-1,1)),_xlfn.IFNA(OFFSET(Report!$J$352,MATCH($J132,OFFSET(Report!$G$352,1,0,$AJ$19,1),0),0,1,1),0)))</f>
        <v/>
      </c>
      <c r="O132" s="396" t="str">
        <f t="shared" ca="1" si="30"/>
        <v/>
      </c>
      <c r="P132" s="396" t="str">
        <f t="shared" ca="1" si="30"/>
        <v/>
      </c>
      <c r="Q132" s="396" t="str">
        <f t="shared" ca="1" si="30"/>
        <v/>
      </c>
      <c r="T132" s="397" t="str">
        <f ca="1">+IF(J132="","",IF($J132="Total",SUM(OFFSET(T132,-1,0,-OFFSET($AF$20,MATCH($D132,OFFSET($AD$20,1,0,$AD$19,1),0),0,1,1)-1,1)),_xlfn.IFNA(OFFSET(Report!$J$196,MATCH($J132,OFFSET(Report!$G$196,1,0,$AJ$19,1),0),0,1,1),0)))</f>
        <v/>
      </c>
      <c r="U132" s="396" t="str">
        <f t="shared" ca="1" si="31"/>
        <v/>
      </c>
      <c r="AJ132" t="e">
        <f t="shared" si="26"/>
        <v>#N/A</v>
      </c>
      <c r="AK132" t="e">
        <f ca="1"/>
        <v>#N/A</v>
      </c>
      <c r="AL132" t="e">
        <f ca="1"/>
        <v>#N/A</v>
      </c>
      <c r="AM132" t="str">
        <f t="shared" ca="1" si="20"/>
        <v/>
      </c>
      <c r="AN132" t="str">
        <f t="shared" ca="1" si="21"/>
        <v/>
      </c>
      <c r="AO132" t="str">
        <f t="shared" ca="1" si="27"/>
        <v/>
      </c>
      <c r="AP132" t="str">
        <f t="shared" ca="1" si="22"/>
        <v/>
      </c>
    </row>
    <row r="133" spans="1:42" x14ac:dyDescent="0.25">
      <c r="A133" t="str">
        <f t="shared" ca="1" si="28"/>
        <v/>
      </c>
      <c r="B133" t="e">
        <f t="shared" ca="1" si="23"/>
        <v>#N/A</v>
      </c>
      <c r="D133" t="str">
        <f t="shared" ca="1" si="29"/>
        <v/>
      </c>
      <c r="E133" t="str">
        <f t="shared" ca="1" si="24"/>
        <v/>
      </c>
      <c r="G133" s="382" t="str">
        <f t="shared" ca="1" si="19"/>
        <v/>
      </c>
      <c r="J133" s="378" t="str">
        <f t="shared" ca="1" si="25"/>
        <v/>
      </c>
      <c r="K133" s="396" t="str">
        <f ca="1">+IF(J133="","",IF($J133="Total",SUM(OFFSET(K133,-1,0,-OFFSET($AF$20,MATCH($D133,OFFSET($AD$20,1,0,$AD$19,1),0),0,1,1)-1,1)),_xlfn.IFNA(OFFSET(Report!$Q$116,MATCH($J133,OFFSET(Report!$G$116,1,0,$AJ$19,1),0),0,1,1),0)))</f>
        <v/>
      </c>
      <c r="L133" s="396" t="str">
        <f ca="1">+IF(J133="","",IF($J133="Total",SUM(OFFSET(L133,-1,0,-OFFSET($AF$20,MATCH($D133,OFFSET($AD$20,1,0,$AD$19,1),0),0,1,1)-1,1)),_xlfn.IFNA(OFFSET(Report!$R$196,MATCH($J133,OFFSET(Report!$G$196,1,0,$AJ$19,1),0),0,1,1),0)))</f>
        <v/>
      </c>
      <c r="M133" s="396" t="str">
        <f ca="1">+IF(J133="","",IF($J133="Total",SUM(OFFSET(M133,-1,0,-OFFSET($AF$20,MATCH($D133,OFFSET($AD$20,1,0,$AD$19,1),0),0,1,1)-1,1)),_xlfn.IFNA(OFFSET(Report!$J$352,MATCH($J133,OFFSET(Report!$G$352,1,0,$AJ$19,1),0),0,1,1),0)))</f>
        <v/>
      </c>
      <c r="O133" s="396" t="str">
        <f t="shared" ca="1" si="30"/>
        <v/>
      </c>
      <c r="P133" s="396" t="str">
        <f t="shared" ca="1" si="30"/>
        <v/>
      </c>
      <c r="Q133" s="396" t="str">
        <f t="shared" ca="1" si="30"/>
        <v/>
      </c>
      <c r="T133" s="397" t="str">
        <f ca="1">+IF(J133="","",IF($J133="Total",SUM(OFFSET(T133,-1,0,-OFFSET($AF$20,MATCH($D133,OFFSET($AD$20,1,0,$AD$19,1),0),0,1,1)-1,1)),_xlfn.IFNA(OFFSET(Report!$J$196,MATCH($J133,OFFSET(Report!$G$196,1,0,$AJ$19,1),0),0,1,1),0)))</f>
        <v/>
      </c>
      <c r="U133" s="396" t="str">
        <f t="shared" ca="1" si="31"/>
        <v/>
      </c>
    </row>
    <row r="134" spans="1:42" x14ac:dyDescent="0.25">
      <c r="A134" t="str">
        <f t="shared" ca="1" si="28"/>
        <v/>
      </c>
      <c r="B134" t="e">
        <f t="shared" ca="1" si="23"/>
        <v>#N/A</v>
      </c>
      <c r="D134" t="str">
        <f t="shared" ca="1" si="29"/>
        <v/>
      </c>
      <c r="E134" t="str">
        <f t="shared" ca="1" si="24"/>
        <v/>
      </c>
      <c r="G134" s="382" t="str">
        <f t="shared" ca="1" si="19"/>
        <v/>
      </c>
      <c r="J134" s="378" t="str">
        <f t="shared" ca="1" si="25"/>
        <v/>
      </c>
      <c r="K134" s="396" t="str">
        <f ca="1">+IF(J134="","",IF($J134="Total",SUM(OFFSET(K134,-1,0,-OFFSET($AF$20,MATCH($D134,OFFSET($AD$20,1,0,$AD$19,1),0),0,1,1)-1,1)),_xlfn.IFNA(OFFSET(Report!$Q$116,MATCH($J134,OFFSET(Report!$G$116,1,0,$AJ$19,1),0),0,1,1),0)))</f>
        <v/>
      </c>
      <c r="L134" s="396" t="str">
        <f ca="1">+IF(J134="","",IF($J134="Total",SUM(OFFSET(L134,-1,0,-OFFSET($AF$20,MATCH($D134,OFFSET($AD$20,1,0,$AD$19,1),0),0,1,1)-1,1)),_xlfn.IFNA(OFFSET(Report!$R$196,MATCH($J134,OFFSET(Report!$G$196,1,0,$AJ$19,1),0),0,1,1),0)))</f>
        <v/>
      </c>
      <c r="M134" s="396" t="str">
        <f ca="1">+IF(J134="","",IF($J134="Total",SUM(OFFSET(M134,-1,0,-OFFSET($AF$20,MATCH($D134,OFFSET($AD$20,1,0,$AD$19,1),0),0,1,1)-1,1)),_xlfn.IFNA(OFFSET(Report!$J$352,MATCH($J134,OFFSET(Report!$G$352,1,0,$AJ$19,1),0),0,1,1),0)))</f>
        <v/>
      </c>
      <c r="O134" s="396" t="str">
        <f t="shared" ca="1" si="30"/>
        <v/>
      </c>
      <c r="P134" s="396" t="str">
        <f t="shared" ca="1" si="30"/>
        <v/>
      </c>
      <c r="Q134" s="396" t="str">
        <f t="shared" ca="1" si="30"/>
        <v/>
      </c>
      <c r="T134" s="397" t="str">
        <f ca="1">+IF(J134="","",IF($J134="Total",SUM(OFFSET(T134,-1,0,-OFFSET($AF$20,MATCH($D134,OFFSET($AD$20,1,0,$AD$19,1),0),0,1,1)-1,1)),_xlfn.IFNA(OFFSET(Report!$J$196,MATCH($J134,OFFSET(Report!$G$196,1,0,$AJ$19,1),0),0,1,1),0)))</f>
        <v/>
      </c>
      <c r="U134" s="396" t="str">
        <f t="shared" ca="1" si="31"/>
        <v/>
      </c>
    </row>
    <row r="135" spans="1:42" x14ac:dyDescent="0.25">
      <c r="A135" t="str">
        <f t="shared" ca="1" si="28"/>
        <v/>
      </c>
      <c r="B135" t="e">
        <f t="shared" ca="1" si="23"/>
        <v>#N/A</v>
      </c>
      <c r="D135" t="str">
        <f t="shared" ca="1" si="29"/>
        <v/>
      </c>
      <c r="E135" t="str">
        <f t="shared" ca="1" si="24"/>
        <v/>
      </c>
      <c r="G135" s="382" t="str">
        <f t="shared" ca="1" si="19"/>
        <v/>
      </c>
      <c r="J135" s="378" t="str">
        <f t="shared" ca="1" si="25"/>
        <v/>
      </c>
      <c r="K135" s="396" t="str">
        <f ca="1">+IF(J135="","",IF($J135="Total",SUM(OFFSET(K135,-1,0,-OFFSET($AF$20,MATCH($D135,OFFSET($AD$20,1,0,$AD$19,1),0),0,1,1)-1,1)),_xlfn.IFNA(OFFSET(Report!$Q$116,MATCH($J135,OFFSET(Report!$G$116,1,0,$AJ$19,1),0),0,1,1),0)))</f>
        <v/>
      </c>
      <c r="L135" s="396" t="str">
        <f ca="1">+IF(J135="","",IF($J135="Total",SUM(OFFSET(L135,-1,0,-OFFSET($AF$20,MATCH($D135,OFFSET($AD$20,1,0,$AD$19,1),0),0,1,1)-1,1)),_xlfn.IFNA(OFFSET(Report!$R$196,MATCH($J135,OFFSET(Report!$G$196,1,0,$AJ$19,1),0),0,1,1),0)))</f>
        <v/>
      </c>
      <c r="M135" s="396" t="str">
        <f ca="1">+IF(J135="","",IF($J135="Total",SUM(OFFSET(M135,-1,0,-OFFSET($AF$20,MATCH($D135,OFFSET($AD$20,1,0,$AD$19,1),0),0,1,1)-1,1)),_xlfn.IFNA(OFFSET(Report!$J$352,MATCH($J135,OFFSET(Report!$G$352,1,0,$AJ$19,1),0),0,1,1),0)))</f>
        <v/>
      </c>
      <c r="O135" s="396" t="str">
        <f t="shared" ca="1" si="30"/>
        <v/>
      </c>
      <c r="P135" s="396" t="str">
        <f t="shared" ca="1" si="30"/>
        <v/>
      </c>
      <c r="Q135" s="396" t="str">
        <f t="shared" ca="1" si="30"/>
        <v/>
      </c>
      <c r="T135" s="397" t="str">
        <f ca="1">+IF(J135="","",IF($J135="Total",SUM(OFFSET(T135,-1,0,-OFFSET($AF$20,MATCH($D135,OFFSET($AD$20,1,0,$AD$19,1),0),0,1,1)-1,1)),_xlfn.IFNA(OFFSET(Report!$J$196,MATCH($J135,OFFSET(Report!$G$196,1,0,$AJ$19,1),0),0,1,1),0)))</f>
        <v/>
      </c>
      <c r="U135" s="396" t="str">
        <f t="shared" ca="1" si="31"/>
        <v/>
      </c>
    </row>
    <row r="136" spans="1:42" x14ac:dyDescent="0.25">
      <c r="A136" t="str">
        <f t="shared" ca="1" si="28"/>
        <v/>
      </c>
      <c r="B136" t="e">
        <f t="shared" ca="1" si="23"/>
        <v>#N/A</v>
      </c>
      <c r="D136" t="str">
        <f t="shared" ca="1" si="29"/>
        <v/>
      </c>
      <c r="E136" t="str">
        <f t="shared" ca="1" si="24"/>
        <v/>
      </c>
      <c r="G136" s="382" t="str">
        <f t="shared" ca="1" si="19"/>
        <v/>
      </c>
      <c r="J136" s="378" t="str">
        <f t="shared" ca="1" si="25"/>
        <v/>
      </c>
      <c r="K136" s="396" t="str">
        <f ca="1">+IF(J136="","",IF($J136="Total",SUM(OFFSET(K136,-1,0,-OFFSET($AF$20,MATCH($D136,OFFSET($AD$20,1,0,$AD$19,1),0),0,1,1)-1,1)),_xlfn.IFNA(OFFSET(Report!$Q$116,MATCH($J136,OFFSET(Report!$G$116,1,0,$AJ$19,1),0),0,1,1),0)))</f>
        <v/>
      </c>
      <c r="L136" s="396" t="str">
        <f ca="1">+IF(J136="","",IF($J136="Total",SUM(OFFSET(L136,-1,0,-OFFSET($AF$20,MATCH($D136,OFFSET($AD$20,1,0,$AD$19,1),0),0,1,1)-1,1)),_xlfn.IFNA(OFFSET(Report!$R$196,MATCH($J136,OFFSET(Report!$G$196,1,0,$AJ$19,1),0),0,1,1),0)))</f>
        <v/>
      </c>
      <c r="M136" s="396" t="str">
        <f ca="1">+IF(J136="","",IF($J136="Total",SUM(OFFSET(M136,-1,0,-OFFSET($AF$20,MATCH($D136,OFFSET($AD$20,1,0,$AD$19,1),0),0,1,1)-1,1)),_xlfn.IFNA(OFFSET(Report!$J$352,MATCH($J136,OFFSET(Report!$G$352,1,0,$AJ$19,1),0),0,1,1),0)))</f>
        <v/>
      </c>
      <c r="O136" s="396" t="str">
        <f t="shared" ca="1" si="30"/>
        <v/>
      </c>
      <c r="P136" s="396" t="str">
        <f t="shared" ca="1" si="30"/>
        <v/>
      </c>
      <c r="Q136" s="396" t="str">
        <f t="shared" ca="1" si="30"/>
        <v/>
      </c>
      <c r="T136" s="397" t="str">
        <f ca="1">+IF(J136="","",IF($J136="Total",SUM(OFFSET(T136,-1,0,-OFFSET($AF$20,MATCH($D136,OFFSET($AD$20,1,0,$AD$19,1),0),0,1,1)-1,1)),_xlfn.IFNA(OFFSET(Report!$J$196,MATCH($J136,OFFSET(Report!$G$196,1,0,$AJ$19,1),0),0,1,1),0)))</f>
        <v/>
      </c>
      <c r="U136" s="396" t="str">
        <f t="shared" ca="1" si="31"/>
        <v/>
      </c>
    </row>
    <row r="137" spans="1:42" x14ac:dyDescent="0.25">
      <c r="A137" t="str">
        <f t="shared" ca="1" si="28"/>
        <v/>
      </c>
      <c r="B137" t="e">
        <f t="shared" ca="1" si="23"/>
        <v>#N/A</v>
      </c>
      <c r="D137" t="str">
        <f t="shared" ca="1" si="29"/>
        <v/>
      </c>
      <c r="E137" t="str">
        <f t="shared" ca="1" si="24"/>
        <v/>
      </c>
      <c r="G137" s="382" t="str">
        <f t="shared" ca="1" si="19"/>
        <v/>
      </c>
      <c r="J137" s="378" t="str">
        <f t="shared" ca="1" si="25"/>
        <v/>
      </c>
      <c r="K137" s="396" t="str">
        <f ca="1">+IF(J137="","",IF($J137="Total",SUM(OFFSET(K137,-1,0,-OFFSET($AF$20,MATCH($D137,OFFSET($AD$20,1,0,$AD$19,1),0),0,1,1)-1,1)),_xlfn.IFNA(OFFSET(Report!$Q$116,MATCH($J137,OFFSET(Report!$G$116,1,0,$AJ$19,1),0),0,1,1),0)))</f>
        <v/>
      </c>
      <c r="L137" s="396" t="str">
        <f ca="1">+IF(J137="","",IF($J137="Total",SUM(OFFSET(L137,-1,0,-OFFSET($AF$20,MATCH($D137,OFFSET($AD$20,1,0,$AD$19,1),0),0,1,1)-1,1)),_xlfn.IFNA(OFFSET(Report!$R$196,MATCH($J137,OFFSET(Report!$G$196,1,0,$AJ$19,1),0),0,1,1),0)))</f>
        <v/>
      </c>
      <c r="M137" s="396" t="str">
        <f ca="1">+IF(J137="","",IF($J137="Total",SUM(OFFSET(M137,-1,0,-OFFSET($AF$20,MATCH($D137,OFFSET($AD$20,1,0,$AD$19,1),0),0,1,1)-1,1)),_xlfn.IFNA(OFFSET(Report!$J$352,MATCH($J137,OFFSET(Report!$G$352,1,0,$AJ$19,1),0),0,1,1),0)))</f>
        <v/>
      </c>
      <c r="O137" s="396" t="str">
        <f t="shared" ca="1" si="30"/>
        <v/>
      </c>
      <c r="P137" s="396" t="str">
        <f t="shared" ca="1" si="30"/>
        <v/>
      </c>
      <c r="Q137" s="396" t="str">
        <f t="shared" ca="1" si="30"/>
        <v/>
      </c>
      <c r="T137" s="397" t="str">
        <f ca="1">+IF(J137="","",IF($J137="Total",SUM(OFFSET(T137,-1,0,-OFFSET($AF$20,MATCH($D137,OFFSET($AD$20,1,0,$AD$19,1),0),0,1,1)-1,1)),_xlfn.IFNA(OFFSET(Report!$J$196,MATCH($J137,OFFSET(Report!$G$196,1,0,$AJ$19,1),0),0,1,1),0)))</f>
        <v/>
      </c>
      <c r="U137" s="396" t="str">
        <f t="shared" ca="1" si="31"/>
        <v/>
      </c>
    </row>
    <row r="138" spans="1:42" x14ac:dyDescent="0.25">
      <c r="A138" t="str">
        <f t="shared" ca="1" si="28"/>
        <v/>
      </c>
      <c r="B138" t="e">
        <f t="shared" ca="1" si="23"/>
        <v>#N/A</v>
      </c>
      <c r="D138" t="str">
        <f t="shared" ca="1" si="29"/>
        <v/>
      </c>
      <c r="E138" t="str">
        <f t="shared" ca="1" si="24"/>
        <v/>
      </c>
      <c r="G138" s="382" t="str">
        <f t="shared" ca="1" si="19"/>
        <v/>
      </c>
      <c r="J138" s="378" t="str">
        <f t="shared" ca="1" si="25"/>
        <v/>
      </c>
      <c r="K138" s="396" t="str">
        <f ca="1">+IF(J138="","",IF($J138="Total",SUM(OFFSET(K138,-1,0,-OFFSET($AF$20,MATCH($D138,OFFSET($AD$20,1,0,$AD$19,1),0),0,1,1)-1,1)),_xlfn.IFNA(OFFSET(Report!$Q$116,MATCH($J138,OFFSET(Report!$G$116,1,0,$AJ$19,1),0),0,1,1),0)))</f>
        <v/>
      </c>
      <c r="L138" s="396" t="str">
        <f ca="1">+IF(J138="","",IF($J138="Total",SUM(OFFSET(L138,-1,0,-OFFSET($AF$20,MATCH($D138,OFFSET($AD$20,1,0,$AD$19,1),0),0,1,1)-1,1)),_xlfn.IFNA(OFFSET(Report!$R$196,MATCH($J138,OFFSET(Report!$G$196,1,0,$AJ$19,1),0),0,1,1),0)))</f>
        <v/>
      </c>
      <c r="M138" s="396" t="str">
        <f ca="1">+IF(J138="","",IF($J138="Total",SUM(OFFSET(M138,-1,0,-OFFSET($AF$20,MATCH($D138,OFFSET($AD$20,1,0,$AD$19,1),0),0,1,1)-1,1)),_xlfn.IFNA(OFFSET(Report!$J$352,MATCH($J138,OFFSET(Report!$G$352,1,0,$AJ$19,1),0),0,1,1),0)))</f>
        <v/>
      </c>
      <c r="O138" s="396" t="str">
        <f t="shared" ca="1" si="30"/>
        <v/>
      </c>
      <c r="P138" s="396" t="str">
        <f t="shared" ca="1" si="30"/>
        <v/>
      </c>
      <c r="Q138" s="396" t="str">
        <f t="shared" ca="1" si="30"/>
        <v/>
      </c>
      <c r="T138" s="397" t="str">
        <f ca="1">+IF(J138="","",IF($J138="Total",SUM(OFFSET(T138,-1,0,-OFFSET($AF$20,MATCH($D138,OFFSET($AD$20,1,0,$AD$19,1),0),0,1,1)-1,1)),_xlfn.IFNA(OFFSET(Report!$J$196,MATCH($J138,OFFSET(Report!$G$196,1,0,$AJ$19,1),0),0,1,1),0)))</f>
        <v/>
      </c>
      <c r="U138" s="396" t="str">
        <f t="shared" ca="1" si="31"/>
        <v/>
      </c>
    </row>
    <row r="139" spans="1:42" x14ac:dyDescent="0.25">
      <c r="A139" t="str">
        <f t="shared" ca="1" si="28"/>
        <v/>
      </c>
      <c r="B139" t="e">
        <f t="shared" ca="1" si="23"/>
        <v>#N/A</v>
      </c>
      <c r="D139" t="str">
        <f t="shared" ca="1" si="29"/>
        <v/>
      </c>
      <c r="E139" t="str">
        <f t="shared" ca="1" si="24"/>
        <v/>
      </c>
      <c r="G139" s="382" t="str">
        <f t="shared" ca="1" si="19"/>
        <v/>
      </c>
      <c r="J139" s="378" t="str">
        <f t="shared" ca="1" si="25"/>
        <v/>
      </c>
      <c r="K139" s="396" t="str">
        <f ca="1">+IF(J139="","",IF($J139="Total",SUM(OFFSET(K139,-1,0,-OFFSET($AF$20,MATCH($D139,OFFSET($AD$20,1,0,$AD$19,1),0),0,1,1)-1,1)),_xlfn.IFNA(OFFSET(Report!$Q$116,MATCH($J139,OFFSET(Report!$G$116,1,0,$AJ$19,1),0),0,1,1),0)))</f>
        <v/>
      </c>
      <c r="L139" s="396" t="str">
        <f ca="1">+IF(J139="","",IF($J139="Total",SUM(OFFSET(L139,-1,0,-OFFSET($AF$20,MATCH($D139,OFFSET($AD$20,1,0,$AD$19,1),0),0,1,1)-1,1)),_xlfn.IFNA(OFFSET(Report!$R$196,MATCH($J139,OFFSET(Report!$G$196,1,0,$AJ$19,1),0),0,1,1),0)))</f>
        <v/>
      </c>
      <c r="M139" s="396" t="str">
        <f ca="1">+IF(J139="","",IF($J139="Total",SUM(OFFSET(M139,-1,0,-OFFSET($AF$20,MATCH($D139,OFFSET($AD$20,1,0,$AD$19,1),0),0,1,1)-1,1)),_xlfn.IFNA(OFFSET(Report!$J$352,MATCH($J139,OFFSET(Report!$G$352,1,0,$AJ$19,1),0),0,1,1),0)))</f>
        <v/>
      </c>
      <c r="O139" s="396" t="str">
        <f t="shared" ca="1" si="30"/>
        <v/>
      </c>
      <c r="P139" s="396" t="str">
        <f t="shared" ca="1" si="30"/>
        <v/>
      </c>
      <c r="Q139" s="396" t="str">
        <f t="shared" ca="1" si="30"/>
        <v/>
      </c>
      <c r="T139" s="397" t="str">
        <f ca="1">+IF(J139="","",IF($J139="Total",SUM(OFFSET(T139,-1,0,-OFFSET($AF$20,MATCH($D139,OFFSET($AD$20,1,0,$AD$19,1),0),0,1,1)-1,1)),_xlfn.IFNA(OFFSET(Report!$J$196,MATCH($J139,OFFSET(Report!$G$196,1,0,$AJ$19,1),0),0,1,1),0)))</f>
        <v/>
      </c>
      <c r="U139" s="396" t="str">
        <f t="shared" ca="1" si="31"/>
        <v/>
      </c>
    </row>
    <row r="140" spans="1:42" x14ac:dyDescent="0.25">
      <c r="A140" t="str">
        <f t="shared" ca="1" si="28"/>
        <v/>
      </c>
      <c r="B140" t="e">
        <f t="shared" ca="1" si="23"/>
        <v>#N/A</v>
      </c>
      <c r="D140" t="str">
        <f t="shared" ca="1" si="29"/>
        <v/>
      </c>
      <c r="E140" t="str">
        <f t="shared" ca="1" si="24"/>
        <v/>
      </c>
      <c r="G140" s="382" t="str">
        <f t="shared" ca="1" si="19"/>
        <v/>
      </c>
      <c r="J140" s="378" t="str">
        <f t="shared" ca="1" si="25"/>
        <v/>
      </c>
      <c r="K140" s="396" t="str">
        <f ca="1">+IF(J140="","",IF($J140="Total",SUM(OFFSET(K140,-1,0,-OFFSET($AF$20,MATCH($D140,OFFSET($AD$20,1,0,$AD$19,1),0),0,1,1)-1,1)),_xlfn.IFNA(OFFSET(Report!$Q$116,MATCH($J140,OFFSET(Report!$G$116,1,0,$AJ$19,1),0),0,1,1),0)))</f>
        <v/>
      </c>
      <c r="L140" s="396" t="str">
        <f ca="1">+IF(J140="","",IF($J140="Total",SUM(OFFSET(L140,-1,0,-OFFSET($AF$20,MATCH($D140,OFFSET($AD$20,1,0,$AD$19,1),0),0,1,1)-1,1)),_xlfn.IFNA(OFFSET(Report!$R$196,MATCH($J140,OFFSET(Report!$G$196,1,0,$AJ$19,1),0),0,1,1),0)))</f>
        <v/>
      </c>
      <c r="M140" s="396" t="str">
        <f ca="1">+IF(J140="","",IF($J140="Total",SUM(OFFSET(M140,-1,0,-OFFSET($AF$20,MATCH($D140,OFFSET($AD$20,1,0,$AD$19,1),0),0,1,1)-1,1)),_xlfn.IFNA(OFFSET(Report!$J$352,MATCH($J140,OFFSET(Report!$G$352,1,0,$AJ$19,1),0),0,1,1),0)))</f>
        <v/>
      </c>
      <c r="O140" s="396" t="str">
        <f t="shared" ca="1" si="30"/>
        <v/>
      </c>
      <c r="P140" s="396" t="str">
        <f t="shared" ca="1" si="30"/>
        <v/>
      </c>
      <c r="Q140" s="396" t="str">
        <f t="shared" ca="1" si="30"/>
        <v/>
      </c>
      <c r="T140" s="397" t="str">
        <f ca="1">+IF(J140="","",IF($J140="Total",SUM(OFFSET(T140,-1,0,-OFFSET($AF$20,MATCH($D140,OFFSET($AD$20,1,0,$AD$19,1),0),0,1,1)-1,1)),_xlfn.IFNA(OFFSET(Report!$J$196,MATCH($J140,OFFSET(Report!$G$196,1,0,$AJ$19,1),0),0,1,1),0)))</f>
        <v/>
      </c>
      <c r="U140" s="396" t="str">
        <f t="shared" ca="1" si="31"/>
        <v/>
      </c>
    </row>
    <row r="141" spans="1:42" x14ac:dyDescent="0.25">
      <c r="A141" t="str">
        <f t="shared" ca="1" si="28"/>
        <v/>
      </c>
      <c r="B141" t="e">
        <f t="shared" ca="1" si="23"/>
        <v>#N/A</v>
      </c>
      <c r="D141" t="str">
        <f t="shared" ca="1" si="29"/>
        <v/>
      </c>
      <c r="E141" t="str">
        <f t="shared" ca="1" si="24"/>
        <v/>
      </c>
      <c r="G141" s="382" t="str">
        <f t="shared" ca="1" si="19"/>
        <v/>
      </c>
      <c r="J141" s="378" t="str">
        <f t="shared" ca="1" si="25"/>
        <v/>
      </c>
      <c r="K141" s="396" t="str">
        <f ca="1">+IF(J141="","",IF($J141="Total",SUM(OFFSET(K141,-1,0,-OFFSET($AF$20,MATCH($D141,OFFSET($AD$20,1,0,$AD$19,1),0),0,1,1)-1,1)),_xlfn.IFNA(OFFSET(Report!$Q$116,MATCH($J141,OFFSET(Report!$G$116,1,0,$AJ$19,1),0),0,1,1),0)))</f>
        <v/>
      </c>
      <c r="L141" s="396" t="str">
        <f ca="1">+IF(J141="","",IF($J141="Total",SUM(OFFSET(L141,-1,0,-OFFSET($AF$20,MATCH($D141,OFFSET($AD$20,1,0,$AD$19,1),0),0,1,1)-1,1)),_xlfn.IFNA(OFFSET(Report!$R$196,MATCH($J141,OFFSET(Report!$G$196,1,0,$AJ$19,1),0),0,1,1),0)))</f>
        <v/>
      </c>
      <c r="M141" s="396" t="str">
        <f ca="1">+IF(J141="","",IF($J141="Total",SUM(OFFSET(M141,-1,0,-OFFSET($AF$20,MATCH($D141,OFFSET($AD$20,1,0,$AD$19,1),0),0,1,1)-1,1)),_xlfn.IFNA(OFFSET(Report!$J$352,MATCH($J141,OFFSET(Report!$G$352,1,0,$AJ$19,1),0),0,1,1),0)))</f>
        <v/>
      </c>
      <c r="O141" s="396" t="str">
        <f t="shared" ca="1" si="30"/>
        <v/>
      </c>
      <c r="P141" s="396" t="str">
        <f t="shared" ca="1" si="30"/>
        <v/>
      </c>
      <c r="Q141" s="396" t="str">
        <f t="shared" ca="1" si="30"/>
        <v/>
      </c>
      <c r="T141" s="397" t="str">
        <f ca="1">+IF(J141="","",IF($J141="Total",SUM(OFFSET(T141,-1,0,-OFFSET($AF$20,MATCH($D141,OFFSET($AD$20,1,0,$AD$19,1),0),0,1,1)-1,1)),_xlfn.IFNA(OFFSET(Report!$J$196,MATCH($J141,OFFSET(Report!$G$196,1,0,$AJ$19,1),0),0,1,1),0)))</f>
        <v/>
      </c>
      <c r="U141" s="396" t="str">
        <f t="shared" ca="1" si="31"/>
        <v/>
      </c>
    </row>
    <row r="142" spans="1:42" x14ac:dyDescent="0.25">
      <c r="A142" t="str">
        <f t="shared" ca="1" si="28"/>
        <v/>
      </c>
      <c r="B142" t="e">
        <f t="shared" ca="1" si="23"/>
        <v>#N/A</v>
      </c>
      <c r="D142" t="str">
        <f t="shared" ca="1" si="29"/>
        <v/>
      </c>
      <c r="E142" t="str">
        <f t="shared" ca="1" si="24"/>
        <v/>
      </c>
      <c r="G142" s="382" t="str">
        <f t="shared" ca="1" si="19"/>
        <v/>
      </c>
      <c r="J142" s="378" t="str">
        <f t="shared" ca="1" si="25"/>
        <v/>
      </c>
      <c r="K142" s="396" t="str">
        <f ca="1">+IF(J142="","",IF($J142="Total",SUM(OFFSET(K142,-1,0,-OFFSET($AF$20,MATCH($D142,OFFSET($AD$20,1,0,$AD$19,1),0),0,1,1)-1,1)),_xlfn.IFNA(OFFSET(Report!$Q$116,MATCH($J142,OFFSET(Report!$G$116,1,0,$AJ$19,1),0),0,1,1),0)))</f>
        <v/>
      </c>
      <c r="L142" s="396" t="str">
        <f ca="1">+IF(J142="","",IF($J142="Total",SUM(OFFSET(L142,-1,0,-OFFSET($AF$20,MATCH($D142,OFFSET($AD$20,1,0,$AD$19,1),0),0,1,1)-1,1)),_xlfn.IFNA(OFFSET(Report!$R$196,MATCH($J142,OFFSET(Report!$G$196,1,0,$AJ$19,1),0),0,1,1),0)))</f>
        <v/>
      </c>
      <c r="M142" s="396" t="str">
        <f ca="1">+IF(J142="","",IF($J142="Total",SUM(OFFSET(M142,-1,0,-OFFSET($AF$20,MATCH($D142,OFFSET($AD$20,1,0,$AD$19,1),0),0,1,1)-1,1)),_xlfn.IFNA(OFFSET(Report!$J$352,MATCH($J142,OFFSET(Report!$G$352,1,0,$AJ$19,1),0),0,1,1),0)))</f>
        <v/>
      </c>
      <c r="O142" s="396" t="str">
        <f t="shared" ca="1" si="30"/>
        <v/>
      </c>
      <c r="P142" s="396" t="str">
        <f t="shared" ca="1" si="30"/>
        <v/>
      </c>
      <c r="Q142" s="396" t="str">
        <f t="shared" ca="1" si="30"/>
        <v/>
      </c>
      <c r="T142" s="397" t="str">
        <f ca="1">+IF(J142="","",IF($J142="Total",SUM(OFFSET(T142,-1,0,-OFFSET($AF$20,MATCH($D142,OFFSET($AD$20,1,0,$AD$19,1),0),0,1,1)-1,1)),_xlfn.IFNA(OFFSET(Report!$J$196,MATCH($J142,OFFSET(Report!$G$196,1,0,$AJ$19,1),0),0,1,1),0)))</f>
        <v/>
      </c>
      <c r="U142" s="396" t="str">
        <f t="shared" ca="1" si="31"/>
        <v/>
      </c>
    </row>
    <row r="143" spans="1:42" x14ac:dyDescent="0.25">
      <c r="A143" t="str">
        <f t="shared" ca="1" si="28"/>
        <v/>
      </c>
      <c r="B143" t="e">
        <f t="shared" ca="1" si="23"/>
        <v>#N/A</v>
      </c>
      <c r="D143" t="str">
        <f t="shared" ca="1" si="29"/>
        <v/>
      </c>
      <c r="E143" t="str">
        <f t="shared" ca="1" si="24"/>
        <v/>
      </c>
      <c r="G143" s="382" t="str">
        <f t="shared" ca="1" si="19"/>
        <v/>
      </c>
      <c r="J143" s="378" t="str">
        <f t="shared" ca="1" si="25"/>
        <v/>
      </c>
      <c r="K143" s="396" t="str">
        <f ca="1">+IF(J143="","",IF($J143="Total",SUM(OFFSET(K143,-1,0,-OFFSET($AF$20,MATCH($D143,OFFSET($AD$20,1,0,$AD$19,1),0),0,1,1)-1,1)),_xlfn.IFNA(OFFSET(Report!$Q$116,MATCH($J143,OFFSET(Report!$G$116,1,0,$AJ$19,1),0),0,1,1),0)))</f>
        <v/>
      </c>
      <c r="L143" s="396" t="str">
        <f ca="1">+IF(J143="","",IF($J143="Total",SUM(OFFSET(L143,-1,0,-OFFSET($AF$20,MATCH($D143,OFFSET($AD$20,1,0,$AD$19,1),0),0,1,1)-1,1)),_xlfn.IFNA(OFFSET(Report!$R$196,MATCH($J143,OFFSET(Report!$G$196,1,0,$AJ$19,1),0),0,1,1),0)))</f>
        <v/>
      </c>
      <c r="M143" s="396" t="str">
        <f ca="1">+IF(J143="","",IF($J143="Total",SUM(OFFSET(M143,-1,0,-OFFSET($AF$20,MATCH($D143,OFFSET($AD$20,1,0,$AD$19,1),0),0,1,1)-1,1)),_xlfn.IFNA(OFFSET(Report!$J$352,MATCH($J143,OFFSET(Report!$G$352,1,0,$AJ$19,1),0),0,1,1),0)))</f>
        <v/>
      </c>
      <c r="O143" s="396" t="str">
        <f t="shared" ca="1" si="30"/>
        <v/>
      </c>
      <c r="P143" s="396" t="str">
        <f t="shared" ca="1" si="30"/>
        <v/>
      </c>
      <c r="Q143" s="396" t="str">
        <f t="shared" ca="1" si="30"/>
        <v/>
      </c>
      <c r="T143" s="397" t="str">
        <f ca="1">+IF(J143="","",IF($J143="Total",SUM(OFFSET(T143,-1,0,-OFFSET($AF$20,MATCH($D143,OFFSET($AD$20,1,0,$AD$19,1),0),0,1,1)-1,1)),_xlfn.IFNA(OFFSET(Report!$J$196,MATCH($J143,OFFSET(Report!$G$196,1,0,$AJ$19,1),0),0,1,1),0)))</f>
        <v/>
      </c>
      <c r="U143" s="396" t="str">
        <f t="shared" ca="1" si="31"/>
        <v/>
      </c>
    </row>
    <row r="144" spans="1:42" x14ac:dyDescent="0.25">
      <c r="A144" t="str">
        <f t="shared" ca="1" si="28"/>
        <v/>
      </c>
      <c r="B144" t="e">
        <f t="shared" ca="1" si="23"/>
        <v>#N/A</v>
      </c>
      <c r="D144" t="str">
        <f t="shared" ca="1" si="29"/>
        <v/>
      </c>
      <c r="E144" t="str">
        <f t="shared" ca="1" si="24"/>
        <v/>
      </c>
      <c r="G144" s="382" t="str">
        <f t="shared" ca="1" si="19"/>
        <v/>
      </c>
      <c r="J144" s="378" t="str">
        <f t="shared" ca="1" si="25"/>
        <v/>
      </c>
      <c r="K144" s="396" t="str">
        <f ca="1">+IF(J144="","",IF($J144="Total",SUM(OFFSET(K144,-1,0,-OFFSET($AF$20,MATCH($D144,OFFSET($AD$20,1,0,$AD$19,1),0),0,1,1)-1,1)),_xlfn.IFNA(OFFSET(Report!$Q$116,MATCH($J144,OFFSET(Report!$G$116,1,0,$AJ$19,1),0),0,1,1),0)))</f>
        <v/>
      </c>
      <c r="L144" s="396" t="str">
        <f ca="1">+IF(J144="","",IF($J144="Total",SUM(OFFSET(L144,-1,0,-OFFSET($AF$20,MATCH($D144,OFFSET($AD$20,1,0,$AD$19,1),0),0,1,1)-1,1)),_xlfn.IFNA(OFFSET(Report!$R$196,MATCH($J144,OFFSET(Report!$G$196,1,0,$AJ$19,1),0),0,1,1),0)))</f>
        <v/>
      </c>
      <c r="M144" s="396" t="str">
        <f ca="1">+IF(J144="","",IF($J144="Total",SUM(OFFSET(M144,-1,0,-OFFSET($AF$20,MATCH($D144,OFFSET($AD$20,1,0,$AD$19,1),0),0,1,1)-1,1)),_xlfn.IFNA(OFFSET(Report!$J$352,MATCH($J144,OFFSET(Report!$G$352,1,0,$AJ$19,1),0),0,1,1),0)))</f>
        <v/>
      </c>
      <c r="O144" s="396" t="str">
        <f t="shared" ca="1" si="30"/>
        <v/>
      </c>
      <c r="P144" s="396" t="str">
        <f t="shared" ca="1" si="30"/>
        <v/>
      </c>
      <c r="Q144" s="396" t="str">
        <f t="shared" ca="1" si="30"/>
        <v/>
      </c>
      <c r="T144" s="397" t="str">
        <f ca="1">+IF(J144="","",IF($J144="Total",SUM(OFFSET(T144,-1,0,-OFFSET($AF$20,MATCH($D144,OFFSET($AD$20,1,0,$AD$19,1),0),0,1,1)-1,1)),_xlfn.IFNA(OFFSET(Report!$J$196,MATCH($J144,OFFSET(Report!$G$196,1,0,$AJ$19,1),0),0,1,1),0)))</f>
        <v/>
      </c>
      <c r="U144" s="396" t="str">
        <f t="shared" ca="1" si="31"/>
        <v/>
      </c>
    </row>
    <row r="145" spans="1:21" x14ac:dyDescent="0.25">
      <c r="A145" t="str">
        <f t="shared" ca="1" si="28"/>
        <v/>
      </c>
      <c r="B145" t="e">
        <f t="shared" ca="1" si="23"/>
        <v>#N/A</v>
      </c>
      <c r="D145" t="str">
        <f t="shared" ca="1" si="29"/>
        <v/>
      </c>
      <c r="E145" t="str">
        <f t="shared" ca="1" si="24"/>
        <v/>
      </c>
      <c r="G145" s="382" t="str">
        <f t="shared" ca="1" si="19"/>
        <v/>
      </c>
      <c r="J145" s="378" t="str">
        <f t="shared" ca="1" si="25"/>
        <v/>
      </c>
      <c r="K145" s="396" t="str">
        <f ca="1">+IF(J145="","",IF($J145="Total",SUM(OFFSET(K145,-1,0,-OFFSET($AF$20,MATCH($D145,OFFSET($AD$20,1,0,$AD$19,1),0),0,1,1)-1,1)),_xlfn.IFNA(OFFSET(Report!$Q$116,MATCH($J145,OFFSET(Report!$G$116,1,0,$AJ$19,1),0),0,1,1),0)))</f>
        <v/>
      </c>
      <c r="L145" s="396" t="str">
        <f ca="1">+IF(J145="","",IF($J145="Total",SUM(OFFSET(L145,-1,0,-OFFSET($AF$20,MATCH($D145,OFFSET($AD$20,1,0,$AD$19,1),0),0,1,1)-1,1)),_xlfn.IFNA(OFFSET(Report!$R$196,MATCH($J145,OFFSET(Report!$G$196,1,0,$AJ$19,1),0),0,1,1),0)))</f>
        <v/>
      </c>
      <c r="M145" s="396" t="str">
        <f ca="1">+IF(J145="","",IF($J145="Total",SUM(OFFSET(M145,-1,0,-OFFSET($AF$20,MATCH($D145,OFFSET($AD$20,1,0,$AD$19,1),0),0,1,1)-1,1)),_xlfn.IFNA(OFFSET(Report!$J$352,MATCH($J145,OFFSET(Report!$G$352,1,0,$AJ$19,1),0),0,1,1),0)))</f>
        <v/>
      </c>
      <c r="O145" s="396" t="str">
        <f t="shared" ca="1" si="30"/>
        <v/>
      </c>
      <c r="P145" s="396" t="str">
        <f t="shared" ca="1" si="30"/>
        <v/>
      </c>
      <c r="Q145" s="396" t="str">
        <f t="shared" ca="1" si="30"/>
        <v/>
      </c>
      <c r="T145" s="397" t="str">
        <f ca="1">+IF(J145="","",IF($J145="Total",SUM(OFFSET(T145,-1,0,-OFFSET($AF$20,MATCH($D145,OFFSET($AD$20,1,0,$AD$19,1),0),0,1,1)-1,1)),_xlfn.IFNA(OFFSET(Report!$J$196,MATCH($J145,OFFSET(Report!$G$196,1,0,$AJ$19,1),0),0,1,1),0)))</f>
        <v/>
      </c>
      <c r="U145" s="396" t="str">
        <f t="shared" ca="1" si="31"/>
        <v/>
      </c>
    </row>
    <row r="146" spans="1:21" x14ac:dyDescent="0.25">
      <c r="A146" t="str">
        <f t="shared" ca="1" si="28"/>
        <v/>
      </c>
      <c r="B146" t="e">
        <f t="shared" ca="1" si="23"/>
        <v>#N/A</v>
      </c>
      <c r="D146" t="str">
        <f t="shared" ca="1" si="29"/>
        <v/>
      </c>
      <c r="E146" t="str">
        <f t="shared" ca="1" si="24"/>
        <v/>
      </c>
      <c r="G146" s="382" t="str">
        <f t="shared" ca="1" si="19"/>
        <v/>
      </c>
      <c r="J146" s="378" t="str">
        <f t="shared" ca="1" si="25"/>
        <v/>
      </c>
      <c r="K146" s="396" t="str">
        <f ca="1">+IF(J146="","",IF($J146="Total",SUM(OFFSET(K146,-1,0,-OFFSET($AF$20,MATCH($D146,OFFSET($AD$20,1,0,$AD$19,1),0),0,1,1)-1,1)),_xlfn.IFNA(OFFSET(Report!$Q$116,MATCH($J146,OFFSET(Report!$G$116,1,0,$AJ$19,1),0),0,1,1),0)))</f>
        <v/>
      </c>
      <c r="L146" s="396" t="str">
        <f ca="1">+IF(J146="","",IF($J146="Total",SUM(OFFSET(L146,-1,0,-OFFSET($AF$20,MATCH($D146,OFFSET($AD$20,1,0,$AD$19,1),0),0,1,1)-1,1)),_xlfn.IFNA(OFFSET(Report!$R$196,MATCH($J146,OFFSET(Report!$G$196,1,0,$AJ$19,1),0),0,1,1),0)))</f>
        <v/>
      </c>
      <c r="M146" s="396" t="str">
        <f ca="1">+IF(J146="","",IF($J146="Total",SUM(OFFSET(M146,-1,0,-OFFSET($AF$20,MATCH($D146,OFFSET($AD$20,1,0,$AD$19,1),0),0,1,1)-1,1)),_xlfn.IFNA(OFFSET(Report!$J$352,MATCH($J146,OFFSET(Report!$G$352,1,0,$AJ$19,1),0),0,1,1),0)))</f>
        <v/>
      </c>
      <c r="O146" s="396" t="str">
        <f t="shared" ca="1" si="30"/>
        <v/>
      </c>
      <c r="P146" s="396" t="str">
        <f t="shared" ca="1" si="30"/>
        <v/>
      </c>
      <c r="Q146" s="396" t="str">
        <f t="shared" ca="1" si="30"/>
        <v/>
      </c>
      <c r="T146" s="397" t="str">
        <f ca="1">+IF(J146="","",IF($J146="Total",SUM(OFFSET(T146,-1,0,-OFFSET($AF$20,MATCH($D146,OFFSET($AD$20,1,0,$AD$19,1),0),0,1,1)-1,1)),_xlfn.IFNA(OFFSET(Report!$J$196,MATCH($J146,OFFSET(Report!$G$196,1,0,$AJ$19,1),0),0,1,1),0)))</f>
        <v/>
      </c>
      <c r="U146" s="396" t="str">
        <f t="shared" ca="1" si="31"/>
        <v/>
      </c>
    </row>
    <row r="147" spans="1:21" x14ac:dyDescent="0.25">
      <c r="A147" t="str">
        <f t="shared" ca="1" si="28"/>
        <v/>
      </c>
      <c r="B147" t="e">
        <f t="shared" ca="1" si="23"/>
        <v>#N/A</v>
      </c>
      <c r="D147" t="str">
        <f t="shared" ca="1" si="29"/>
        <v/>
      </c>
      <c r="E147" t="str">
        <f t="shared" ca="1" si="24"/>
        <v/>
      </c>
      <c r="G147" s="382" t="str">
        <f t="shared" ca="1" si="19"/>
        <v/>
      </c>
      <c r="J147" s="378" t="str">
        <f t="shared" ca="1" si="25"/>
        <v/>
      </c>
      <c r="K147" s="396" t="str">
        <f ca="1">+IF(J147="","",IF($J147="Total",SUM(OFFSET(K147,-1,0,-OFFSET($AF$20,MATCH($D147,OFFSET($AD$20,1,0,$AD$19,1),0),0,1,1)-1,1)),_xlfn.IFNA(OFFSET(Report!$Q$116,MATCH($J147,OFFSET(Report!$G$116,1,0,$AJ$19,1),0),0,1,1),0)))</f>
        <v/>
      </c>
      <c r="L147" s="396" t="str">
        <f ca="1">+IF(J147="","",IF($J147="Total",SUM(OFFSET(L147,-1,0,-OFFSET($AF$20,MATCH($D147,OFFSET($AD$20,1,0,$AD$19,1),0),0,1,1)-1,1)),_xlfn.IFNA(OFFSET(Report!$R$196,MATCH($J147,OFFSET(Report!$G$196,1,0,$AJ$19,1),0),0,1,1),0)))</f>
        <v/>
      </c>
      <c r="M147" s="396" t="str">
        <f ca="1">+IF(J147="","",IF($J147="Total",SUM(OFFSET(M147,-1,0,-OFFSET($AF$20,MATCH($D147,OFFSET($AD$20,1,0,$AD$19,1),0),0,1,1)-1,1)),_xlfn.IFNA(OFFSET(Report!$J$352,MATCH($J147,OFFSET(Report!$G$352,1,0,$AJ$19,1),0),0,1,1),0)))</f>
        <v/>
      </c>
      <c r="O147" s="396" t="str">
        <f t="shared" ca="1" si="30"/>
        <v/>
      </c>
      <c r="P147" s="396" t="str">
        <f t="shared" ca="1" si="30"/>
        <v/>
      </c>
      <c r="Q147" s="396" t="str">
        <f t="shared" ca="1" si="30"/>
        <v/>
      </c>
      <c r="T147" s="397" t="str">
        <f ca="1">+IF(J147="","",IF($J147="Total",SUM(OFFSET(T147,-1,0,-OFFSET($AF$20,MATCH($D147,OFFSET($AD$20,1,0,$AD$19,1),0),0,1,1)-1,1)),_xlfn.IFNA(OFFSET(Report!$J$196,MATCH($J147,OFFSET(Report!$G$196,1,0,$AJ$19,1),0),0,1,1),0)))</f>
        <v/>
      </c>
      <c r="U147" s="396" t="str">
        <f t="shared" ca="1" si="31"/>
        <v/>
      </c>
    </row>
    <row r="148" spans="1:21" x14ac:dyDescent="0.25">
      <c r="A148" t="str">
        <f t="shared" ca="1" si="28"/>
        <v/>
      </c>
      <c r="B148" t="e">
        <f t="shared" ca="1" si="23"/>
        <v>#N/A</v>
      </c>
      <c r="D148" t="str">
        <f t="shared" ca="1" si="29"/>
        <v/>
      </c>
      <c r="E148" t="str">
        <f t="shared" ca="1" si="24"/>
        <v/>
      </c>
      <c r="G148" s="382" t="str">
        <f t="shared" ca="1" si="19"/>
        <v/>
      </c>
      <c r="J148" s="378" t="str">
        <f t="shared" ca="1" si="25"/>
        <v/>
      </c>
      <c r="K148" s="396" t="str">
        <f ca="1">+IF(J148="","",IF($J148="Total",SUM(OFFSET(K148,-1,0,-OFFSET($AF$20,MATCH($D148,OFFSET($AD$20,1,0,$AD$19,1),0),0,1,1)-1,1)),_xlfn.IFNA(OFFSET(Report!$Q$116,MATCH($J148,OFFSET(Report!$G$116,1,0,$AJ$19,1),0),0,1,1),0)))</f>
        <v/>
      </c>
      <c r="L148" s="396" t="str">
        <f ca="1">+IF(J148="","",IF($J148="Total",SUM(OFFSET(L148,-1,0,-OFFSET($AF$20,MATCH($D148,OFFSET($AD$20,1,0,$AD$19,1),0),0,1,1)-1,1)),_xlfn.IFNA(OFFSET(Report!$R$196,MATCH($J148,OFFSET(Report!$G$196,1,0,$AJ$19,1),0),0,1,1),0)))</f>
        <v/>
      </c>
      <c r="M148" s="396" t="str">
        <f ca="1">+IF(J148="","",IF($J148="Total",SUM(OFFSET(M148,-1,0,-OFFSET($AF$20,MATCH($D148,OFFSET($AD$20,1,0,$AD$19,1),0),0,1,1)-1,1)),_xlfn.IFNA(OFFSET(Report!$J$352,MATCH($J148,OFFSET(Report!$G$352,1,0,$AJ$19,1),0),0,1,1),0)))</f>
        <v/>
      </c>
      <c r="O148" s="396" t="str">
        <f t="shared" ca="1" si="30"/>
        <v/>
      </c>
      <c r="P148" s="396" t="str">
        <f t="shared" ca="1" si="30"/>
        <v/>
      </c>
      <c r="Q148" s="396" t="str">
        <f t="shared" ca="1" si="30"/>
        <v/>
      </c>
      <c r="T148" s="397" t="str">
        <f ca="1">+IF(J148="","",IF($J148="Total",SUM(OFFSET(T148,-1,0,-OFFSET($AF$20,MATCH($D148,OFFSET($AD$20,1,0,$AD$19,1),0),0,1,1)-1,1)),_xlfn.IFNA(OFFSET(Report!$J$196,MATCH($J148,OFFSET(Report!$G$196,1,0,$AJ$19,1),0),0,1,1),0)))</f>
        <v/>
      </c>
      <c r="U148" s="396" t="str">
        <f t="shared" ca="1" si="31"/>
        <v/>
      </c>
    </row>
    <row r="149" spans="1:21" x14ac:dyDescent="0.25">
      <c r="A149" t="str">
        <f t="shared" ca="1" si="28"/>
        <v/>
      </c>
      <c r="B149" t="e">
        <f t="shared" ca="1" si="23"/>
        <v>#N/A</v>
      </c>
      <c r="D149" t="str">
        <f t="shared" ca="1" si="29"/>
        <v/>
      </c>
      <c r="E149" t="str">
        <f t="shared" ca="1" si="24"/>
        <v/>
      </c>
      <c r="G149" s="382" t="str">
        <f t="shared" ca="1" si="19"/>
        <v/>
      </c>
      <c r="J149" s="378" t="str">
        <f t="shared" ca="1" si="25"/>
        <v/>
      </c>
      <c r="K149" s="396" t="str">
        <f ca="1">+IF(J149="","",IF($J149="Total",SUM(OFFSET(K149,-1,0,-OFFSET($AF$20,MATCH($D149,OFFSET($AD$20,1,0,$AD$19,1),0),0,1,1)-1,1)),_xlfn.IFNA(OFFSET(Report!$Q$116,MATCH($J149,OFFSET(Report!$G$116,1,0,$AJ$19,1),0),0,1,1),0)))</f>
        <v/>
      </c>
      <c r="L149" s="396" t="str">
        <f ca="1">+IF(J149="","",IF($J149="Total",SUM(OFFSET(L149,-1,0,-OFFSET($AF$20,MATCH($D149,OFFSET($AD$20,1,0,$AD$19,1),0),0,1,1)-1,1)),_xlfn.IFNA(OFFSET(Report!$R$196,MATCH($J149,OFFSET(Report!$G$196,1,0,$AJ$19,1),0),0,1,1),0)))</f>
        <v/>
      </c>
      <c r="M149" s="396" t="str">
        <f ca="1">+IF(J149="","",IF($J149="Total",SUM(OFFSET(M149,-1,0,-OFFSET($AF$20,MATCH($D149,OFFSET($AD$20,1,0,$AD$19,1),0),0,1,1)-1,1)),_xlfn.IFNA(OFFSET(Report!$J$352,MATCH($J149,OFFSET(Report!$G$352,1,0,$AJ$19,1),0),0,1,1),0)))</f>
        <v/>
      </c>
      <c r="O149" s="396" t="str">
        <f t="shared" ca="1" si="30"/>
        <v/>
      </c>
      <c r="P149" s="396" t="str">
        <f t="shared" ca="1" si="30"/>
        <v/>
      </c>
      <c r="Q149" s="396" t="str">
        <f t="shared" ca="1" si="30"/>
        <v/>
      </c>
      <c r="T149" s="397" t="str">
        <f ca="1">+IF(J149="","",IF($J149="Total",SUM(OFFSET(T149,-1,0,-OFFSET($AF$20,MATCH($D149,OFFSET($AD$20,1,0,$AD$19,1),0),0,1,1)-1,1)),_xlfn.IFNA(OFFSET(Report!$J$196,MATCH($J149,OFFSET(Report!$G$196,1,0,$AJ$19,1),0),0,1,1),0)))</f>
        <v/>
      </c>
      <c r="U149" s="396" t="str">
        <f t="shared" ca="1" si="31"/>
        <v/>
      </c>
    </row>
    <row r="150" spans="1:21" x14ac:dyDescent="0.25">
      <c r="A150" t="str">
        <f t="shared" ca="1" si="28"/>
        <v/>
      </c>
      <c r="B150" t="e">
        <f t="shared" ca="1" si="23"/>
        <v>#N/A</v>
      </c>
      <c r="D150" t="str">
        <f t="shared" ca="1" si="29"/>
        <v/>
      </c>
      <c r="E150" t="str">
        <f t="shared" ca="1" si="24"/>
        <v/>
      </c>
      <c r="G150" s="382" t="str">
        <f t="shared" ref="G150:G151" ca="1" si="32">+IF(ISNA($B150),"",_xlfn.IFNA(OFFSET($AE$20,MATCH($B150,OFFSET($AH$20,1,0,$AD$19,1),0),0,1,1),""))</f>
        <v/>
      </c>
      <c r="J150" s="378" t="str">
        <f t="shared" ca="1" si="25"/>
        <v/>
      </c>
      <c r="K150" s="396" t="str">
        <f ca="1">+IF(J150="","",IF($J150="Total",SUM(OFFSET(K150,-1,0,-OFFSET($AF$20,MATCH($D150,OFFSET($AD$20,1,0,$AD$19,1),0),0,1,1)-1,1)),_xlfn.IFNA(OFFSET(Report!$Q$116,MATCH($J150,OFFSET(Report!$G$116,1,0,$AJ$19,1),0),0,1,1),0)))</f>
        <v/>
      </c>
      <c r="L150" s="396" t="str">
        <f ca="1">+IF(J150="","",IF($J150="Total",SUM(OFFSET(L150,-1,0,-OFFSET($AF$20,MATCH($D150,OFFSET($AD$20,1,0,$AD$19,1),0),0,1,1)-1,1)),_xlfn.IFNA(OFFSET(Report!$R$196,MATCH($J150,OFFSET(Report!$G$196,1,0,$AJ$19,1),0),0,1,1),0)))</f>
        <v/>
      </c>
      <c r="M150" s="396" t="str">
        <f ca="1">+IF(J150="","",IF($J150="Total",SUM(OFFSET(M150,-1,0,-OFFSET($AF$20,MATCH($D150,OFFSET($AD$20,1,0,$AD$19,1),0),0,1,1)-1,1)),_xlfn.IFNA(OFFSET(Report!$J$352,MATCH($J150,OFFSET(Report!$G$352,1,0,$AJ$19,1),0),0,1,1),0)))</f>
        <v/>
      </c>
      <c r="O150" s="396" t="str">
        <f t="shared" ca="1" si="30"/>
        <v/>
      </c>
      <c r="P150" s="396" t="str">
        <f t="shared" ca="1" si="30"/>
        <v/>
      </c>
      <c r="Q150" s="396" t="str">
        <f t="shared" ca="1" si="30"/>
        <v/>
      </c>
      <c r="T150" s="397" t="str">
        <f ca="1">+IF(J150="","",IF($J150="Total",SUM(OFFSET(T150,-1,0,-OFFSET($AF$20,MATCH($D150,OFFSET($AD$20,1,0,$AD$19,1),0),0,1,1)-1,1)),_xlfn.IFNA(OFFSET(Report!$J$196,MATCH($J150,OFFSET(Report!$G$196,1,0,$AJ$19,1),0),0,1,1),0)))</f>
        <v/>
      </c>
      <c r="U150" s="396" t="str">
        <f t="shared" ca="1" si="31"/>
        <v/>
      </c>
    </row>
    <row r="151" spans="1:21" x14ac:dyDescent="0.25">
      <c r="A151" t="str">
        <f t="shared" ca="1" si="28"/>
        <v/>
      </c>
      <c r="B151" t="e">
        <f t="shared" ref="B151" ca="1" si="33">+IF(OR(ISNA(B150),1+B150&gt;$B$21),NA(),1+B150)</f>
        <v>#N/A</v>
      </c>
      <c r="D151" t="str">
        <f t="shared" ca="1" si="29"/>
        <v/>
      </c>
      <c r="E151" t="str">
        <f ca="1">+IF(ISNA($B151),"",IF($G151&lt;&gt;"","",IF(E150="",1,1+E150)))</f>
        <v/>
      </c>
      <c r="G151" s="382" t="str">
        <f t="shared" ca="1" si="32"/>
        <v/>
      </c>
      <c r="J151" s="378" t="str">
        <f t="shared" ref="J151" ca="1" si="34">+IF(ISNA($B151),"",IF($G151&lt;&gt;"","",IF($E151&gt;OFFSET($AF$20,MATCH($D151,OFFSET($AD$20,1,0,$AD$19,1),0),0,1,1),"Total",OFFSET($AK$20,MATCH($B151,OFFSET($AN$20,1,0,$AJ$19,1),0),0,1,1))))</f>
        <v/>
      </c>
      <c r="K151" s="396" t="str">
        <f ca="1">+IF(J151="","",IF($J151="Total",SUM(OFFSET(K151,-1,0,-OFFSET($AF$20,MATCH($D151,OFFSET($AD$20,1,0,$AD$19,1),0),0,1,1)-1,1)),_xlfn.IFNA(OFFSET(Report!$Q$116,MATCH($J151,OFFSET(Report!$G$116,1,0,$AJ$19,1),0),0,1,1),0)))</f>
        <v/>
      </c>
      <c r="L151" s="396" t="str">
        <f ca="1">+IF(J151="","",IF($J151="Total",SUM(OFFSET(L151,-1,0,-OFFSET($AF$20,MATCH($D151,OFFSET($AD$20,1,0,$AD$19,1),0),0,1,1)-1,1)),_xlfn.IFNA(OFFSET(Report!$R$196,MATCH($J151,OFFSET(Report!$G$196,1,0,$AJ$19,1),0),0,1,1),0)))</f>
        <v/>
      </c>
      <c r="M151" s="396" t="str">
        <f ca="1">+IF(J151="","",IF($J151="Total",SUM(OFFSET(M151,-1,0,-OFFSET($AF$20,MATCH($D151,OFFSET($AD$20,1,0,$AD$19,1),0),0,1,1)-1,1)),_xlfn.IFNA(OFFSET(Report!$J$352,MATCH($J151,OFFSET(Report!$G$352,1,0,$AJ$19,1),0),0,1,1),0)))</f>
        <v/>
      </c>
      <c r="O151" s="396" t="str">
        <f t="shared" ca="1" si="30"/>
        <v/>
      </c>
      <c r="P151" s="396" t="str">
        <f t="shared" ca="1" si="30"/>
        <v/>
      </c>
      <c r="Q151" s="396" t="str">
        <f t="shared" ca="1" si="30"/>
        <v/>
      </c>
      <c r="T151" s="397" t="str">
        <f ca="1">+IF(J151="","",IF($J151="Total",SUM(OFFSET(T151,-1,0,-OFFSET($AF$20,MATCH($D151,OFFSET($AD$20,1,0,$AD$19,1),0),0,1,1)-1,1)),_xlfn.IFNA(OFFSET(Report!$J$196,MATCH($J151,OFFSET(Report!$G$196,1,0,$AJ$19,1),0),0,1,1),0)))</f>
        <v/>
      </c>
      <c r="U151" s="396" t="str">
        <f t="shared" ca="1" si="31"/>
        <v/>
      </c>
    </row>
    <row r="152" spans="1:21" x14ac:dyDescent="0.25">
      <c r="A152" t="e">
        <f t="shared" ref="A152:A197" ca="1" si="35">+IF(ISNA($B152),"",IF($G152&lt;&gt;"","",OFFSET($AK$20,MATCH($B152,OFFSET($AN$20,1,0,$AJ$19,1),0),0,1,1)))</f>
        <v>#N/A</v>
      </c>
      <c r="G152" s="382"/>
      <c r="J152" s="378"/>
      <c r="K152" s="396"/>
      <c r="L152" s="396"/>
      <c r="M152" s="396"/>
      <c r="O152" s="396"/>
      <c r="P152" s="396"/>
      <c r="Q152" s="396"/>
    </row>
    <row r="153" spans="1:21" x14ac:dyDescent="0.25">
      <c r="A153" t="e">
        <f t="shared" ca="1" si="35"/>
        <v>#N/A</v>
      </c>
      <c r="G153" s="382"/>
      <c r="J153" s="378"/>
      <c r="K153" s="396"/>
      <c r="L153" s="396"/>
      <c r="M153" s="396"/>
      <c r="O153" s="396"/>
      <c r="P153" s="396"/>
      <c r="Q153" s="396"/>
    </row>
    <row r="154" spans="1:21" x14ac:dyDescent="0.25">
      <c r="A154" t="e">
        <f t="shared" ca="1" si="35"/>
        <v>#N/A</v>
      </c>
      <c r="G154" s="382"/>
      <c r="J154" s="378"/>
      <c r="K154" s="396"/>
      <c r="L154" s="396"/>
      <c r="M154" s="396"/>
      <c r="O154" s="396"/>
      <c r="P154" s="396"/>
      <c r="Q154" s="396"/>
    </row>
    <row r="155" spans="1:21" x14ac:dyDescent="0.25">
      <c r="A155" t="e">
        <f t="shared" ca="1" si="35"/>
        <v>#N/A</v>
      </c>
      <c r="G155" s="382"/>
      <c r="J155" s="378"/>
      <c r="K155" s="396"/>
      <c r="L155" s="396"/>
      <c r="M155" s="396"/>
      <c r="O155" s="396"/>
      <c r="P155" s="396"/>
      <c r="Q155" s="396"/>
    </row>
    <row r="156" spans="1:21" x14ac:dyDescent="0.25">
      <c r="A156" t="e">
        <f t="shared" ca="1" si="35"/>
        <v>#N/A</v>
      </c>
      <c r="G156" s="382"/>
      <c r="J156" s="378"/>
      <c r="K156" s="396"/>
      <c r="L156" s="396"/>
      <c r="M156" s="396"/>
      <c r="O156" s="396"/>
      <c r="P156" s="396"/>
      <c r="Q156" s="396"/>
    </row>
    <row r="157" spans="1:21" x14ac:dyDescent="0.25">
      <c r="A157" t="e">
        <f t="shared" ca="1" si="35"/>
        <v>#N/A</v>
      </c>
      <c r="G157" s="382"/>
      <c r="J157" s="378"/>
      <c r="K157" s="396"/>
      <c r="L157" s="396"/>
      <c r="M157" s="396"/>
      <c r="O157" s="396"/>
      <c r="P157" s="396"/>
      <c r="Q157" s="396"/>
    </row>
    <row r="158" spans="1:21" x14ac:dyDescent="0.25">
      <c r="A158" t="e">
        <f t="shared" ca="1" si="35"/>
        <v>#N/A</v>
      </c>
      <c r="G158" s="382"/>
      <c r="J158" s="378"/>
      <c r="K158" s="396"/>
      <c r="L158" s="396"/>
      <c r="M158" s="396"/>
      <c r="O158" s="396"/>
      <c r="P158" s="396"/>
      <c r="Q158" s="396"/>
    </row>
    <row r="159" spans="1:21" x14ac:dyDescent="0.25">
      <c r="A159" t="e">
        <f t="shared" ca="1" si="35"/>
        <v>#N/A</v>
      </c>
      <c r="G159" s="382"/>
      <c r="J159" s="378"/>
      <c r="K159" s="396"/>
      <c r="L159" s="396"/>
      <c r="M159" s="396"/>
      <c r="O159" s="396"/>
      <c r="P159" s="396"/>
      <c r="Q159" s="396"/>
    </row>
    <row r="160" spans="1:21" x14ac:dyDescent="0.25">
      <c r="A160" t="e">
        <f t="shared" ca="1" si="35"/>
        <v>#N/A</v>
      </c>
      <c r="G160" s="382"/>
      <c r="J160" s="378"/>
      <c r="K160" s="396"/>
      <c r="L160" s="396"/>
      <c r="M160" s="396"/>
      <c r="O160" s="396"/>
      <c r="P160" s="396"/>
      <c r="Q160" s="396"/>
    </row>
    <row r="161" spans="1:17" x14ac:dyDescent="0.25">
      <c r="A161" t="e">
        <f t="shared" ca="1" si="35"/>
        <v>#N/A</v>
      </c>
      <c r="G161" s="382"/>
      <c r="J161" s="378"/>
      <c r="K161" s="396"/>
      <c r="L161" s="396"/>
      <c r="M161" s="396"/>
      <c r="O161" s="396"/>
      <c r="P161" s="396"/>
      <c r="Q161" s="396"/>
    </row>
    <row r="162" spans="1:17" x14ac:dyDescent="0.25">
      <c r="A162" t="e">
        <f t="shared" ca="1" si="35"/>
        <v>#N/A</v>
      </c>
      <c r="G162" s="382"/>
      <c r="J162" s="378"/>
      <c r="K162" s="396"/>
      <c r="L162" s="396"/>
      <c r="M162" s="396"/>
      <c r="O162" s="396"/>
      <c r="P162" s="396"/>
      <c r="Q162" s="396"/>
    </row>
    <row r="163" spans="1:17" x14ac:dyDescent="0.25">
      <c r="A163" t="e">
        <f t="shared" ca="1" si="35"/>
        <v>#N/A</v>
      </c>
      <c r="G163" s="382"/>
      <c r="J163" s="378"/>
      <c r="K163" s="396"/>
      <c r="L163" s="396"/>
      <c r="M163" s="396"/>
      <c r="O163" s="396"/>
      <c r="P163" s="396"/>
      <c r="Q163" s="396"/>
    </row>
    <row r="164" spans="1:17" x14ac:dyDescent="0.25">
      <c r="A164" t="e">
        <f t="shared" ca="1" si="35"/>
        <v>#N/A</v>
      </c>
      <c r="G164" s="382"/>
      <c r="J164" s="378"/>
      <c r="K164" s="396"/>
      <c r="L164" s="396"/>
      <c r="M164" s="396"/>
      <c r="O164" s="396"/>
      <c r="P164" s="396"/>
      <c r="Q164" s="396"/>
    </row>
    <row r="165" spans="1:17" x14ac:dyDescent="0.25">
      <c r="A165" t="e">
        <f t="shared" ca="1" si="35"/>
        <v>#N/A</v>
      </c>
      <c r="G165" s="382"/>
      <c r="J165" s="378"/>
      <c r="K165" s="396"/>
      <c r="L165" s="396"/>
      <c r="M165" s="396"/>
      <c r="O165" s="396"/>
      <c r="P165" s="396"/>
      <c r="Q165" s="396"/>
    </row>
    <row r="166" spans="1:17" x14ac:dyDescent="0.25">
      <c r="A166" t="e">
        <f t="shared" ca="1" si="35"/>
        <v>#N/A</v>
      </c>
      <c r="G166" s="382"/>
      <c r="J166" s="378"/>
      <c r="K166" s="396"/>
      <c r="L166" s="396"/>
      <c r="M166" s="396"/>
      <c r="O166" s="396"/>
      <c r="P166" s="396"/>
      <c r="Q166" s="396"/>
    </row>
    <row r="167" spans="1:17" x14ac:dyDescent="0.25">
      <c r="A167" t="e">
        <f t="shared" ca="1" si="35"/>
        <v>#N/A</v>
      </c>
      <c r="G167" s="382"/>
      <c r="J167" s="378"/>
      <c r="K167" s="396"/>
      <c r="L167" s="396"/>
      <c r="M167" s="396"/>
      <c r="O167" s="396"/>
      <c r="P167" s="396"/>
      <c r="Q167" s="396"/>
    </row>
    <row r="168" spans="1:17" x14ac:dyDescent="0.25">
      <c r="A168" t="e">
        <f t="shared" ca="1" si="35"/>
        <v>#N/A</v>
      </c>
      <c r="G168" s="382"/>
      <c r="J168" s="378"/>
      <c r="K168" s="396"/>
      <c r="L168" s="396"/>
      <c r="M168" s="396"/>
      <c r="O168" s="396"/>
      <c r="P168" s="396"/>
      <c r="Q168" s="396"/>
    </row>
    <row r="169" spans="1:17" x14ac:dyDescent="0.25">
      <c r="A169" t="e">
        <f t="shared" ca="1" si="35"/>
        <v>#N/A</v>
      </c>
      <c r="G169" s="382"/>
      <c r="J169" s="378"/>
      <c r="K169" s="396"/>
      <c r="L169" s="396"/>
      <c r="M169" s="396"/>
      <c r="O169" s="396"/>
      <c r="P169" s="396"/>
      <c r="Q169" s="396"/>
    </row>
    <row r="170" spans="1:17" x14ac:dyDescent="0.25">
      <c r="A170" t="e">
        <f t="shared" ca="1" si="35"/>
        <v>#N/A</v>
      </c>
      <c r="G170" s="382"/>
      <c r="J170" s="378"/>
      <c r="K170" s="396"/>
      <c r="L170" s="396"/>
      <c r="M170" s="396"/>
      <c r="O170" s="396"/>
      <c r="P170" s="396"/>
      <c r="Q170" s="396"/>
    </row>
    <row r="171" spans="1:17" x14ac:dyDescent="0.25">
      <c r="A171" t="e">
        <f t="shared" ca="1" si="35"/>
        <v>#N/A</v>
      </c>
      <c r="G171" s="382"/>
      <c r="J171" s="378"/>
      <c r="K171" s="396"/>
      <c r="L171" s="396"/>
      <c r="M171" s="396"/>
      <c r="O171" s="396"/>
      <c r="P171" s="396"/>
      <c r="Q171" s="396"/>
    </row>
    <row r="172" spans="1:17" x14ac:dyDescent="0.25">
      <c r="A172" t="e">
        <f t="shared" ca="1" si="35"/>
        <v>#N/A</v>
      </c>
      <c r="G172" s="382"/>
      <c r="J172" s="378"/>
      <c r="K172" s="396"/>
      <c r="L172" s="396"/>
      <c r="M172" s="396"/>
      <c r="O172" s="396"/>
      <c r="P172" s="396"/>
      <c r="Q172" s="396"/>
    </row>
    <row r="173" spans="1:17" x14ac:dyDescent="0.25">
      <c r="A173" t="e">
        <f t="shared" ca="1" si="35"/>
        <v>#N/A</v>
      </c>
      <c r="G173" s="382"/>
      <c r="J173" s="378"/>
      <c r="K173" s="396"/>
      <c r="L173" s="396"/>
      <c r="M173" s="396"/>
      <c r="O173" s="396"/>
      <c r="P173" s="396"/>
      <c r="Q173" s="396"/>
    </row>
    <row r="174" spans="1:17" x14ac:dyDescent="0.25">
      <c r="A174" t="e">
        <f t="shared" ca="1" si="35"/>
        <v>#N/A</v>
      </c>
      <c r="G174" s="382"/>
      <c r="J174" s="378"/>
      <c r="K174" s="396"/>
      <c r="L174" s="396"/>
      <c r="M174" s="396"/>
      <c r="O174" s="396"/>
      <c r="P174" s="396"/>
      <c r="Q174" s="396"/>
    </row>
    <row r="175" spans="1:17" x14ac:dyDescent="0.25">
      <c r="A175" t="e">
        <f t="shared" ca="1" si="35"/>
        <v>#N/A</v>
      </c>
      <c r="G175" s="382"/>
      <c r="J175" s="378"/>
      <c r="K175" s="396"/>
      <c r="L175" s="396"/>
      <c r="M175" s="396"/>
      <c r="O175" s="396"/>
      <c r="P175" s="396"/>
      <c r="Q175" s="396"/>
    </row>
    <row r="176" spans="1:17" x14ac:dyDescent="0.25">
      <c r="A176" t="e">
        <f t="shared" ca="1" si="35"/>
        <v>#N/A</v>
      </c>
      <c r="G176" s="382"/>
      <c r="J176" s="378"/>
      <c r="K176" s="396"/>
      <c r="L176" s="396"/>
      <c r="M176" s="396"/>
      <c r="O176" s="396"/>
      <c r="P176" s="396"/>
      <c r="Q176" s="396"/>
    </row>
    <row r="177" spans="1:17" x14ac:dyDescent="0.25">
      <c r="A177" t="e">
        <f t="shared" ca="1" si="35"/>
        <v>#N/A</v>
      </c>
      <c r="G177" s="382"/>
      <c r="J177" s="378"/>
      <c r="K177" s="396"/>
      <c r="L177" s="396"/>
      <c r="M177" s="396"/>
      <c r="O177" s="396"/>
      <c r="P177" s="396"/>
      <c r="Q177" s="396"/>
    </row>
    <row r="178" spans="1:17" x14ac:dyDescent="0.25">
      <c r="A178" t="e">
        <f t="shared" ca="1" si="35"/>
        <v>#N/A</v>
      </c>
      <c r="G178" s="382"/>
      <c r="J178" s="378"/>
      <c r="K178" s="396"/>
      <c r="L178" s="396"/>
      <c r="M178" s="396"/>
      <c r="O178" s="396"/>
      <c r="P178" s="396"/>
      <c r="Q178" s="396"/>
    </row>
    <row r="179" spans="1:17" x14ac:dyDescent="0.25">
      <c r="A179" t="e">
        <f t="shared" ca="1" si="35"/>
        <v>#N/A</v>
      </c>
      <c r="G179" s="382"/>
      <c r="J179" s="378"/>
      <c r="K179" s="396"/>
      <c r="L179" s="396"/>
      <c r="M179" s="396"/>
      <c r="O179" s="396"/>
      <c r="P179" s="396"/>
      <c r="Q179" s="396"/>
    </row>
    <row r="180" spans="1:17" x14ac:dyDescent="0.25">
      <c r="A180" t="e">
        <f t="shared" ca="1" si="35"/>
        <v>#N/A</v>
      </c>
      <c r="G180" s="382"/>
      <c r="J180" s="378"/>
      <c r="K180" s="396"/>
      <c r="L180" s="396"/>
      <c r="M180" s="396"/>
      <c r="O180" s="396"/>
      <c r="P180" s="396"/>
      <c r="Q180" s="396"/>
    </row>
    <row r="181" spans="1:17" x14ac:dyDescent="0.25">
      <c r="A181" t="e">
        <f t="shared" ca="1" si="35"/>
        <v>#N/A</v>
      </c>
      <c r="G181" s="382"/>
      <c r="J181" s="378"/>
      <c r="K181" s="396"/>
      <c r="L181" s="396"/>
      <c r="M181" s="396"/>
      <c r="O181" s="396"/>
      <c r="P181" s="396"/>
      <c r="Q181" s="396"/>
    </row>
    <row r="182" spans="1:17" x14ac:dyDescent="0.25">
      <c r="A182" t="e">
        <f t="shared" ca="1" si="35"/>
        <v>#N/A</v>
      </c>
      <c r="G182" s="382"/>
      <c r="J182" s="378"/>
      <c r="K182" s="396"/>
      <c r="L182" s="396"/>
      <c r="M182" s="396"/>
      <c r="O182" s="396"/>
      <c r="P182" s="396"/>
      <c r="Q182" s="396"/>
    </row>
    <row r="183" spans="1:17" x14ac:dyDescent="0.25">
      <c r="A183" t="e">
        <f t="shared" ca="1" si="35"/>
        <v>#N/A</v>
      </c>
      <c r="G183" s="382"/>
      <c r="J183" s="378"/>
      <c r="K183" s="396"/>
      <c r="L183" s="396"/>
      <c r="M183" s="396"/>
      <c r="O183" s="396"/>
      <c r="P183" s="396"/>
      <c r="Q183" s="396"/>
    </row>
    <row r="184" spans="1:17" x14ac:dyDescent="0.25">
      <c r="A184" t="e">
        <f t="shared" ca="1" si="35"/>
        <v>#N/A</v>
      </c>
      <c r="G184" s="382"/>
      <c r="J184" s="378"/>
      <c r="K184" s="396"/>
      <c r="L184" s="396"/>
      <c r="M184" s="396"/>
      <c r="O184" s="396"/>
      <c r="P184" s="396"/>
      <c r="Q184" s="396"/>
    </row>
    <row r="185" spans="1:17" x14ac:dyDescent="0.25">
      <c r="A185" t="e">
        <f t="shared" ca="1" si="35"/>
        <v>#N/A</v>
      </c>
      <c r="G185" s="382"/>
      <c r="J185" s="378"/>
      <c r="K185" s="396"/>
      <c r="L185" s="396"/>
      <c r="M185" s="396"/>
      <c r="O185" s="396"/>
      <c r="P185" s="396"/>
      <c r="Q185" s="396"/>
    </row>
    <row r="186" spans="1:17" x14ac:dyDescent="0.25">
      <c r="A186" t="e">
        <f t="shared" ca="1" si="35"/>
        <v>#N/A</v>
      </c>
      <c r="G186" s="382"/>
      <c r="J186" s="378"/>
      <c r="K186" s="396"/>
      <c r="L186" s="396"/>
      <c r="M186" s="396"/>
      <c r="O186" s="396"/>
      <c r="P186" s="396"/>
      <c r="Q186" s="396"/>
    </row>
    <row r="187" spans="1:17" x14ac:dyDescent="0.25">
      <c r="A187" t="e">
        <f t="shared" ca="1" si="35"/>
        <v>#N/A</v>
      </c>
      <c r="G187" s="382"/>
      <c r="J187" s="378"/>
      <c r="K187" s="396"/>
      <c r="L187" s="396"/>
      <c r="M187" s="396"/>
      <c r="O187" s="396"/>
      <c r="P187" s="396"/>
      <c r="Q187" s="396"/>
    </row>
    <row r="188" spans="1:17" x14ac:dyDescent="0.25">
      <c r="A188" t="e">
        <f t="shared" ca="1" si="35"/>
        <v>#N/A</v>
      </c>
      <c r="G188" s="382"/>
      <c r="J188" s="378"/>
      <c r="K188" s="396"/>
      <c r="L188" s="396"/>
      <c r="M188" s="396"/>
      <c r="O188" s="396"/>
      <c r="P188" s="396"/>
      <c r="Q188" s="396"/>
    </row>
    <row r="189" spans="1:17" x14ac:dyDescent="0.25">
      <c r="A189" t="e">
        <f t="shared" ca="1" si="35"/>
        <v>#N/A</v>
      </c>
      <c r="G189" s="382"/>
      <c r="J189" s="378"/>
      <c r="K189" s="396"/>
      <c r="L189" s="396"/>
      <c r="M189" s="396"/>
      <c r="O189" s="396"/>
      <c r="P189" s="396"/>
      <c r="Q189" s="396"/>
    </row>
    <row r="190" spans="1:17" x14ac:dyDescent="0.25">
      <c r="A190" t="e">
        <f t="shared" ca="1" si="35"/>
        <v>#N/A</v>
      </c>
      <c r="G190" s="382"/>
      <c r="J190" s="378"/>
      <c r="K190" s="396"/>
      <c r="L190" s="396"/>
      <c r="M190" s="396"/>
      <c r="O190" s="396"/>
      <c r="P190" s="396"/>
      <c r="Q190" s="396"/>
    </row>
    <row r="191" spans="1:17" x14ac:dyDescent="0.25">
      <c r="A191" t="e">
        <f t="shared" ca="1" si="35"/>
        <v>#N/A</v>
      </c>
      <c r="G191" s="382"/>
      <c r="J191" s="378"/>
      <c r="K191" s="396"/>
      <c r="L191" s="396"/>
      <c r="M191" s="396"/>
      <c r="O191" s="396"/>
      <c r="P191" s="396"/>
      <c r="Q191" s="396"/>
    </row>
    <row r="192" spans="1:17" x14ac:dyDescent="0.25">
      <c r="A192" t="e">
        <f t="shared" ca="1" si="35"/>
        <v>#N/A</v>
      </c>
      <c r="G192" s="382"/>
      <c r="J192" s="378"/>
      <c r="K192" s="396"/>
      <c r="L192" s="396"/>
      <c r="M192" s="396"/>
      <c r="O192" s="396"/>
      <c r="P192" s="396"/>
      <c r="Q192" s="396"/>
    </row>
    <row r="193" spans="1:17" x14ac:dyDescent="0.25">
      <c r="A193" t="e">
        <f t="shared" ca="1" si="35"/>
        <v>#N/A</v>
      </c>
      <c r="G193" s="382"/>
      <c r="J193" s="378"/>
      <c r="K193" s="396"/>
      <c r="L193" s="396"/>
      <c r="M193" s="396"/>
      <c r="O193" s="396"/>
      <c r="P193" s="396"/>
      <c r="Q193" s="396"/>
    </row>
    <row r="194" spans="1:17" x14ac:dyDescent="0.25">
      <c r="A194" t="e">
        <f t="shared" ca="1" si="35"/>
        <v>#N/A</v>
      </c>
      <c r="G194" s="382"/>
      <c r="J194" s="378"/>
      <c r="K194" s="396"/>
      <c r="L194" s="396"/>
      <c r="M194" s="396"/>
      <c r="O194" s="396"/>
      <c r="P194" s="396"/>
      <c r="Q194" s="396"/>
    </row>
    <row r="195" spans="1:17" x14ac:dyDescent="0.25">
      <c r="A195" t="e">
        <f t="shared" ca="1" si="35"/>
        <v>#N/A</v>
      </c>
      <c r="G195" s="382"/>
      <c r="J195" s="378"/>
      <c r="K195" s="396"/>
      <c r="L195" s="396"/>
      <c r="M195" s="396"/>
      <c r="O195" s="396"/>
      <c r="P195" s="396"/>
      <c r="Q195" s="396"/>
    </row>
    <row r="196" spans="1:17" x14ac:dyDescent="0.25">
      <c r="A196" t="e">
        <f t="shared" ca="1" si="35"/>
        <v>#N/A</v>
      </c>
      <c r="G196" s="382"/>
      <c r="J196" s="378"/>
      <c r="K196" s="396"/>
      <c r="L196" s="396"/>
      <c r="M196" s="396"/>
      <c r="O196" s="396"/>
      <c r="P196" s="396"/>
      <c r="Q196" s="396"/>
    </row>
    <row r="197" spans="1:17" x14ac:dyDescent="0.25">
      <c r="A197" t="e">
        <f t="shared" ca="1" si="35"/>
        <v>#N/A</v>
      </c>
      <c r="G197" s="382"/>
      <c r="J197" s="378"/>
      <c r="K197" s="396"/>
      <c r="L197" s="396"/>
      <c r="M197" s="396"/>
      <c r="O197" s="396"/>
      <c r="P197" s="396"/>
      <c r="Q197" s="396"/>
    </row>
    <row r="198" spans="1:17" x14ac:dyDescent="0.25">
      <c r="K198" s="396"/>
      <c r="L198" s="396"/>
      <c r="M198" s="396"/>
    </row>
  </sheetData>
  <mergeCells count="2">
    <mergeCell ref="G17:U17"/>
    <mergeCell ref="H19:I19"/>
  </mergeCells>
  <conditionalFormatting sqref="K23:M198">
    <cfRule type="colorScale" priority="20">
      <colorScale>
        <cfvo type="min"/>
        <cfvo type="max"/>
        <color rgb="FFFCFCFF"/>
        <color rgb="FFF8696B"/>
      </colorScale>
    </cfRule>
  </conditionalFormatting>
  <conditionalFormatting sqref="L23:L197">
    <cfRule type="colorScale" priority="19">
      <colorScale>
        <cfvo type="min"/>
        <cfvo type="max"/>
        <color rgb="FFFCFCFF"/>
        <color rgb="FFF8696B"/>
      </colorScale>
    </cfRule>
  </conditionalFormatting>
  <conditionalFormatting sqref="M23:M197">
    <cfRule type="colorScale" priority="18">
      <colorScale>
        <cfvo type="min"/>
        <cfvo type="max"/>
        <color rgb="FFFCFCFF"/>
        <color rgb="FFF8696B"/>
      </colorScale>
    </cfRule>
  </conditionalFormatting>
  <conditionalFormatting sqref="K23:M198">
    <cfRule type="expression" dxfId="7" priority="17">
      <formula>$J23="Total"</formula>
    </cfRule>
  </conditionalFormatting>
  <conditionalFormatting sqref="K23:M198">
    <cfRule type="expression" dxfId="6" priority="16">
      <formula>AND($J22="",$D23&lt;&gt;"")</formula>
    </cfRule>
  </conditionalFormatting>
  <conditionalFormatting sqref="U23:U151">
    <cfRule type="colorScale" priority="1">
      <colorScale>
        <cfvo type="min"/>
        <cfvo type="percentile" val="50"/>
        <cfvo type="max"/>
        <color rgb="FFF8696B"/>
        <color rgb="FFFCFCFF"/>
        <color rgb="FF63BE7B"/>
      </colorScale>
    </cfRule>
    <cfRule type="expression" dxfId="5" priority="8">
      <formula>$J23="Total"</formula>
    </cfRule>
  </conditionalFormatting>
  <conditionalFormatting sqref="O23:Q197">
    <cfRule type="colorScale" priority="15">
      <colorScale>
        <cfvo type="min"/>
        <cfvo type="max"/>
        <color rgb="FFFCFCFF"/>
        <color rgb="FFF8696B"/>
      </colorScale>
    </cfRule>
  </conditionalFormatting>
  <conditionalFormatting sqref="P23:P197">
    <cfRule type="colorScale" priority="14">
      <colorScale>
        <cfvo type="min"/>
        <cfvo type="max"/>
        <color rgb="FFFCFCFF"/>
        <color rgb="FFF8696B"/>
      </colorScale>
    </cfRule>
  </conditionalFormatting>
  <conditionalFormatting sqref="Q23:Q197">
    <cfRule type="colorScale" priority="13">
      <colorScale>
        <cfvo type="min"/>
        <cfvo type="max"/>
        <color rgb="FFFCFCFF"/>
        <color rgb="FFF8696B"/>
      </colorScale>
    </cfRule>
  </conditionalFormatting>
  <conditionalFormatting sqref="O23:Q197">
    <cfRule type="expression" dxfId="4" priority="12">
      <formula>$J23="Total"</formula>
    </cfRule>
  </conditionalFormatting>
  <conditionalFormatting sqref="O23:Q197">
    <cfRule type="expression" dxfId="3" priority="11">
      <formula>AND($J22="",$D23&lt;&gt;"")</formula>
    </cfRule>
  </conditionalFormatting>
  <conditionalFormatting sqref="U23:U151">
    <cfRule type="colorScale" priority="10">
      <colorScale>
        <cfvo type="min"/>
        <cfvo type="max"/>
        <color rgb="FFFCFCFF"/>
        <color rgb="FFF8696B"/>
      </colorScale>
    </cfRule>
  </conditionalFormatting>
  <conditionalFormatting sqref="U23:U151">
    <cfRule type="colorScale" priority="9">
      <colorScale>
        <cfvo type="min"/>
        <cfvo type="max"/>
        <color rgb="FFFCFCFF"/>
        <color rgb="FFF8696B"/>
      </colorScale>
    </cfRule>
  </conditionalFormatting>
  <conditionalFormatting sqref="U23:U151">
    <cfRule type="expression" dxfId="2" priority="7">
      <formula>AND($J22="",$D23&lt;&gt;"")</formula>
    </cfRule>
  </conditionalFormatting>
  <conditionalFormatting sqref="T23:T151">
    <cfRule type="colorScale" priority="2">
      <colorScale>
        <cfvo type="min"/>
        <cfvo type="percentile" val="50"/>
        <cfvo type="max"/>
        <color rgb="FFF8696B"/>
        <color rgb="FFFCFCFF"/>
        <color rgb="FF63BE7B"/>
      </colorScale>
    </cfRule>
    <cfRule type="expression" dxfId="1" priority="4">
      <formula>$J23="Total"</formula>
    </cfRule>
  </conditionalFormatting>
  <conditionalFormatting sqref="T23:T151">
    <cfRule type="colorScale" priority="6">
      <colorScale>
        <cfvo type="min"/>
        <cfvo type="max"/>
        <color rgb="FFFCFCFF"/>
        <color rgb="FFF8696B"/>
      </colorScale>
    </cfRule>
  </conditionalFormatting>
  <conditionalFormatting sqref="T23:T151">
    <cfRule type="colorScale" priority="5">
      <colorScale>
        <cfvo type="min"/>
        <cfvo type="max"/>
        <color rgb="FFFCFCFF"/>
        <color rgb="FFF8696B"/>
      </colorScale>
    </cfRule>
  </conditionalFormatting>
  <conditionalFormatting sqref="T23:T151">
    <cfRule type="expression" dxfId="0" priority="3">
      <formula>AND($J22="",$D23&lt;&gt;"")</formula>
    </cfRule>
  </conditionalFormatting>
  <pageMargins left="0.25" right="0.25" top="0.25" bottom="0.25" header="0.05" footer="0.05"/>
  <pageSetup scale="49" orientation="portrait" horizontalDpi="300" verticalDpi="300" r:id="rId1"/>
  <headerFooter>
    <oddFooter>&amp;CPage &amp;P</oddFooter>
  </headerFooter>
  <rowBreaks count="1" manualBreakCount="1">
    <brk id="76" min="6" max="2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R111"/>
  <sheetViews>
    <sheetView view="pageBreakPreview" topLeftCell="A22" zoomScale="85" zoomScaleNormal="100" zoomScaleSheetLayoutView="85" zoomScalePageLayoutView="10" workbookViewId="0">
      <selection activeCell="A2" sqref="A2:R70"/>
    </sheetView>
  </sheetViews>
  <sheetFormatPr defaultRowHeight="15" x14ac:dyDescent="0.25"/>
  <cols>
    <col min="1" max="1" width="5.5703125" customWidth="1"/>
  </cols>
  <sheetData>
    <row r="1" spans="1:18" ht="20.25" thickBot="1" x14ac:dyDescent="0.3">
      <c r="A1" s="439" t="s">
        <v>194</v>
      </c>
      <c r="B1" s="440"/>
      <c r="C1" s="440"/>
      <c r="D1" s="440"/>
      <c r="E1" s="440"/>
      <c r="F1" s="440"/>
      <c r="G1" s="440"/>
      <c r="H1" s="440"/>
      <c r="I1" s="440"/>
      <c r="J1" s="440"/>
      <c r="K1" s="440"/>
      <c r="L1" s="440"/>
      <c r="M1" s="440"/>
      <c r="N1" s="440"/>
      <c r="O1" s="440"/>
      <c r="P1" s="440"/>
      <c r="Q1" s="440"/>
      <c r="R1" s="442"/>
    </row>
    <row r="2" spans="1:18" ht="15" customHeight="1" x14ac:dyDescent="0.25">
      <c r="A2" s="443" t="s">
        <v>314</v>
      </c>
      <c r="B2" s="443"/>
      <c r="C2" s="443"/>
      <c r="D2" s="443"/>
      <c r="E2" s="443"/>
      <c r="F2" s="443"/>
      <c r="G2" s="443"/>
      <c r="H2" s="443"/>
      <c r="I2" s="443"/>
      <c r="J2" s="443"/>
      <c r="K2" s="443"/>
      <c r="L2" s="443"/>
      <c r="M2" s="443"/>
      <c r="N2" s="443"/>
      <c r="O2" s="443"/>
      <c r="P2" s="443"/>
      <c r="Q2" s="443"/>
      <c r="R2" s="443"/>
    </row>
    <row r="3" spans="1:18" ht="15" customHeight="1" x14ac:dyDescent="0.25">
      <c r="A3" s="444"/>
      <c r="B3" s="444"/>
      <c r="C3" s="444"/>
      <c r="D3" s="444"/>
      <c r="E3" s="444"/>
      <c r="F3" s="444"/>
      <c r="G3" s="444"/>
      <c r="H3" s="444"/>
      <c r="I3" s="444"/>
      <c r="J3" s="444"/>
      <c r="K3" s="444"/>
      <c r="L3" s="444"/>
      <c r="M3" s="444"/>
      <c r="N3" s="444"/>
      <c r="O3" s="444"/>
      <c r="P3" s="444"/>
      <c r="Q3" s="444"/>
      <c r="R3" s="444"/>
    </row>
    <row r="4" spans="1:18" ht="15" customHeight="1" x14ac:dyDescent="0.25">
      <c r="A4" s="444"/>
      <c r="B4" s="444"/>
      <c r="C4" s="444"/>
      <c r="D4" s="444"/>
      <c r="E4" s="444"/>
      <c r="F4" s="444"/>
      <c r="G4" s="444"/>
      <c r="H4" s="444"/>
      <c r="I4" s="444"/>
      <c r="J4" s="444"/>
      <c r="K4" s="444"/>
      <c r="L4" s="444"/>
      <c r="M4" s="444"/>
      <c r="N4" s="444"/>
      <c r="O4" s="444"/>
      <c r="P4" s="444"/>
      <c r="Q4" s="444"/>
      <c r="R4" s="444"/>
    </row>
    <row r="5" spans="1:18" ht="15" customHeight="1" x14ac:dyDescent="0.25">
      <c r="A5" s="444"/>
      <c r="B5" s="444"/>
      <c r="C5" s="444"/>
      <c r="D5" s="444"/>
      <c r="E5" s="444"/>
      <c r="F5" s="444"/>
      <c r="G5" s="444"/>
      <c r="H5" s="444"/>
      <c r="I5" s="444"/>
      <c r="J5" s="444"/>
      <c r="K5" s="444"/>
      <c r="L5" s="444"/>
      <c r="M5" s="444"/>
      <c r="N5" s="444"/>
      <c r="O5" s="444"/>
      <c r="P5" s="444"/>
      <c r="Q5" s="444"/>
      <c r="R5" s="444"/>
    </row>
    <row r="6" spans="1:18" ht="15" customHeight="1" x14ac:dyDescent="0.25">
      <c r="A6" s="444"/>
      <c r="B6" s="444"/>
      <c r="C6" s="444"/>
      <c r="D6" s="444"/>
      <c r="E6" s="444"/>
      <c r="F6" s="444"/>
      <c r="G6" s="444"/>
      <c r="H6" s="444"/>
      <c r="I6" s="444"/>
      <c r="J6" s="444"/>
      <c r="K6" s="444"/>
      <c r="L6" s="444"/>
      <c r="M6" s="444"/>
      <c r="N6" s="444"/>
      <c r="O6" s="444"/>
      <c r="P6" s="444"/>
      <c r="Q6" s="444"/>
      <c r="R6" s="444"/>
    </row>
    <row r="7" spans="1:18" ht="15" customHeight="1" x14ac:dyDescent="0.25">
      <c r="A7" s="444"/>
      <c r="B7" s="444"/>
      <c r="C7" s="444"/>
      <c r="D7" s="444"/>
      <c r="E7" s="444"/>
      <c r="F7" s="444"/>
      <c r="G7" s="444"/>
      <c r="H7" s="444"/>
      <c r="I7" s="444"/>
      <c r="J7" s="444"/>
      <c r="K7" s="444"/>
      <c r="L7" s="444"/>
      <c r="M7" s="444"/>
      <c r="N7" s="444"/>
      <c r="O7" s="444"/>
      <c r="P7" s="444"/>
      <c r="Q7" s="444"/>
      <c r="R7" s="444"/>
    </row>
    <row r="8" spans="1:18" ht="15" customHeight="1" x14ac:dyDescent="0.25">
      <c r="A8" s="444"/>
      <c r="B8" s="444"/>
      <c r="C8" s="444"/>
      <c r="D8" s="444"/>
      <c r="E8" s="444"/>
      <c r="F8" s="444"/>
      <c r="G8" s="444"/>
      <c r="H8" s="444"/>
      <c r="I8" s="444"/>
      <c r="J8" s="444"/>
      <c r="K8" s="444"/>
      <c r="L8" s="444"/>
      <c r="M8" s="444"/>
      <c r="N8" s="444"/>
      <c r="O8" s="444"/>
      <c r="P8" s="444"/>
      <c r="Q8" s="444"/>
      <c r="R8" s="444"/>
    </row>
    <row r="9" spans="1:18" ht="15" customHeight="1" x14ac:dyDescent="0.25">
      <c r="A9" s="444"/>
      <c r="B9" s="444"/>
      <c r="C9" s="444"/>
      <c r="D9" s="444"/>
      <c r="E9" s="444"/>
      <c r="F9" s="444"/>
      <c r="G9" s="444"/>
      <c r="H9" s="444"/>
      <c r="I9" s="444"/>
      <c r="J9" s="444"/>
      <c r="K9" s="444"/>
      <c r="L9" s="444"/>
      <c r="M9" s="444"/>
      <c r="N9" s="444"/>
      <c r="O9" s="444"/>
      <c r="P9" s="444"/>
      <c r="Q9" s="444"/>
      <c r="R9" s="444"/>
    </row>
    <row r="10" spans="1:18" ht="15" customHeight="1" x14ac:dyDescent="0.25">
      <c r="A10" s="444"/>
      <c r="B10" s="444"/>
      <c r="C10" s="444"/>
      <c r="D10" s="444"/>
      <c r="E10" s="444"/>
      <c r="F10" s="444"/>
      <c r="G10" s="444"/>
      <c r="H10" s="444"/>
      <c r="I10" s="444"/>
      <c r="J10" s="444"/>
      <c r="K10" s="444"/>
      <c r="L10" s="444"/>
      <c r="M10" s="444"/>
      <c r="N10" s="444"/>
      <c r="O10" s="444"/>
      <c r="P10" s="444"/>
      <c r="Q10" s="444"/>
      <c r="R10" s="444"/>
    </row>
    <row r="11" spans="1:18" ht="15" customHeight="1" x14ac:dyDescent="0.25">
      <c r="A11" s="444"/>
      <c r="B11" s="444"/>
      <c r="C11" s="444"/>
      <c r="D11" s="444"/>
      <c r="E11" s="444"/>
      <c r="F11" s="444"/>
      <c r="G11" s="444"/>
      <c r="H11" s="444"/>
      <c r="I11" s="444"/>
      <c r="J11" s="444"/>
      <c r="K11" s="444"/>
      <c r="L11" s="444"/>
      <c r="M11" s="444"/>
      <c r="N11" s="444"/>
      <c r="O11" s="444"/>
      <c r="P11" s="444"/>
      <c r="Q11" s="444"/>
      <c r="R11" s="444"/>
    </row>
    <row r="12" spans="1:18" ht="15" customHeight="1" x14ac:dyDescent="0.25">
      <c r="A12" s="444"/>
      <c r="B12" s="444"/>
      <c r="C12" s="444"/>
      <c r="D12" s="444"/>
      <c r="E12" s="444"/>
      <c r="F12" s="444"/>
      <c r="G12" s="444"/>
      <c r="H12" s="444"/>
      <c r="I12" s="444"/>
      <c r="J12" s="444"/>
      <c r="K12" s="444"/>
      <c r="L12" s="444"/>
      <c r="M12" s="444"/>
      <c r="N12" s="444"/>
      <c r="O12" s="444"/>
      <c r="P12" s="444"/>
      <c r="Q12" s="444"/>
      <c r="R12" s="444"/>
    </row>
    <row r="13" spans="1:18" ht="15" customHeight="1" x14ac:dyDescent="0.25">
      <c r="A13" s="444"/>
      <c r="B13" s="444"/>
      <c r="C13" s="444"/>
      <c r="D13" s="444"/>
      <c r="E13" s="444"/>
      <c r="F13" s="444"/>
      <c r="G13" s="444"/>
      <c r="H13" s="444"/>
      <c r="I13" s="444"/>
      <c r="J13" s="444"/>
      <c r="K13" s="444"/>
      <c r="L13" s="444"/>
      <c r="M13" s="444"/>
      <c r="N13" s="444"/>
      <c r="O13" s="444"/>
      <c r="P13" s="444"/>
      <c r="Q13" s="444"/>
      <c r="R13" s="444"/>
    </row>
    <row r="14" spans="1:18" ht="15" customHeight="1" x14ac:dyDescent="0.25">
      <c r="A14" s="444"/>
      <c r="B14" s="444"/>
      <c r="C14" s="444"/>
      <c r="D14" s="444"/>
      <c r="E14" s="444"/>
      <c r="F14" s="444"/>
      <c r="G14" s="444"/>
      <c r="H14" s="444"/>
      <c r="I14" s="444"/>
      <c r="J14" s="444"/>
      <c r="K14" s="444"/>
      <c r="L14" s="444"/>
      <c r="M14" s="444"/>
      <c r="N14" s="444"/>
      <c r="O14" s="444"/>
      <c r="P14" s="444"/>
      <c r="Q14" s="444"/>
      <c r="R14" s="444"/>
    </row>
    <row r="15" spans="1:18" ht="15" customHeight="1" x14ac:dyDescent="0.25">
      <c r="A15" s="444"/>
      <c r="B15" s="444"/>
      <c r="C15" s="444"/>
      <c r="D15" s="444"/>
      <c r="E15" s="444"/>
      <c r="F15" s="444"/>
      <c r="G15" s="444"/>
      <c r="H15" s="444"/>
      <c r="I15" s="444"/>
      <c r="J15" s="444"/>
      <c r="K15" s="444"/>
      <c r="L15" s="444"/>
      <c r="M15" s="444"/>
      <c r="N15" s="444"/>
      <c r="O15" s="444"/>
      <c r="P15" s="444"/>
      <c r="Q15" s="444"/>
      <c r="R15" s="444"/>
    </row>
    <row r="16" spans="1:18" ht="15" customHeight="1" x14ac:dyDescent="0.25">
      <c r="A16" s="444"/>
      <c r="B16" s="444"/>
      <c r="C16" s="444"/>
      <c r="D16" s="444"/>
      <c r="E16" s="444"/>
      <c r="F16" s="444"/>
      <c r="G16" s="444"/>
      <c r="H16" s="444"/>
      <c r="I16" s="444"/>
      <c r="J16" s="444"/>
      <c r="K16" s="444"/>
      <c r="L16" s="444"/>
      <c r="M16" s="444"/>
      <c r="N16" s="444"/>
      <c r="O16" s="444"/>
      <c r="P16" s="444"/>
      <c r="Q16" s="444"/>
      <c r="R16" s="444"/>
    </row>
    <row r="17" spans="1:18" ht="15" customHeight="1" x14ac:dyDescent="0.25">
      <c r="A17" s="444"/>
      <c r="B17" s="444"/>
      <c r="C17" s="444"/>
      <c r="D17" s="444"/>
      <c r="E17" s="444"/>
      <c r="F17" s="444"/>
      <c r="G17" s="444"/>
      <c r="H17" s="444"/>
      <c r="I17" s="444"/>
      <c r="J17" s="444"/>
      <c r="K17" s="444"/>
      <c r="L17" s="444"/>
      <c r="M17" s="444"/>
      <c r="N17" s="444"/>
      <c r="O17" s="444"/>
      <c r="P17" s="444"/>
      <c r="Q17" s="444"/>
      <c r="R17" s="444"/>
    </row>
    <row r="18" spans="1:18" ht="15" customHeight="1" x14ac:dyDescent="0.25">
      <c r="A18" s="444"/>
      <c r="B18" s="444"/>
      <c r="C18" s="444"/>
      <c r="D18" s="444"/>
      <c r="E18" s="444"/>
      <c r="F18" s="444"/>
      <c r="G18" s="444"/>
      <c r="H18" s="444"/>
      <c r="I18" s="444"/>
      <c r="J18" s="444"/>
      <c r="K18" s="444"/>
      <c r="L18" s="444"/>
      <c r="M18" s="444"/>
      <c r="N18" s="444"/>
      <c r="O18" s="444"/>
      <c r="P18" s="444"/>
      <c r="Q18" s="444"/>
      <c r="R18" s="444"/>
    </row>
    <row r="19" spans="1:18" ht="15" customHeight="1" x14ac:dyDescent="0.25">
      <c r="A19" s="444"/>
      <c r="B19" s="444"/>
      <c r="C19" s="444"/>
      <c r="D19" s="444"/>
      <c r="E19" s="444"/>
      <c r="F19" s="444"/>
      <c r="G19" s="444"/>
      <c r="H19" s="444"/>
      <c r="I19" s="444"/>
      <c r="J19" s="444"/>
      <c r="K19" s="444"/>
      <c r="L19" s="444"/>
      <c r="M19" s="444"/>
      <c r="N19" s="444"/>
      <c r="O19" s="444"/>
      <c r="P19" s="444"/>
      <c r="Q19" s="444"/>
      <c r="R19" s="444"/>
    </row>
    <row r="20" spans="1:18" ht="15" customHeight="1" x14ac:dyDescent="0.25">
      <c r="A20" s="444"/>
      <c r="B20" s="444"/>
      <c r="C20" s="444"/>
      <c r="D20" s="444"/>
      <c r="E20" s="444"/>
      <c r="F20" s="444"/>
      <c r="G20" s="444"/>
      <c r="H20" s="444"/>
      <c r="I20" s="444"/>
      <c r="J20" s="444"/>
      <c r="K20" s="444"/>
      <c r="L20" s="444"/>
      <c r="M20" s="444"/>
      <c r="N20" s="444"/>
      <c r="O20" s="444"/>
      <c r="P20" s="444"/>
      <c r="Q20" s="444"/>
      <c r="R20" s="444"/>
    </row>
    <row r="21" spans="1:18" ht="15" customHeight="1" x14ac:dyDescent="0.25">
      <c r="A21" s="444"/>
      <c r="B21" s="444"/>
      <c r="C21" s="444"/>
      <c r="D21" s="444"/>
      <c r="E21" s="444"/>
      <c r="F21" s="444"/>
      <c r="G21" s="444"/>
      <c r="H21" s="444"/>
      <c r="I21" s="444"/>
      <c r="J21" s="444"/>
      <c r="K21" s="444"/>
      <c r="L21" s="444"/>
      <c r="M21" s="444"/>
      <c r="N21" s="444"/>
      <c r="O21" s="444"/>
      <c r="P21" s="444"/>
      <c r="Q21" s="444"/>
      <c r="R21" s="444"/>
    </row>
    <row r="22" spans="1:18" ht="15" customHeight="1" x14ac:dyDescent="0.25">
      <c r="A22" s="444"/>
      <c r="B22" s="444"/>
      <c r="C22" s="444"/>
      <c r="D22" s="444"/>
      <c r="E22" s="444"/>
      <c r="F22" s="444"/>
      <c r="G22" s="444"/>
      <c r="H22" s="444"/>
      <c r="I22" s="444"/>
      <c r="J22" s="444"/>
      <c r="K22" s="444"/>
      <c r="L22" s="444"/>
      <c r="M22" s="444"/>
      <c r="N22" s="444"/>
      <c r="O22" s="444"/>
      <c r="P22" s="444"/>
      <c r="Q22" s="444"/>
      <c r="R22" s="444"/>
    </row>
    <row r="23" spans="1:18" ht="15" customHeight="1" x14ac:dyDescent="0.25">
      <c r="A23" s="444"/>
      <c r="B23" s="444"/>
      <c r="C23" s="444"/>
      <c r="D23" s="444"/>
      <c r="E23" s="444"/>
      <c r="F23" s="444"/>
      <c r="G23" s="444"/>
      <c r="H23" s="444"/>
      <c r="I23" s="444"/>
      <c r="J23" s="444"/>
      <c r="K23" s="444"/>
      <c r="L23" s="444"/>
      <c r="M23" s="444"/>
      <c r="N23" s="444"/>
      <c r="O23" s="444"/>
      <c r="P23" s="444"/>
      <c r="Q23" s="444"/>
      <c r="R23" s="444"/>
    </row>
    <row r="24" spans="1:18" ht="15" customHeight="1" x14ac:dyDescent="0.25">
      <c r="A24" s="444"/>
      <c r="B24" s="444"/>
      <c r="C24" s="444"/>
      <c r="D24" s="444"/>
      <c r="E24" s="444"/>
      <c r="F24" s="444"/>
      <c r="G24" s="444"/>
      <c r="H24" s="444"/>
      <c r="I24" s="444"/>
      <c r="J24" s="444"/>
      <c r="K24" s="444"/>
      <c r="L24" s="444"/>
      <c r="M24" s="444"/>
      <c r="N24" s="444"/>
      <c r="O24" s="444"/>
      <c r="P24" s="444"/>
      <c r="Q24" s="444"/>
      <c r="R24" s="444"/>
    </row>
    <row r="25" spans="1:18" ht="15" customHeight="1" x14ac:dyDescent="0.25">
      <c r="A25" s="444"/>
      <c r="B25" s="444"/>
      <c r="C25" s="444"/>
      <c r="D25" s="444"/>
      <c r="E25" s="444"/>
      <c r="F25" s="444"/>
      <c r="G25" s="444"/>
      <c r="H25" s="444"/>
      <c r="I25" s="444"/>
      <c r="J25" s="444"/>
      <c r="K25" s="444"/>
      <c r="L25" s="444"/>
      <c r="M25" s="444"/>
      <c r="N25" s="444"/>
      <c r="O25" s="444"/>
      <c r="P25" s="444"/>
      <c r="Q25" s="444"/>
      <c r="R25" s="444"/>
    </row>
    <row r="26" spans="1:18" ht="15" customHeight="1" x14ac:dyDescent="0.25">
      <c r="A26" s="444"/>
      <c r="B26" s="444"/>
      <c r="C26" s="444"/>
      <c r="D26" s="444"/>
      <c r="E26" s="444"/>
      <c r="F26" s="444"/>
      <c r="G26" s="444"/>
      <c r="H26" s="444"/>
      <c r="I26" s="444"/>
      <c r="J26" s="444"/>
      <c r="K26" s="444"/>
      <c r="L26" s="444"/>
      <c r="M26" s="444"/>
      <c r="N26" s="444"/>
      <c r="O26" s="444"/>
      <c r="P26" s="444"/>
      <c r="Q26" s="444"/>
      <c r="R26" s="444"/>
    </row>
    <row r="27" spans="1:18" ht="15" customHeight="1" x14ac:dyDescent="0.25">
      <c r="A27" s="444"/>
      <c r="B27" s="444"/>
      <c r="C27" s="444"/>
      <c r="D27" s="444"/>
      <c r="E27" s="444"/>
      <c r="F27" s="444"/>
      <c r="G27" s="444"/>
      <c r="H27" s="444"/>
      <c r="I27" s="444"/>
      <c r="J27" s="444"/>
      <c r="K27" s="444"/>
      <c r="L27" s="444"/>
      <c r="M27" s="444"/>
      <c r="N27" s="444"/>
      <c r="O27" s="444"/>
      <c r="P27" s="444"/>
      <c r="Q27" s="444"/>
      <c r="R27" s="444"/>
    </row>
    <row r="28" spans="1:18" ht="15" customHeight="1" x14ac:dyDescent="0.25">
      <c r="A28" s="444"/>
      <c r="B28" s="444"/>
      <c r="C28" s="444"/>
      <c r="D28" s="444"/>
      <c r="E28" s="444"/>
      <c r="F28" s="444"/>
      <c r="G28" s="444"/>
      <c r="H28" s="444"/>
      <c r="I28" s="444"/>
      <c r="J28" s="444"/>
      <c r="K28" s="444"/>
      <c r="L28" s="444"/>
      <c r="M28" s="444"/>
      <c r="N28" s="444"/>
      <c r="O28" s="444"/>
      <c r="P28" s="444"/>
      <c r="Q28" s="444"/>
      <c r="R28" s="444"/>
    </row>
    <row r="29" spans="1:18" ht="15" customHeight="1" x14ac:dyDescent="0.25">
      <c r="A29" s="444"/>
      <c r="B29" s="444"/>
      <c r="C29" s="444"/>
      <c r="D29" s="444"/>
      <c r="E29" s="444"/>
      <c r="F29" s="444"/>
      <c r="G29" s="444"/>
      <c r="H29" s="444"/>
      <c r="I29" s="444"/>
      <c r="J29" s="444"/>
      <c r="K29" s="444"/>
      <c r="L29" s="444"/>
      <c r="M29" s="444"/>
      <c r="N29" s="444"/>
      <c r="O29" s="444"/>
      <c r="P29" s="444"/>
      <c r="Q29" s="444"/>
      <c r="R29" s="444"/>
    </row>
    <row r="30" spans="1:18" ht="15" customHeight="1" x14ac:dyDescent="0.25">
      <c r="A30" s="444"/>
      <c r="B30" s="444"/>
      <c r="C30" s="444"/>
      <c r="D30" s="444"/>
      <c r="E30" s="444"/>
      <c r="F30" s="444"/>
      <c r="G30" s="444"/>
      <c r="H30" s="444"/>
      <c r="I30" s="444"/>
      <c r="J30" s="444"/>
      <c r="K30" s="444"/>
      <c r="L30" s="444"/>
      <c r="M30" s="444"/>
      <c r="N30" s="444"/>
      <c r="O30" s="444"/>
      <c r="P30" s="444"/>
      <c r="Q30" s="444"/>
      <c r="R30" s="444"/>
    </row>
    <row r="31" spans="1:18" ht="15" customHeight="1" x14ac:dyDescent="0.25">
      <c r="A31" s="444"/>
      <c r="B31" s="444"/>
      <c r="C31" s="444"/>
      <c r="D31" s="444"/>
      <c r="E31" s="444"/>
      <c r="F31" s="444"/>
      <c r="G31" s="444"/>
      <c r="H31" s="444"/>
      <c r="I31" s="444"/>
      <c r="J31" s="444"/>
      <c r="K31" s="444"/>
      <c r="L31" s="444"/>
      <c r="M31" s="444"/>
      <c r="N31" s="444"/>
      <c r="O31" s="444"/>
      <c r="P31" s="444"/>
      <c r="Q31" s="444"/>
      <c r="R31" s="444"/>
    </row>
    <row r="32" spans="1:18" ht="15" customHeight="1" x14ac:dyDescent="0.25">
      <c r="A32" s="444"/>
      <c r="B32" s="444"/>
      <c r="C32" s="444"/>
      <c r="D32" s="444"/>
      <c r="E32" s="444"/>
      <c r="F32" s="444"/>
      <c r="G32" s="444"/>
      <c r="H32" s="444"/>
      <c r="I32" s="444"/>
      <c r="J32" s="444"/>
      <c r="K32" s="444"/>
      <c r="L32" s="444"/>
      <c r="M32" s="444"/>
      <c r="N32" s="444"/>
      <c r="O32" s="444"/>
      <c r="P32" s="444"/>
      <c r="Q32" s="444"/>
      <c r="R32" s="444"/>
    </row>
    <row r="33" spans="1:18" ht="15" customHeight="1" x14ac:dyDescent="0.25">
      <c r="A33" s="444"/>
      <c r="B33" s="444"/>
      <c r="C33" s="444"/>
      <c r="D33" s="444"/>
      <c r="E33" s="444"/>
      <c r="F33" s="444"/>
      <c r="G33" s="444"/>
      <c r="H33" s="444"/>
      <c r="I33" s="444"/>
      <c r="J33" s="444"/>
      <c r="K33" s="444"/>
      <c r="L33" s="444"/>
      <c r="M33" s="444"/>
      <c r="N33" s="444"/>
      <c r="O33" s="444"/>
      <c r="P33" s="444"/>
      <c r="Q33" s="444"/>
      <c r="R33" s="444"/>
    </row>
    <row r="34" spans="1:18" ht="15" customHeight="1" x14ac:dyDescent="0.25">
      <c r="A34" s="444"/>
      <c r="B34" s="444"/>
      <c r="C34" s="444"/>
      <c r="D34" s="444"/>
      <c r="E34" s="444"/>
      <c r="F34" s="444"/>
      <c r="G34" s="444"/>
      <c r="H34" s="444"/>
      <c r="I34" s="444"/>
      <c r="J34" s="444"/>
      <c r="K34" s="444"/>
      <c r="L34" s="444"/>
      <c r="M34" s="444"/>
      <c r="N34" s="444"/>
      <c r="O34" s="444"/>
      <c r="P34" s="444"/>
      <c r="Q34" s="444"/>
      <c r="R34" s="444"/>
    </row>
    <row r="35" spans="1:18" ht="15" customHeight="1" x14ac:dyDescent="0.25">
      <c r="A35" s="444"/>
      <c r="B35" s="444"/>
      <c r="C35" s="444"/>
      <c r="D35" s="444"/>
      <c r="E35" s="444"/>
      <c r="F35" s="444"/>
      <c r="G35" s="444"/>
      <c r="H35" s="444"/>
      <c r="I35" s="444"/>
      <c r="J35" s="444"/>
      <c r="K35" s="444"/>
      <c r="L35" s="444"/>
      <c r="M35" s="444"/>
      <c r="N35" s="444"/>
      <c r="O35" s="444"/>
      <c r="P35" s="444"/>
      <c r="Q35" s="444"/>
      <c r="R35" s="444"/>
    </row>
    <row r="36" spans="1:18" ht="15" customHeight="1" x14ac:dyDescent="0.25">
      <c r="A36" s="444"/>
      <c r="B36" s="444"/>
      <c r="C36" s="444"/>
      <c r="D36" s="444"/>
      <c r="E36" s="444"/>
      <c r="F36" s="444"/>
      <c r="G36" s="444"/>
      <c r="H36" s="444"/>
      <c r="I36" s="444"/>
      <c r="J36" s="444"/>
      <c r="K36" s="444"/>
      <c r="L36" s="444"/>
      <c r="M36" s="444"/>
      <c r="N36" s="444"/>
      <c r="O36" s="444"/>
      <c r="P36" s="444"/>
      <c r="Q36" s="444"/>
      <c r="R36" s="444"/>
    </row>
    <row r="37" spans="1:18" ht="15" customHeight="1" x14ac:dyDescent="0.25">
      <c r="A37" s="444"/>
      <c r="B37" s="444"/>
      <c r="C37" s="444"/>
      <c r="D37" s="444"/>
      <c r="E37" s="444"/>
      <c r="F37" s="444"/>
      <c r="G37" s="444"/>
      <c r="H37" s="444"/>
      <c r="I37" s="444"/>
      <c r="J37" s="444"/>
      <c r="K37" s="444"/>
      <c r="L37" s="444"/>
      <c r="M37" s="444"/>
      <c r="N37" s="444"/>
      <c r="O37" s="444"/>
      <c r="P37" s="444"/>
      <c r="Q37" s="444"/>
      <c r="R37" s="444"/>
    </row>
    <row r="38" spans="1:18" ht="15" customHeight="1" x14ac:dyDescent="0.25">
      <c r="A38" s="444"/>
      <c r="B38" s="444"/>
      <c r="C38" s="444"/>
      <c r="D38" s="444"/>
      <c r="E38" s="444"/>
      <c r="F38" s="444"/>
      <c r="G38" s="444"/>
      <c r="H38" s="444"/>
      <c r="I38" s="444"/>
      <c r="J38" s="444"/>
      <c r="K38" s="444"/>
      <c r="L38" s="444"/>
      <c r="M38" s="444"/>
      <c r="N38" s="444"/>
      <c r="O38" s="444"/>
      <c r="P38" s="444"/>
      <c r="Q38" s="444"/>
      <c r="R38" s="444"/>
    </row>
    <row r="39" spans="1:18" ht="15" customHeight="1" x14ac:dyDescent="0.25">
      <c r="A39" s="444"/>
      <c r="B39" s="444"/>
      <c r="C39" s="444"/>
      <c r="D39" s="444"/>
      <c r="E39" s="444"/>
      <c r="F39" s="444"/>
      <c r="G39" s="444"/>
      <c r="H39" s="444"/>
      <c r="I39" s="444"/>
      <c r="J39" s="444"/>
      <c r="K39" s="444"/>
      <c r="L39" s="444"/>
      <c r="M39" s="444"/>
      <c r="N39" s="444"/>
      <c r="O39" s="444"/>
      <c r="P39" s="444"/>
      <c r="Q39" s="444"/>
      <c r="R39" s="444"/>
    </row>
    <row r="40" spans="1:18" ht="15" customHeight="1" x14ac:dyDescent="0.25">
      <c r="A40" s="444"/>
      <c r="B40" s="444"/>
      <c r="C40" s="444"/>
      <c r="D40" s="444"/>
      <c r="E40" s="444"/>
      <c r="F40" s="444"/>
      <c r="G40" s="444"/>
      <c r="H40" s="444"/>
      <c r="I40" s="444"/>
      <c r="J40" s="444"/>
      <c r="K40" s="444"/>
      <c r="L40" s="444"/>
      <c r="M40" s="444"/>
      <c r="N40" s="444"/>
      <c r="O40" s="444"/>
      <c r="P40" s="444"/>
      <c r="Q40" s="444"/>
      <c r="R40" s="444"/>
    </row>
    <row r="41" spans="1:18" ht="15" customHeight="1" x14ac:dyDescent="0.25">
      <c r="A41" s="444"/>
      <c r="B41" s="444"/>
      <c r="C41" s="444"/>
      <c r="D41" s="444"/>
      <c r="E41" s="444"/>
      <c r="F41" s="444"/>
      <c r="G41" s="444"/>
      <c r="H41" s="444"/>
      <c r="I41" s="444"/>
      <c r="J41" s="444"/>
      <c r="K41" s="444"/>
      <c r="L41" s="444"/>
      <c r="M41" s="444"/>
      <c r="N41" s="444"/>
      <c r="O41" s="444"/>
      <c r="P41" s="444"/>
      <c r="Q41" s="444"/>
      <c r="R41" s="444"/>
    </row>
    <row r="42" spans="1:18" ht="15" customHeight="1" x14ac:dyDescent="0.25">
      <c r="A42" s="444"/>
      <c r="B42" s="444"/>
      <c r="C42" s="444"/>
      <c r="D42" s="444"/>
      <c r="E42" s="444"/>
      <c r="F42" s="444"/>
      <c r="G42" s="444"/>
      <c r="H42" s="444"/>
      <c r="I42" s="444"/>
      <c r="J42" s="444"/>
      <c r="K42" s="444"/>
      <c r="L42" s="444"/>
      <c r="M42" s="444"/>
      <c r="N42" s="444"/>
      <c r="O42" s="444"/>
      <c r="P42" s="444"/>
      <c r="Q42" s="444"/>
      <c r="R42" s="444"/>
    </row>
    <row r="43" spans="1:18" ht="15" customHeight="1" x14ac:dyDescent="0.25">
      <c r="A43" s="444"/>
      <c r="B43" s="444"/>
      <c r="C43" s="444"/>
      <c r="D43" s="444"/>
      <c r="E43" s="444"/>
      <c r="F43" s="444"/>
      <c r="G43" s="444"/>
      <c r="H43" s="444"/>
      <c r="I43" s="444"/>
      <c r="J43" s="444"/>
      <c r="K43" s="444"/>
      <c r="L43" s="444"/>
      <c r="M43" s="444"/>
      <c r="N43" s="444"/>
      <c r="O43" s="444"/>
      <c r="P43" s="444"/>
      <c r="Q43" s="444"/>
      <c r="R43" s="444"/>
    </row>
    <row r="44" spans="1:18" ht="15" customHeight="1" x14ac:dyDescent="0.25">
      <c r="A44" s="444"/>
      <c r="B44" s="444"/>
      <c r="C44" s="444"/>
      <c r="D44" s="444"/>
      <c r="E44" s="444"/>
      <c r="F44" s="444"/>
      <c r="G44" s="444"/>
      <c r="H44" s="444"/>
      <c r="I44" s="444"/>
      <c r="J44" s="444"/>
      <c r="K44" s="444"/>
      <c r="L44" s="444"/>
      <c r="M44" s="444"/>
      <c r="N44" s="444"/>
      <c r="O44" s="444"/>
      <c r="P44" s="444"/>
      <c r="Q44" s="444"/>
      <c r="R44" s="444"/>
    </row>
    <row r="45" spans="1:18" ht="15" customHeight="1" x14ac:dyDescent="0.25">
      <c r="A45" s="444"/>
      <c r="B45" s="444"/>
      <c r="C45" s="444"/>
      <c r="D45" s="444"/>
      <c r="E45" s="444"/>
      <c r="F45" s="444"/>
      <c r="G45" s="444"/>
      <c r="H45" s="444"/>
      <c r="I45" s="444"/>
      <c r="J45" s="444"/>
      <c r="K45" s="444"/>
      <c r="L45" s="444"/>
      <c r="M45" s="444"/>
      <c r="N45" s="444"/>
      <c r="O45" s="444"/>
      <c r="P45" s="444"/>
      <c r="Q45" s="444"/>
      <c r="R45" s="444"/>
    </row>
    <row r="46" spans="1:18" ht="15" customHeight="1" x14ac:dyDescent="0.25">
      <c r="A46" s="444"/>
      <c r="B46" s="444"/>
      <c r="C46" s="444"/>
      <c r="D46" s="444"/>
      <c r="E46" s="444"/>
      <c r="F46" s="444"/>
      <c r="G46" s="444"/>
      <c r="H46" s="444"/>
      <c r="I46" s="444"/>
      <c r="J46" s="444"/>
      <c r="K46" s="444"/>
      <c r="L46" s="444"/>
      <c r="M46" s="444"/>
      <c r="N46" s="444"/>
      <c r="O46" s="444"/>
      <c r="P46" s="444"/>
      <c r="Q46" s="444"/>
      <c r="R46" s="444"/>
    </row>
    <row r="47" spans="1:18" ht="15" customHeight="1" x14ac:dyDescent="0.25">
      <c r="A47" s="444"/>
      <c r="B47" s="444"/>
      <c r="C47" s="444"/>
      <c r="D47" s="444"/>
      <c r="E47" s="444"/>
      <c r="F47" s="444"/>
      <c r="G47" s="444"/>
      <c r="H47" s="444"/>
      <c r="I47" s="444"/>
      <c r="J47" s="444"/>
      <c r="K47" s="444"/>
      <c r="L47" s="444"/>
      <c r="M47" s="444"/>
      <c r="N47" s="444"/>
      <c r="O47" s="444"/>
      <c r="P47" s="444"/>
      <c r="Q47" s="444"/>
      <c r="R47" s="444"/>
    </row>
    <row r="48" spans="1:18" ht="15" customHeight="1" x14ac:dyDescent="0.25">
      <c r="A48" s="444"/>
      <c r="B48" s="444"/>
      <c r="C48" s="444"/>
      <c r="D48" s="444"/>
      <c r="E48" s="444"/>
      <c r="F48" s="444"/>
      <c r="G48" s="444"/>
      <c r="H48" s="444"/>
      <c r="I48" s="444"/>
      <c r="J48" s="444"/>
      <c r="K48" s="444"/>
      <c r="L48" s="444"/>
      <c r="M48" s="444"/>
      <c r="N48" s="444"/>
      <c r="O48" s="444"/>
      <c r="P48" s="444"/>
      <c r="Q48" s="444"/>
      <c r="R48" s="444"/>
    </row>
    <row r="49" spans="1:18" ht="15" customHeight="1" x14ac:dyDescent="0.25">
      <c r="A49" s="444"/>
      <c r="B49" s="444"/>
      <c r="C49" s="444"/>
      <c r="D49" s="444"/>
      <c r="E49" s="444"/>
      <c r="F49" s="444"/>
      <c r="G49" s="444"/>
      <c r="H49" s="444"/>
      <c r="I49" s="444"/>
      <c r="J49" s="444"/>
      <c r="K49" s="444"/>
      <c r="L49" s="444"/>
      <c r="M49" s="444"/>
      <c r="N49" s="444"/>
      <c r="O49" s="444"/>
      <c r="P49" s="444"/>
      <c r="Q49" s="444"/>
      <c r="R49" s="444"/>
    </row>
    <row r="50" spans="1:18" ht="15" customHeight="1" x14ac:dyDescent="0.25">
      <c r="A50" s="444"/>
      <c r="B50" s="444"/>
      <c r="C50" s="444"/>
      <c r="D50" s="444"/>
      <c r="E50" s="444"/>
      <c r="F50" s="444"/>
      <c r="G50" s="444"/>
      <c r="H50" s="444"/>
      <c r="I50" s="444"/>
      <c r="J50" s="444"/>
      <c r="K50" s="444"/>
      <c r="L50" s="444"/>
      <c r="M50" s="444"/>
      <c r="N50" s="444"/>
      <c r="O50" s="444"/>
      <c r="P50" s="444"/>
      <c r="Q50" s="444"/>
      <c r="R50" s="444"/>
    </row>
    <row r="51" spans="1:18" ht="15" customHeight="1" x14ac:dyDescent="0.25">
      <c r="A51" s="444"/>
      <c r="B51" s="444"/>
      <c r="C51" s="444"/>
      <c r="D51" s="444"/>
      <c r="E51" s="444"/>
      <c r="F51" s="444"/>
      <c r="G51" s="444"/>
      <c r="H51" s="444"/>
      <c r="I51" s="444"/>
      <c r="J51" s="444"/>
      <c r="K51" s="444"/>
      <c r="L51" s="444"/>
      <c r="M51" s="444"/>
      <c r="N51" s="444"/>
      <c r="O51" s="444"/>
      <c r="P51" s="444"/>
      <c r="Q51" s="444"/>
      <c r="R51" s="444"/>
    </row>
    <row r="52" spans="1:18" ht="15" customHeight="1" x14ac:dyDescent="0.25">
      <c r="A52" s="444"/>
      <c r="B52" s="444"/>
      <c r="C52" s="444"/>
      <c r="D52" s="444"/>
      <c r="E52" s="444"/>
      <c r="F52" s="444"/>
      <c r="G52" s="444"/>
      <c r="H52" s="444"/>
      <c r="I52" s="444"/>
      <c r="J52" s="444"/>
      <c r="K52" s="444"/>
      <c r="L52" s="444"/>
      <c r="M52" s="444"/>
      <c r="N52" s="444"/>
      <c r="O52" s="444"/>
      <c r="P52" s="444"/>
      <c r="Q52" s="444"/>
      <c r="R52" s="444"/>
    </row>
    <row r="53" spans="1:18" ht="15" customHeight="1" x14ac:dyDescent="0.25">
      <c r="A53" s="444"/>
      <c r="B53" s="444"/>
      <c r="C53" s="444"/>
      <c r="D53" s="444"/>
      <c r="E53" s="444"/>
      <c r="F53" s="444"/>
      <c r="G53" s="444"/>
      <c r="H53" s="444"/>
      <c r="I53" s="444"/>
      <c r="J53" s="444"/>
      <c r="K53" s="444"/>
      <c r="L53" s="444"/>
      <c r="M53" s="444"/>
      <c r="N53" s="444"/>
      <c r="O53" s="444"/>
      <c r="P53" s="444"/>
      <c r="Q53" s="444"/>
      <c r="R53" s="444"/>
    </row>
    <row r="54" spans="1:18" ht="15" customHeight="1" x14ac:dyDescent="0.25">
      <c r="A54" s="444"/>
      <c r="B54" s="444"/>
      <c r="C54" s="444"/>
      <c r="D54" s="444"/>
      <c r="E54" s="444"/>
      <c r="F54" s="444"/>
      <c r="G54" s="444"/>
      <c r="H54" s="444"/>
      <c r="I54" s="444"/>
      <c r="J54" s="444"/>
      <c r="K54" s="444"/>
      <c r="L54" s="444"/>
      <c r="M54" s="444"/>
      <c r="N54" s="444"/>
      <c r="O54" s="444"/>
      <c r="P54" s="444"/>
      <c r="Q54" s="444"/>
      <c r="R54" s="444"/>
    </row>
    <row r="55" spans="1:18" ht="15" customHeight="1" x14ac:dyDescent="0.25">
      <c r="A55" s="444"/>
      <c r="B55" s="444"/>
      <c r="C55" s="444"/>
      <c r="D55" s="444"/>
      <c r="E55" s="444"/>
      <c r="F55" s="444"/>
      <c r="G55" s="444"/>
      <c r="H55" s="444"/>
      <c r="I55" s="444"/>
      <c r="J55" s="444"/>
      <c r="K55" s="444"/>
      <c r="L55" s="444"/>
      <c r="M55" s="444"/>
      <c r="N55" s="444"/>
      <c r="O55" s="444"/>
      <c r="P55" s="444"/>
      <c r="Q55" s="444"/>
      <c r="R55" s="444"/>
    </row>
    <row r="56" spans="1:18" ht="15" customHeight="1" x14ac:dyDescent="0.25">
      <c r="A56" s="444"/>
      <c r="B56" s="444"/>
      <c r="C56" s="444"/>
      <c r="D56" s="444"/>
      <c r="E56" s="444"/>
      <c r="F56" s="444"/>
      <c r="G56" s="444"/>
      <c r="H56" s="444"/>
      <c r="I56" s="444"/>
      <c r="J56" s="444"/>
      <c r="K56" s="444"/>
      <c r="L56" s="444"/>
      <c r="M56" s="444"/>
      <c r="N56" s="444"/>
      <c r="O56" s="444"/>
      <c r="P56" s="444"/>
      <c r="Q56" s="444"/>
      <c r="R56" s="444"/>
    </row>
    <row r="57" spans="1:18" ht="30" customHeight="1" x14ac:dyDescent="0.25">
      <c r="A57" s="444"/>
      <c r="B57" s="444"/>
      <c r="C57" s="444"/>
      <c r="D57" s="444"/>
      <c r="E57" s="444"/>
      <c r="F57" s="444"/>
      <c r="G57" s="444"/>
      <c r="H57" s="444"/>
      <c r="I57" s="444"/>
      <c r="J57" s="444"/>
      <c r="K57" s="444"/>
      <c r="L57" s="444"/>
      <c r="M57" s="444"/>
      <c r="N57" s="444"/>
      <c r="O57" s="444"/>
      <c r="P57" s="444"/>
      <c r="Q57" s="444"/>
      <c r="R57" s="444"/>
    </row>
    <row r="58" spans="1:18" ht="15" customHeight="1" x14ac:dyDescent="0.25">
      <c r="A58" s="444"/>
      <c r="B58" s="444"/>
      <c r="C58" s="444"/>
      <c r="D58" s="444"/>
      <c r="E58" s="444"/>
      <c r="F58" s="444"/>
      <c r="G58" s="444"/>
      <c r="H58" s="444"/>
      <c r="I58" s="444"/>
      <c r="J58" s="444"/>
      <c r="K58" s="444"/>
      <c r="L58" s="444"/>
      <c r="M58" s="444"/>
      <c r="N58" s="444"/>
      <c r="O58" s="444"/>
      <c r="P58" s="444"/>
      <c r="Q58" s="444"/>
      <c r="R58" s="444"/>
    </row>
    <row r="59" spans="1:18" ht="15" customHeight="1" x14ac:dyDescent="0.25">
      <c r="A59" s="444"/>
      <c r="B59" s="444"/>
      <c r="C59" s="444"/>
      <c r="D59" s="444"/>
      <c r="E59" s="444"/>
      <c r="F59" s="444"/>
      <c r="G59" s="444"/>
      <c r="H59" s="444"/>
      <c r="I59" s="444"/>
      <c r="J59" s="444"/>
      <c r="K59" s="444"/>
      <c r="L59" s="444"/>
      <c r="M59" s="444"/>
      <c r="N59" s="444"/>
      <c r="O59" s="444"/>
      <c r="P59" s="444"/>
      <c r="Q59" s="444"/>
      <c r="R59" s="444"/>
    </row>
    <row r="60" spans="1:18" ht="15" customHeight="1" x14ac:dyDescent="0.25">
      <c r="A60" s="444"/>
      <c r="B60" s="444"/>
      <c r="C60" s="444"/>
      <c r="D60" s="444"/>
      <c r="E60" s="444"/>
      <c r="F60" s="444"/>
      <c r="G60" s="444"/>
      <c r="H60" s="444"/>
      <c r="I60" s="444"/>
      <c r="J60" s="444"/>
      <c r="K60" s="444"/>
      <c r="L60" s="444"/>
      <c r="M60" s="444"/>
      <c r="N60" s="444"/>
      <c r="O60" s="444"/>
      <c r="P60" s="444"/>
      <c r="Q60" s="444"/>
      <c r="R60" s="444"/>
    </row>
    <row r="61" spans="1:18" ht="15" customHeight="1" x14ac:dyDescent="0.25">
      <c r="A61" s="444"/>
      <c r="B61" s="444"/>
      <c r="C61" s="444"/>
      <c r="D61" s="444"/>
      <c r="E61" s="444"/>
      <c r="F61" s="444"/>
      <c r="G61" s="444"/>
      <c r="H61" s="444"/>
      <c r="I61" s="444"/>
      <c r="J61" s="444"/>
      <c r="K61" s="444"/>
      <c r="L61" s="444"/>
      <c r="M61" s="444"/>
      <c r="N61" s="444"/>
      <c r="O61" s="444"/>
      <c r="P61" s="444"/>
      <c r="Q61" s="444"/>
      <c r="R61" s="444"/>
    </row>
    <row r="62" spans="1:18" ht="15" customHeight="1" x14ac:dyDescent="0.25">
      <c r="A62" s="444"/>
      <c r="B62" s="444"/>
      <c r="C62" s="444"/>
      <c r="D62" s="444"/>
      <c r="E62" s="444"/>
      <c r="F62" s="444"/>
      <c r="G62" s="444"/>
      <c r="H62" s="444"/>
      <c r="I62" s="444"/>
      <c r="J62" s="444"/>
      <c r="K62" s="444"/>
      <c r="L62" s="444"/>
      <c r="M62" s="444"/>
      <c r="N62" s="444"/>
      <c r="O62" s="444"/>
      <c r="P62" s="444"/>
      <c r="Q62" s="444"/>
      <c r="R62" s="444"/>
    </row>
    <row r="63" spans="1:18" ht="15" customHeight="1" x14ac:dyDescent="0.25">
      <c r="A63" s="444"/>
      <c r="B63" s="444"/>
      <c r="C63" s="444"/>
      <c r="D63" s="444"/>
      <c r="E63" s="444"/>
      <c r="F63" s="444"/>
      <c r="G63" s="444"/>
      <c r="H63" s="444"/>
      <c r="I63" s="444"/>
      <c r="J63" s="444"/>
      <c r="K63" s="444"/>
      <c r="L63" s="444"/>
      <c r="M63" s="444"/>
      <c r="N63" s="444"/>
      <c r="O63" s="444"/>
      <c r="P63" s="444"/>
      <c r="Q63" s="444"/>
      <c r="R63" s="444"/>
    </row>
    <row r="64" spans="1:18" ht="15" customHeight="1" x14ac:dyDescent="0.25">
      <c r="A64" s="444"/>
      <c r="B64" s="444"/>
      <c r="C64" s="444"/>
      <c r="D64" s="444"/>
      <c r="E64" s="444"/>
      <c r="F64" s="444"/>
      <c r="G64" s="444"/>
      <c r="H64" s="444"/>
      <c r="I64" s="444"/>
      <c r="J64" s="444"/>
      <c r="K64" s="444"/>
      <c r="L64" s="444"/>
      <c r="M64" s="444"/>
      <c r="N64" s="444"/>
      <c r="O64" s="444"/>
      <c r="P64" s="444"/>
      <c r="Q64" s="444"/>
      <c r="R64" s="444"/>
    </row>
    <row r="65" spans="1:18" ht="15" customHeight="1" x14ac:dyDescent="0.25">
      <c r="A65" s="444"/>
      <c r="B65" s="444"/>
      <c r="C65" s="444"/>
      <c r="D65" s="444"/>
      <c r="E65" s="444"/>
      <c r="F65" s="444"/>
      <c r="G65" s="444"/>
      <c r="H65" s="444"/>
      <c r="I65" s="444"/>
      <c r="J65" s="444"/>
      <c r="K65" s="444"/>
      <c r="L65" s="444"/>
      <c r="M65" s="444"/>
      <c r="N65" s="444"/>
      <c r="O65" s="444"/>
      <c r="P65" s="444"/>
      <c r="Q65" s="444"/>
      <c r="R65" s="444"/>
    </row>
    <row r="66" spans="1:18" ht="15" customHeight="1" x14ac:dyDescent="0.25">
      <c r="A66" s="444"/>
      <c r="B66" s="444"/>
      <c r="C66" s="444"/>
      <c r="D66" s="444"/>
      <c r="E66" s="444"/>
      <c r="F66" s="444"/>
      <c r="G66" s="444"/>
      <c r="H66" s="444"/>
      <c r="I66" s="444"/>
      <c r="J66" s="444"/>
      <c r="K66" s="444"/>
      <c r="L66" s="444"/>
      <c r="M66" s="444"/>
      <c r="N66" s="444"/>
      <c r="O66" s="444"/>
      <c r="P66" s="444"/>
      <c r="Q66" s="444"/>
      <c r="R66" s="444"/>
    </row>
    <row r="67" spans="1:18" ht="15" customHeight="1" x14ac:dyDescent="0.25">
      <c r="A67" s="444"/>
      <c r="B67" s="444"/>
      <c r="C67" s="444"/>
      <c r="D67" s="444"/>
      <c r="E67" s="444"/>
      <c r="F67" s="444"/>
      <c r="G67" s="444"/>
      <c r="H67" s="444"/>
      <c r="I67" s="444"/>
      <c r="J67" s="444"/>
      <c r="K67" s="444"/>
      <c r="L67" s="444"/>
      <c r="M67" s="444"/>
      <c r="N67" s="444"/>
      <c r="O67" s="444"/>
      <c r="P67" s="444"/>
      <c r="Q67" s="444"/>
      <c r="R67" s="444"/>
    </row>
    <row r="68" spans="1:18" ht="15" customHeight="1" x14ac:dyDescent="0.25">
      <c r="A68" s="444"/>
      <c r="B68" s="444"/>
      <c r="C68" s="444"/>
      <c r="D68" s="444"/>
      <c r="E68" s="444"/>
      <c r="F68" s="444"/>
      <c r="G68" s="444"/>
      <c r="H68" s="444"/>
      <c r="I68" s="444"/>
      <c r="J68" s="444"/>
      <c r="K68" s="444"/>
      <c r="L68" s="444"/>
      <c r="M68" s="444"/>
      <c r="N68" s="444"/>
      <c r="O68" s="444"/>
      <c r="P68" s="444"/>
      <c r="Q68" s="444"/>
      <c r="R68" s="444"/>
    </row>
    <row r="69" spans="1:18" ht="15" customHeight="1" x14ac:dyDescent="0.25">
      <c r="A69" s="444"/>
      <c r="B69" s="444"/>
      <c r="C69" s="444"/>
      <c r="D69" s="444"/>
      <c r="E69" s="444"/>
      <c r="F69" s="444"/>
      <c r="G69" s="444"/>
      <c r="H69" s="444"/>
      <c r="I69" s="444"/>
      <c r="J69" s="444"/>
      <c r="K69" s="444"/>
      <c r="L69" s="444"/>
      <c r="M69" s="444"/>
      <c r="N69" s="444"/>
      <c r="O69" s="444"/>
      <c r="P69" s="444"/>
      <c r="Q69" s="444"/>
      <c r="R69" s="444"/>
    </row>
    <row r="70" spans="1:18" ht="15" customHeight="1" x14ac:dyDescent="0.25">
      <c r="A70" s="444"/>
      <c r="B70" s="444"/>
      <c r="C70" s="444"/>
      <c r="D70" s="444"/>
      <c r="E70" s="444"/>
      <c r="F70" s="444"/>
      <c r="G70" s="444"/>
      <c r="H70" s="444"/>
      <c r="I70" s="444"/>
      <c r="J70" s="444"/>
      <c r="K70" s="444"/>
      <c r="L70" s="444"/>
      <c r="M70" s="444"/>
      <c r="N70" s="444"/>
      <c r="O70" s="444"/>
      <c r="P70" s="444"/>
      <c r="Q70" s="444"/>
      <c r="R70" s="444"/>
    </row>
    <row r="71" spans="1:18" ht="23.25" customHeight="1" thickBot="1" x14ac:dyDescent="0.3">
      <c r="A71" s="398"/>
      <c r="B71" s="398"/>
      <c r="C71" s="398"/>
      <c r="D71" s="398"/>
      <c r="E71" s="398"/>
      <c r="F71" s="398"/>
      <c r="G71" s="398"/>
      <c r="H71" s="398"/>
      <c r="I71" s="398"/>
      <c r="J71" s="398"/>
      <c r="K71" s="398"/>
      <c r="L71" s="398"/>
      <c r="M71" s="398"/>
      <c r="N71" s="398"/>
      <c r="O71" s="398"/>
      <c r="P71" s="398"/>
      <c r="Q71" s="398"/>
      <c r="R71" s="398"/>
    </row>
    <row r="72" spans="1:18" ht="20.25" thickBot="1" x14ac:dyDescent="0.3">
      <c r="A72" s="439" t="s">
        <v>195</v>
      </c>
      <c r="B72" s="440"/>
      <c r="C72" s="440"/>
      <c r="D72" s="440"/>
      <c r="E72" s="440"/>
      <c r="F72" s="440"/>
      <c r="G72" s="440"/>
      <c r="H72" s="440"/>
      <c r="I72" s="440"/>
      <c r="J72" s="440"/>
      <c r="K72" s="440"/>
      <c r="L72" s="440"/>
      <c r="M72" s="440"/>
      <c r="N72" s="440"/>
      <c r="O72" s="440"/>
      <c r="P72" s="440"/>
      <c r="Q72" s="440"/>
      <c r="R72" s="442"/>
    </row>
    <row r="73" spans="1:18" x14ac:dyDescent="0.25">
      <c r="A73" s="444" t="s">
        <v>315</v>
      </c>
      <c r="B73" s="444"/>
      <c r="C73" s="444"/>
      <c r="D73" s="444"/>
      <c r="E73" s="444"/>
      <c r="F73" s="444"/>
      <c r="G73" s="444"/>
      <c r="H73" s="444"/>
      <c r="I73" s="444"/>
      <c r="J73" s="444"/>
      <c r="K73" s="444"/>
      <c r="L73" s="444"/>
      <c r="M73" s="444"/>
      <c r="N73" s="444"/>
      <c r="O73" s="444"/>
      <c r="P73" s="444"/>
      <c r="Q73" s="444"/>
      <c r="R73" s="444"/>
    </row>
    <row r="74" spans="1:18" x14ac:dyDescent="0.25">
      <c r="A74" s="445"/>
      <c r="B74" s="445"/>
      <c r="C74" s="445"/>
      <c r="D74" s="445"/>
      <c r="E74" s="445"/>
      <c r="F74" s="445"/>
      <c r="G74" s="445"/>
      <c r="H74" s="445"/>
      <c r="I74" s="445"/>
      <c r="J74" s="445"/>
      <c r="K74" s="445"/>
      <c r="L74" s="445"/>
      <c r="M74" s="445"/>
      <c r="N74" s="445"/>
      <c r="O74" s="445"/>
      <c r="P74" s="445"/>
      <c r="Q74" s="445"/>
      <c r="R74" s="445"/>
    </row>
    <row r="75" spans="1:18" x14ac:dyDescent="0.25">
      <c r="A75" s="445"/>
      <c r="B75" s="445"/>
      <c r="C75" s="445"/>
      <c r="D75" s="445"/>
      <c r="E75" s="445"/>
      <c r="F75" s="445"/>
      <c r="G75" s="445"/>
      <c r="H75" s="445"/>
      <c r="I75" s="445"/>
      <c r="J75" s="445"/>
      <c r="K75" s="445"/>
      <c r="L75" s="445"/>
      <c r="M75" s="445"/>
      <c r="N75" s="445"/>
      <c r="O75" s="445"/>
      <c r="P75" s="445"/>
      <c r="Q75" s="445"/>
      <c r="R75" s="445"/>
    </row>
    <row r="76" spans="1:18" x14ac:dyDescent="0.25">
      <c r="A76" s="445"/>
      <c r="B76" s="445"/>
      <c r="C76" s="445"/>
      <c r="D76" s="445"/>
      <c r="E76" s="445"/>
      <c r="F76" s="445"/>
      <c r="G76" s="445"/>
      <c r="H76" s="445"/>
      <c r="I76" s="445"/>
      <c r="J76" s="445"/>
      <c r="K76" s="445"/>
      <c r="L76" s="445"/>
      <c r="M76" s="445"/>
      <c r="N76" s="445"/>
      <c r="O76" s="445"/>
      <c r="P76" s="445"/>
      <c r="Q76" s="445"/>
      <c r="R76" s="445"/>
    </row>
    <row r="77" spans="1:18" x14ac:dyDescent="0.25">
      <c r="A77" s="445"/>
      <c r="B77" s="445"/>
      <c r="C77" s="445"/>
      <c r="D77" s="445"/>
      <c r="E77" s="445"/>
      <c r="F77" s="445"/>
      <c r="G77" s="445"/>
      <c r="H77" s="445"/>
      <c r="I77" s="445"/>
      <c r="J77" s="445"/>
      <c r="K77" s="445"/>
      <c r="L77" s="445"/>
      <c r="M77" s="445"/>
      <c r="N77" s="445"/>
      <c r="O77" s="445"/>
      <c r="P77" s="445"/>
      <c r="Q77" s="445"/>
      <c r="R77" s="445"/>
    </row>
    <row r="78" spans="1:18" x14ac:dyDescent="0.25">
      <c r="A78" s="445"/>
      <c r="B78" s="445"/>
      <c r="C78" s="445"/>
      <c r="D78" s="445"/>
      <c r="E78" s="445"/>
      <c r="F78" s="445"/>
      <c r="G78" s="445"/>
      <c r="H78" s="445"/>
      <c r="I78" s="445"/>
      <c r="J78" s="445"/>
      <c r="K78" s="445"/>
      <c r="L78" s="445"/>
      <c r="M78" s="445"/>
      <c r="N78" s="445"/>
      <c r="O78" s="445"/>
      <c r="P78" s="445"/>
      <c r="Q78" s="445"/>
      <c r="R78" s="445"/>
    </row>
    <row r="79" spans="1:18" x14ac:dyDescent="0.25">
      <c r="A79" s="445"/>
      <c r="B79" s="445"/>
      <c r="C79" s="445"/>
      <c r="D79" s="445"/>
      <c r="E79" s="445"/>
      <c r="F79" s="445"/>
      <c r="G79" s="445"/>
      <c r="H79" s="445"/>
      <c r="I79" s="445"/>
      <c r="J79" s="445"/>
      <c r="K79" s="445"/>
      <c r="L79" s="445"/>
      <c r="M79" s="445"/>
      <c r="N79" s="445"/>
      <c r="O79" s="445"/>
      <c r="P79" s="445"/>
      <c r="Q79" s="445"/>
      <c r="R79" s="445"/>
    </row>
    <row r="80" spans="1:18" x14ac:dyDescent="0.25">
      <c r="A80" s="445"/>
      <c r="B80" s="445"/>
      <c r="C80" s="445"/>
      <c r="D80" s="445"/>
      <c r="E80" s="445"/>
      <c r="F80" s="445"/>
      <c r="G80" s="445"/>
      <c r="H80" s="445"/>
      <c r="I80" s="445"/>
      <c r="J80" s="445"/>
      <c r="K80" s="445"/>
      <c r="L80" s="445"/>
      <c r="M80" s="445"/>
      <c r="N80" s="445"/>
      <c r="O80" s="445"/>
      <c r="P80" s="445"/>
      <c r="Q80" s="445"/>
      <c r="R80" s="445"/>
    </row>
    <row r="81" spans="1:18" x14ac:dyDescent="0.25">
      <c r="A81" s="445"/>
      <c r="B81" s="445"/>
      <c r="C81" s="445"/>
      <c r="D81" s="445"/>
      <c r="E81" s="445"/>
      <c r="F81" s="445"/>
      <c r="G81" s="445"/>
      <c r="H81" s="445"/>
      <c r="I81" s="445"/>
      <c r="J81" s="445"/>
      <c r="K81" s="445"/>
      <c r="L81" s="445"/>
      <c r="M81" s="445"/>
      <c r="N81" s="445"/>
      <c r="O81" s="445"/>
      <c r="P81" s="445"/>
      <c r="Q81" s="445"/>
      <c r="R81" s="445"/>
    </row>
    <row r="82" spans="1:18" x14ac:dyDescent="0.25">
      <c r="A82" s="445"/>
      <c r="B82" s="445"/>
      <c r="C82" s="445"/>
      <c r="D82" s="445"/>
      <c r="E82" s="445"/>
      <c r="F82" s="445"/>
      <c r="G82" s="445"/>
      <c r="H82" s="445"/>
      <c r="I82" s="445"/>
      <c r="J82" s="445"/>
      <c r="K82" s="445"/>
      <c r="L82" s="445"/>
      <c r="M82" s="445"/>
      <c r="N82" s="445"/>
      <c r="O82" s="445"/>
      <c r="P82" s="445"/>
      <c r="Q82" s="445"/>
      <c r="R82" s="445"/>
    </row>
    <row r="83" spans="1:18" x14ac:dyDescent="0.25">
      <c r="A83" s="445"/>
      <c r="B83" s="445"/>
      <c r="C83" s="445"/>
      <c r="D83" s="445"/>
      <c r="E83" s="445"/>
      <c r="F83" s="445"/>
      <c r="G83" s="445"/>
      <c r="H83" s="445"/>
      <c r="I83" s="445"/>
      <c r="J83" s="445"/>
      <c r="K83" s="445"/>
      <c r="L83" s="445"/>
      <c r="M83" s="445"/>
      <c r="N83" s="445"/>
      <c r="O83" s="445"/>
      <c r="P83" s="445"/>
      <c r="Q83" s="445"/>
      <c r="R83" s="445"/>
    </row>
    <row r="84" spans="1:18" x14ac:dyDescent="0.25">
      <c r="A84" s="445"/>
      <c r="B84" s="445"/>
      <c r="C84" s="445"/>
      <c r="D84" s="445"/>
      <c r="E84" s="445"/>
      <c r="F84" s="445"/>
      <c r="G84" s="445"/>
      <c r="H84" s="445"/>
      <c r="I84" s="445"/>
      <c r="J84" s="445"/>
      <c r="K84" s="445"/>
      <c r="L84" s="445"/>
      <c r="M84" s="445"/>
      <c r="N84" s="445"/>
      <c r="O84" s="445"/>
      <c r="P84" s="445"/>
      <c r="Q84" s="445"/>
      <c r="R84" s="445"/>
    </row>
    <row r="85" spans="1:18" x14ac:dyDescent="0.25">
      <c r="A85" s="445"/>
      <c r="B85" s="445"/>
      <c r="C85" s="445"/>
      <c r="D85" s="445"/>
      <c r="E85" s="445"/>
      <c r="F85" s="445"/>
      <c r="G85" s="445"/>
      <c r="H85" s="445"/>
      <c r="I85" s="445"/>
      <c r="J85" s="445"/>
      <c r="K85" s="445"/>
      <c r="L85" s="445"/>
      <c r="M85" s="445"/>
      <c r="N85" s="445"/>
      <c r="O85" s="445"/>
      <c r="P85" s="445"/>
      <c r="Q85" s="445"/>
      <c r="R85" s="445"/>
    </row>
    <row r="86" spans="1:18" x14ac:dyDescent="0.25">
      <c r="A86" s="445"/>
      <c r="B86" s="445"/>
      <c r="C86" s="445"/>
      <c r="D86" s="445"/>
      <c r="E86" s="445"/>
      <c r="F86" s="445"/>
      <c r="G86" s="445"/>
      <c r="H86" s="445"/>
      <c r="I86" s="445"/>
      <c r="J86" s="445"/>
      <c r="K86" s="445"/>
      <c r="L86" s="445"/>
      <c r="M86" s="445"/>
      <c r="N86" s="445"/>
      <c r="O86" s="445"/>
      <c r="P86" s="445"/>
      <c r="Q86" s="445"/>
      <c r="R86" s="445"/>
    </row>
    <row r="87" spans="1:18" x14ac:dyDescent="0.25">
      <c r="A87" s="445"/>
      <c r="B87" s="445"/>
      <c r="C87" s="445"/>
      <c r="D87" s="445"/>
      <c r="E87" s="445"/>
      <c r="F87" s="445"/>
      <c r="G87" s="445"/>
      <c r="H87" s="445"/>
      <c r="I87" s="445"/>
      <c r="J87" s="445"/>
      <c r="K87" s="445"/>
      <c r="L87" s="445"/>
      <c r="M87" s="445"/>
      <c r="N87" s="445"/>
      <c r="O87" s="445"/>
      <c r="P87" s="445"/>
      <c r="Q87" s="445"/>
      <c r="R87" s="445"/>
    </row>
    <row r="88" spans="1:18" x14ac:dyDescent="0.25">
      <c r="A88" s="445"/>
      <c r="B88" s="445"/>
      <c r="C88" s="445"/>
      <c r="D88" s="445"/>
      <c r="E88" s="445"/>
      <c r="F88" s="445"/>
      <c r="G88" s="445"/>
      <c r="H88" s="445"/>
      <c r="I88" s="445"/>
      <c r="J88" s="445"/>
      <c r="K88" s="445"/>
      <c r="L88" s="445"/>
      <c r="M88" s="445"/>
      <c r="N88" s="445"/>
      <c r="O88" s="445"/>
      <c r="P88" s="445"/>
      <c r="Q88" s="445"/>
      <c r="R88" s="445"/>
    </row>
    <row r="89" spans="1:18" x14ac:dyDescent="0.25">
      <c r="A89" s="445"/>
      <c r="B89" s="445"/>
      <c r="C89" s="445"/>
      <c r="D89" s="445"/>
      <c r="E89" s="445"/>
      <c r="F89" s="445"/>
      <c r="G89" s="445"/>
      <c r="H89" s="445"/>
      <c r="I89" s="445"/>
      <c r="J89" s="445"/>
      <c r="K89" s="445"/>
      <c r="L89" s="445"/>
      <c r="M89" s="445"/>
      <c r="N89" s="445"/>
      <c r="O89" s="445"/>
      <c r="P89" s="445"/>
      <c r="Q89" s="445"/>
      <c r="R89" s="445"/>
    </row>
    <row r="90" spans="1:18" x14ac:dyDescent="0.25">
      <c r="A90" s="445"/>
      <c r="B90" s="445"/>
      <c r="C90" s="445"/>
      <c r="D90" s="445"/>
      <c r="E90" s="445"/>
      <c r="F90" s="445"/>
      <c r="G90" s="445"/>
      <c r="H90" s="445"/>
      <c r="I90" s="445"/>
      <c r="J90" s="445"/>
      <c r="K90" s="445"/>
      <c r="L90" s="445"/>
      <c r="M90" s="445"/>
      <c r="N90" s="445"/>
      <c r="O90" s="445"/>
      <c r="P90" s="445"/>
      <c r="Q90" s="445"/>
      <c r="R90" s="445"/>
    </row>
    <row r="91" spans="1:18" x14ac:dyDescent="0.25">
      <c r="A91" s="445"/>
      <c r="B91" s="445"/>
      <c r="C91" s="445"/>
      <c r="D91" s="445"/>
      <c r="E91" s="445"/>
      <c r="F91" s="445"/>
      <c r="G91" s="445"/>
      <c r="H91" s="445"/>
      <c r="I91" s="445"/>
      <c r="J91" s="445"/>
      <c r="K91" s="445"/>
      <c r="L91" s="445"/>
      <c r="M91" s="445"/>
      <c r="N91" s="445"/>
      <c r="O91" s="445"/>
      <c r="P91" s="445"/>
      <c r="Q91" s="445"/>
      <c r="R91" s="445"/>
    </row>
    <row r="92" spans="1:18" x14ac:dyDescent="0.25">
      <c r="A92" s="445"/>
      <c r="B92" s="445"/>
      <c r="C92" s="445"/>
      <c r="D92" s="445"/>
      <c r="E92" s="445"/>
      <c r="F92" s="445"/>
      <c r="G92" s="445"/>
      <c r="H92" s="445"/>
      <c r="I92" s="445"/>
      <c r="J92" s="445"/>
      <c r="K92" s="445"/>
      <c r="L92" s="445"/>
      <c r="M92" s="445"/>
      <c r="N92" s="445"/>
      <c r="O92" s="445"/>
      <c r="P92" s="445"/>
      <c r="Q92" s="445"/>
      <c r="R92" s="445"/>
    </row>
    <row r="93" spans="1:18" x14ac:dyDescent="0.25">
      <c r="A93" s="445"/>
      <c r="B93" s="445"/>
      <c r="C93" s="445"/>
      <c r="D93" s="445"/>
      <c r="E93" s="445"/>
      <c r="F93" s="445"/>
      <c r="G93" s="445"/>
      <c r="H93" s="445"/>
      <c r="I93" s="445"/>
      <c r="J93" s="445"/>
      <c r="K93" s="445"/>
      <c r="L93" s="445"/>
      <c r="M93" s="445"/>
      <c r="N93" s="445"/>
      <c r="O93" s="445"/>
      <c r="P93" s="445"/>
      <c r="Q93" s="445"/>
      <c r="R93" s="445"/>
    </row>
    <row r="94" spans="1:18" x14ac:dyDescent="0.25">
      <c r="A94" s="445"/>
      <c r="B94" s="445"/>
      <c r="C94" s="445"/>
      <c r="D94" s="445"/>
      <c r="E94" s="445"/>
      <c r="F94" s="445"/>
      <c r="G94" s="445"/>
      <c r="H94" s="445"/>
      <c r="I94" s="445"/>
      <c r="J94" s="445"/>
      <c r="K94" s="445"/>
      <c r="L94" s="445"/>
      <c r="M94" s="445"/>
      <c r="N94" s="445"/>
      <c r="O94" s="445"/>
      <c r="P94" s="445"/>
      <c r="Q94" s="445"/>
      <c r="R94" s="445"/>
    </row>
    <row r="95" spans="1:18" x14ac:dyDescent="0.25">
      <c r="A95" s="445"/>
      <c r="B95" s="445"/>
      <c r="C95" s="445"/>
      <c r="D95" s="445"/>
      <c r="E95" s="445"/>
      <c r="F95" s="445"/>
      <c r="G95" s="445"/>
      <c r="H95" s="445"/>
      <c r="I95" s="445"/>
      <c r="J95" s="445"/>
      <c r="K95" s="445"/>
      <c r="L95" s="445"/>
      <c r="M95" s="445"/>
      <c r="N95" s="445"/>
      <c r="O95" s="445"/>
      <c r="P95" s="445"/>
      <c r="Q95" s="445"/>
      <c r="R95" s="445"/>
    </row>
    <row r="96" spans="1:18" x14ac:dyDescent="0.25">
      <c r="A96" s="445"/>
      <c r="B96" s="445"/>
      <c r="C96" s="445"/>
      <c r="D96" s="445"/>
      <c r="E96" s="445"/>
      <c r="F96" s="445"/>
      <c r="G96" s="445"/>
      <c r="H96" s="445"/>
      <c r="I96" s="445"/>
      <c r="J96" s="445"/>
      <c r="K96" s="445"/>
      <c r="L96" s="445"/>
      <c r="M96" s="445"/>
      <c r="N96" s="445"/>
      <c r="O96" s="445"/>
      <c r="P96" s="445"/>
      <c r="Q96" s="445"/>
      <c r="R96" s="445"/>
    </row>
    <row r="97" spans="1:18" x14ac:dyDescent="0.25">
      <c r="A97" s="445"/>
      <c r="B97" s="445"/>
      <c r="C97" s="445"/>
      <c r="D97" s="445"/>
      <c r="E97" s="445"/>
      <c r="F97" s="445"/>
      <c r="G97" s="445"/>
      <c r="H97" s="445"/>
      <c r="I97" s="445"/>
      <c r="J97" s="445"/>
      <c r="K97" s="445"/>
      <c r="L97" s="445"/>
      <c r="M97" s="445"/>
      <c r="N97" s="445"/>
      <c r="O97" s="445"/>
      <c r="P97" s="445"/>
      <c r="Q97" s="445"/>
      <c r="R97" s="445"/>
    </row>
    <row r="98" spans="1:18" x14ac:dyDescent="0.25">
      <c r="A98" s="445"/>
      <c r="B98" s="445"/>
      <c r="C98" s="445"/>
      <c r="D98" s="445"/>
      <c r="E98" s="445"/>
      <c r="F98" s="445"/>
      <c r="G98" s="445"/>
      <c r="H98" s="445"/>
      <c r="I98" s="445"/>
      <c r="J98" s="445"/>
      <c r="K98" s="445"/>
      <c r="L98" s="445"/>
      <c r="M98" s="445"/>
      <c r="N98" s="445"/>
      <c r="O98" s="445"/>
      <c r="P98" s="445"/>
      <c r="Q98" s="445"/>
      <c r="R98" s="445"/>
    </row>
    <row r="99" spans="1:18" x14ac:dyDescent="0.25">
      <c r="A99" s="445"/>
      <c r="B99" s="445"/>
      <c r="C99" s="445"/>
      <c r="D99" s="445"/>
      <c r="E99" s="445"/>
      <c r="F99" s="445"/>
      <c r="G99" s="445"/>
      <c r="H99" s="445"/>
      <c r="I99" s="445"/>
      <c r="J99" s="445"/>
      <c r="K99" s="445"/>
      <c r="L99" s="445"/>
      <c r="M99" s="445"/>
      <c r="N99" s="445"/>
      <c r="O99" s="445"/>
      <c r="P99" s="445"/>
      <c r="Q99" s="445"/>
      <c r="R99" s="445"/>
    </row>
    <row r="100" spans="1:18" x14ac:dyDescent="0.25">
      <c r="A100" s="445"/>
      <c r="B100" s="445"/>
      <c r="C100" s="445"/>
      <c r="D100" s="445"/>
      <c r="E100" s="445"/>
      <c r="F100" s="445"/>
      <c r="G100" s="445"/>
      <c r="H100" s="445"/>
      <c r="I100" s="445"/>
      <c r="J100" s="445"/>
      <c r="K100" s="445"/>
      <c r="L100" s="445"/>
      <c r="M100" s="445"/>
      <c r="N100" s="445"/>
      <c r="O100" s="445"/>
      <c r="P100" s="445"/>
      <c r="Q100" s="445"/>
      <c r="R100" s="445"/>
    </row>
    <row r="101" spans="1:18" x14ac:dyDescent="0.25">
      <c r="A101" s="445"/>
      <c r="B101" s="445"/>
      <c r="C101" s="445"/>
      <c r="D101" s="445"/>
      <c r="E101" s="445"/>
      <c r="F101" s="445"/>
      <c r="G101" s="445"/>
      <c r="H101" s="445"/>
      <c r="I101" s="445"/>
      <c r="J101" s="445"/>
      <c r="K101" s="445"/>
      <c r="L101" s="445"/>
      <c r="M101" s="445"/>
      <c r="N101" s="445"/>
      <c r="O101" s="445"/>
      <c r="P101" s="445"/>
      <c r="Q101" s="445"/>
      <c r="R101" s="445"/>
    </row>
    <row r="102" spans="1:18" x14ac:dyDescent="0.25">
      <c r="A102" s="445"/>
      <c r="B102" s="445"/>
      <c r="C102" s="445"/>
      <c r="D102" s="445"/>
      <c r="E102" s="445"/>
      <c r="F102" s="445"/>
      <c r="G102" s="445"/>
      <c r="H102" s="445"/>
      <c r="I102" s="445"/>
      <c r="J102" s="445"/>
      <c r="K102" s="445"/>
      <c r="L102" s="445"/>
      <c r="M102" s="445"/>
      <c r="N102" s="445"/>
      <c r="O102" s="445"/>
      <c r="P102" s="445"/>
      <c r="Q102" s="445"/>
      <c r="R102" s="445"/>
    </row>
    <row r="103" spans="1:18" x14ac:dyDescent="0.25">
      <c r="A103" s="445"/>
      <c r="B103" s="445"/>
      <c r="C103" s="445"/>
      <c r="D103" s="445"/>
      <c r="E103" s="445"/>
      <c r="F103" s="445"/>
      <c r="G103" s="445"/>
      <c r="H103" s="445"/>
      <c r="I103" s="445"/>
      <c r="J103" s="445"/>
      <c r="K103" s="445"/>
      <c r="L103" s="445"/>
      <c r="M103" s="445"/>
      <c r="N103" s="445"/>
      <c r="O103" s="445"/>
      <c r="P103" s="445"/>
      <c r="Q103" s="445"/>
      <c r="R103" s="445"/>
    </row>
    <row r="104" spans="1:18" x14ac:dyDescent="0.25">
      <c r="A104" s="445"/>
      <c r="B104" s="445"/>
      <c r="C104" s="445"/>
      <c r="D104" s="445"/>
      <c r="E104" s="445"/>
      <c r="F104" s="445"/>
      <c r="G104" s="445"/>
      <c r="H104" s="445"/>
      <c r="I104" s="445"/>
      <c r="J104" s="445"/>
      <c r="K104" s="445"/>
      <c r="L104" s="445"/>
      <c r="M104" s="445"/>
      <c r="N104" s="445"/>
      <c r="O104" s="445"/>
      <c r="P104" s="445"/>
      <c r="Q104" s="445"/>
      <c r="R104" s="445"/>
    </row>
    <row r="105" spans="1:18" x14ac:dyDescent="0.25">
      <c r="A105" s="445"/>
      <c r="B105" s="445"/>
      <c r="C105" s="445"/>
      <c r="D105" s="445"/>
      <c r="E105" s="445"/>
      <c r="F105" s="445"/>
      <c r="G105" s="445"/>
      <c r="H105" s="445"/>
      <c r="I105" s="445"/>
      <c r="J105" s="445"/>
      <c r="K105" s="445"/>
      <c r="L105" s="445"/>
      <c r="M105" s="445"/>
      <c r="N105" s="445"/>
      <c r="O105" s="445"/>
      <c r="P105" s="445"/>
      <c r="Q105" s="445"/>
      <c r="R105" s="445"/>
    </row>
    <row r="106" spans="1:18" x14ac:dyDescent="0.25">
      <c r="A106" s="445"/>
      <c r="B106" s="445"/>
      <c r="C106" s="445"/>
      <c r="D106" s="445"/>
      <c r="E106" s="445"/>
      <c r="F106" s="445"/>
      <c r="G106" s="445"/>
      <c r="H106" s="445"/>
      <c r="I106" s="445"/>
      <c r="J106" s="445"/>
      <c r="K106" s="445"/>
      <c r="L106" s="445"/>
      <c r="M106" s="445"/>
      <c r="N106" s="445"/>
      <c r="O106" s="445"/>
      <c r="P106" s="445"/>
      <c r="Q106" s="445"/>
      <c r="R106" s="445"/>
    </row>
    <row r="107" spans="1:18" x14ac:dyDescent="0.25">
      <c r="A107" s="445"/>
      <c r="B107" s="445"/>
      <c r="C107" s="445"/>
      <c r="D107" s="445"/>
      <c r="E107" s="445"/>
      <c r="F107" s="445"/>
      <c r="G107" s="445"/>
      <c r="H107" s="445"/>
      <c r="I107" s="445"/>
      <c r="J107" s="445"/>
      <c r="K107" s="445"/>
      <c r="L107" s="445"/>
      <c r="M107" s="445"/>
      <c r="N107" s="445"/>
      <c r="O107" s="445"/>
      <c r="P107" s="445"/>
      <c r="Q107" s="445"/>
      <c r="R107" s="445"/>
    </row>
    <row r="108" spans="1:18" x14ac:dyDescent="0.25">
      <c r="A108" s="445"/>
      <c r="B108" s="445"/>
      <c r="C108" s="445"/>
      <c r="D108" s="445"/>
      <c r="E108" s="445"/>
      <c r="F108" s="445"/>
      <c r="G108" s="445"/>
      <c r="H108" s="445"/>
      <c r="I108" s="445"/>
      <c r="J108" s="445"/>
      <c r="K108" s="445"/>
      <c r="L108" s="445"/>
      <c r="M108" s="445"/>
      <c r="N108" s="445"/>
      <c r="O108" s="445"/>
      <c r="P108" s="445"/>
      <c r="Q108" s="445"/>
      <c r="R108" s="445"/>
    </row>
    <row r="109" spans="1:18" x14ac:dyDescent="0.25">
      <c r="A109" s="445"/>
      <c r="B109" s="445"/>
      <c r="C109" s="445"/>
      <c r="D109" s="445"/>
      <c r="E109" s="445"/>
      <c r="F109" s="445"/>
      <c r="G109" s="445"/>
      <c r="H109" s="445"/>
      <c r="I109" s="445"/>
      <c r="J109" s="445"/>
      <c r="K109" s="445"/>
      <c r="L109" s="445"/>
      <c r="M109" s="445"/>
      <c r="N109" s="445"/>
      <c r="O109" s="445"/>
      <c r="P109" s="445"/>
      <c r="Q109" s="445"/>
      <c r="R109" s="445"/>
    </row>
    <row r="110" spans="1:18" x14ac:dyDescent="0.25">
      <c r="A110" s="445"/>
      <c r="B110" s="445"/>
      <c r="C110" s="445"/>
      <c r="D110" s="445"/>
      <c r="E110" s="445"/>
      <c r="F110" s="445"/>
      <c r="G110" s="445"/>
      <c r="H110" s="445"/>
      <c r="I110" s="445"/>
      <c r="J110" s="445"/>
      <c r="K110" s="445"/>
      <c r="L110" s="445"/>
      <c r="M110" s="445"/>
      <c r="N110" s="445"/>
      <c r="O110" s="445"/>
      <c r="P110" s="445"/>
      <c r="Q110" s="445"/>
      <c r="R110" s="445"/>
    </row>
    <row r="111" spans="1:18" x14ac:dyDescent="0.25">
      <c r="A111" s="445"/>
      <c r="B111" s="445"/>
      <c r="C111" s="445"/>
      <c r="D111" s="445"/>
      <c r="E111" s="445"/>
      <c r="F111" s="445"/>
      <c r="G111" s="445"/>
      <c r="H111" s="445"/>
      <c r="I111" s="445"/>
      <c r="J111" s="445"/>
      <c r="K111" s="445"/>
      <c r="L111" s="445"/>
      <c r="M111" s="445"/>
      <c r="N111" s="445"/>
      <c r="O111" s="445"/>
      <c r="P111" s="445"/>
      <c r="Q111" s="445"/>
      <c r="R111" s="445"/>
    </row>
  </sheetData>
  <mergeCells count="4">
    <mergeCell ref="A1:R1"/>
    <mergeCell ref="A2:R70"/>
    <mergeCell ref="A72:R72"/>
    <mergeCell ref="A73:R111"/>
  </mergeCells>
  <pageMargins left="0.25" right="0.25" top="0.25" bottom="0.25" header="0.05" footer="0.05"/>
  <pageSetup scale="63" orientation="portrait" r:id="rId1"/>
  <headerFooter>
    <oddFooter>&amp;CPage &amp;P</oddFooter>
  </headerFooter>
  <rowBreaks count="1" manualBreakCount="1">
    <brk id="70"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T675"/>
  <sheetViews>
    <sheetView topLeftCell="A34" workbookViewId="0">
      <selection activeCell="A41" sqref="A41:XFD44"/>
    </sheetView>
  </sheetViews>
  <sheetFormatPr defaultRowHeight="15" x14ac:dyDescent="0.25"/>
  <cols>
    <col min="14" max="14" width="11.85546875" customWidth="1"/>
  </cols>
  <sheetData>
    <row r="1" spans="1:46" x14ac:dyDescent="0.25">
      <c r="A1" t="s">
        <v>196</v>
      </c>
      <c r="B1" s="306">
        <v>43397</v>
      </c>
      <c r="H1" t="s">
        <v>238</v>
      </c>
      <c r="I1">
        <v>247687606.9619841</v>
      </c>
      <c r="K1" t="s">
        <v>240</v>
      </c>
      <c r="L1">
        <v>50978000</v>
      </c>
      <c r="N1" t="s">
        <v>244</v>
      </c>
      <c r="O1">
        <v>-16.364282293758194</v>
      </c>
      <c r="AD1" t="s">
        <v>209</v>
      </c>
      <c r="AM1" t="s">
        <v>242</v>
      </c>
      <c r="AQ1" t="s">
        <v>259</v>
      </c>
    </row>
    <row r="2" spans="1:46" x14ac:dyDescent="0.25">
      <c r="A2" t="s">
        <v>217</v>
      </c>
      <c r="B2">
        <v>288517489.71064901</v>
      </c>
      <c r="H2" t="s">
        <v>239</v>
      </c>
      <c r="I2">
        <v>2866223</v>
      </c>
      <c r="AD2" t="s">
        <v>502</v>
      </c>
      <c r="AE2">
        <v>2</v>
      </c>
      <c r="AF2">
        <v>3</v>
      </c>
      <c r="AG2">
        <v>4</v>
      </c>
      <c r="AH2">
        <v>5</v>
      </c>
      <c r="AI2">
        <v>7</v>
      </c>
      <c r="AM2" t="s">
        <v>429</v>
      </c>
      <c r="AN2" t="s">
        <v>493</v>
      </c>
      <c r="AQ2" t="s">
        <v>429</v>
      </c>
      <c r="AR2" t="s">
        <v>430</v>
      </c>
      <c r="AS2" t="s">
        <v>431</v>
      </c>
      <c r="AT2" t="s">
        <v>432</v>
      </c>
    </row>
    <row r="3" spans="1:46" x14ac:dyDescent="0.25">
      <c r="A3" t="s">
        <v>313</v>
      </c>
      <c r="B3" t="s">
        <v>494</v>
      </c>
      <c r="Q3" t="s">
        <v>234</v>
      </c>
      <c r="W3" t="s">
        <v>236</v>
      </c>
      <c r="AD3" t="s">
        <v>438</v>
      </c>
      <c r="AE3">
        <v>0</v>
      </c>
      <c r="AF3">
        <v>60746.966323748464</v>
      </c>
      <c r="AG3">
        <v>56978.652205210798</v>
      </c>
      <c r="AH3">
        <v>24231.536053498119</v>
      </c>
      <c r="AI3">
        <v>0</v>
      </c>
      <c r="AM3" t="s">
        <v>433</v>
      </c>
      <c r="AN3">
        <v>6312226.2209048048</v>
      </c>
      <c r="AQ3" t="s">
        <v>433</v>
      </c>
      <c r="AR3">
        <v>1.1407126897026432</v>
      </c>
      <c r="AS3">
        <v>4552.0743986840698</v>
      </c>
      <c r="AT3">
        <v>5192.6090310494474</v>
      </c>
    </row>
    <row r="4" spans="1:46" x14ac:dyDescent="0.25">
      <c r="A4" t="s">
        <v>197</v>
      </c>
      <c r="Q4" t="s">
        <v>497</v>
      </c>
      <c r="R4" t="s">
        <v>281</v>
      </c>
      <c r="W4" t="s">
        <v>492</v>
      </c>
      <c r="X4" t="s">
        <v>281</v>
      </c>
      <c r="AD4" t="s">
        <v>480</v>
      </c>
      <c r="AE4">
        <v>0</v>
      </c>
      <c r="AF4">
        <v>-60892.002087940622</v>
      </c>
      <c r="AG4">
        <v>-57278.576065885994</v>
      </c>
      <c r="AH4">
        <v>-24448.31348877975</v>
      </c>
      <c r="AI4">
        <v>0</v>
      </c>
      <c r="AM4" t="s">
        <v>434</v>
      </c>
      <c r="AN4">
        <v>6767601.8366919803</v>
      </c>
      <c r="AQ4" t="s">
        <v>434</v>
      </c>
      <c r="AR4">
        <v>4.549318440962173</v>
      </c>
      <c r="AS4">
        <v>4331.9704205235703</v>
      </c>
      <c r="AT4">
        <v>19707.512919790537</v>
      </c>
    </row>
    <row r="5" spans="1:46" x14ac:dyDescent="0.25">
      <c r="A5" t="s">
        <v>317</v>
      </c>
      <c r="B5" t="s">
        <v>395</v>
      </c>
      <c r="C5" t="s">
        <v>392</v>
      </c>
      <c r="D5" t="s">
        <v>283</v>
      </c>
      <c r="E5" t="s">
        <v>396</v>
      </c>
      <c r="Q5" t="s">
        <v>81</v>
      </c>
      <c r="R5">
        <v>1797674.1837563054</v>
      </c>
      <c r="W5" t="s">
        <v>333</v>
      </c>
      <c r="X5">
        <v>4655.6125924284652</v>
      </c>
      <c r="AD5" t="s">
        <v>455</v>
      </c>
      <c r="AE5">
        <v>5867.2825163438802</v>
      </c>
      <c r="AF5">
        <v>0</v>
      </c>
      <c r="AG5">
        <v>0</v>
      </c>
      <c r="AH5">
        <v>0</v>
      </c>
      <c r="AI5">
        <v>0</v>
      </c>
      <c r="AM5" t="s">
        <v>435</v>
      </c>
      <c r="AN5">
        <v>13848693.750737859</v>
      </c>
      <c r="AQ5" t="s">
        <v>435</v>
      </c>
      <c r="AR5">
        <v>0.97108034002002108</v>
      </c>
      <c r="AS5">
        <v>10916.6937745099</v>
      </c>
      <c r="AT5">
        <v>10600.986702445522</v>
      </c>
    </row>
    <row r="6" spans="1:46" x14ac:dyDescent="0.25">
      <c r="A6" t="s">
        <v>489</v>
      </c>
      <c r="B6">
        <v>-35147</v>
      </c>
      <c r="C6">
        <v>-1.2480448277163545</v>
      </c>
      <c r="D6">
        <v>579961</v>
      </c>
      <c r="E6">
        <v>31.195031238819805</v>
      </c>
      <c r="Q6" t="s">
        <v>82</v>
      </c>
      <c r="R6">
        <v>30289.172997511127</v>
      </c>
      <c r="W6" t="s">
        <v>331</v>
      </c>
      <c r="X6">
        <v>396999.84649383905</v>
      </c>
      <c r="AD6" t="s">
        <v>487</v>
      </c>
      <c r="AE6">
        <v>0</v>
      </c>
      <c r="AF6">
        <v>0</v>
      </c>
      <c r="AG6">
        <v>0</v>
      </c>
      <c r="AH6">
        <v>7320.8724247477512</v>
      </c>
      <c r="AI6">
        <v>0</v>
      </c>
      <c r="AM6" t="s">
        <v>436</v>
      </c>
      <c r="AN6">
        <v>1433684.8049548827</v>
      </c>
      <c r="AQ6" t="s">
        <v>436</v>
      </c>
      <c r="AR6">
        <v>2.0108442071382004</v>
      </c>
      <c r="AS6">
        <v>3222.6915832835311</v>
      </c>
      <c r="AT6">
        <v>6480.3307016387243</v>
      </c>
    </row>
    <row r="7" spans="1:46" x14ac:dyDescent="0.25">
      <c r="A7" t="s">
        <v>81</v>
      </c>
      <c r="B7">
        <v>1919638.7719976231</v>
      </c>
      <c r="C7">
        <v>68.164999586747399</v>
      </c>
      <c r="D7">
        <v>468041.10822308902</v>
      </c>
      <c r="E7">
        <v>35.374113433044307</v>
      </c>
      <c r="Q7" t="s">
        <v>33</v>
      </c>
      <c r="R7">
        <v>3297227.2039633179</v>
      </c>
      <c r="W7" t="s">
        <v>345</v>
      </c>
      <c r="X7">
        <v>162511.48468833463</v>
      </c>
      <c r="AD7" t="s">
        <v>433</v>
      </c>
      <c r="AE7">
        <v>0</v>
      </c>
      <c r="AF7">
        <v>0</v>
      </c>
      <c r="AG7">
        <v>0</v>
      </c>
      <c r="AH7">
        <v>4552.0743986840698</v>
      </c>
      <c r="AI7">
        <v>0</v>
      </c>
      <c r="AM7" t="s">
        <v>437</v>
      </c>
      <c r="AN7">
        <v>4493335.3841408845</v>
      </c>
      <c r="AQ7" t="s">
        <v>437</v>
      </c>
      <c r="AR7">
        <v>2.007786124538546</v>
      </c>
      <c r="AS7">
        <v>3530.0920379613299</v>
      </c>
      <c r="AT7">
        <v>7087.669812162756</v>
      </c>
    </row>
    <row r="8" spans="1:46" x14ac:dyDescent="0.25">
      <c r="A8" t="s">
        <v>82</v>
      </c>
      <c r="B8">
        <v>1872476.5340484518</v>
      </c>
      <c r="C8">
        <v>66.490302254514376</v>
      </c>
      <c r="D8">
        <v>1684993.0563008222</v>
      </c>
      <c r="E8">
        <v>70.016415785660868</v>
      </c>
      <c r="Q8" t="s">
        <v>80</v>
      </c>
      <c r="R8">
        <v>4033765.2171951872</v>
      </c>
      <c r="W8" t="s">
        <v>352</v>
      </c>
      <c r="X8">
        <v>167654.56776057259</v>
      </c>
      <c r="AD8" t="s">
        <v>434</v>
      </c>
      <c r="AE8">
        <v>0</v>
      </c>
      <c r="AF8">
        <v>0</v>
      </c>
      <c r="AG8">
        <v>0</v>
      </c>
      <c r="AH8">
        <v>4331.9704205235703</v>
      </c>
      <c r="AI8">
        <v>0</v>
      </c>
      <c r="AM8" t="s">
        <v>438</v>
      </c>
      <c r="AN8">
        <v>249564711.70183405</v>
      </c>
      <c r="AQ8" t="s">
        <v>438</v>
      </c>
      <c r="AR8">
        <v>1.8814312335867232</v>
      </c>
      <c r="AS8">
        <v>141957.15458245738</v>
      </c>
      <c r="AT8">
        <v>267082.62446253392</v>
      </c>
    </row>
    <row r="9" spans="1:46" x14ac:dyDescent="0.25">
      <c r="A9" t="s">
        <v>33</v>
      </c>
      <c r="B9">
        <v>530593.95065258839</v>
      </c>
      <c r="C9">
        <v>18.841011629144731</v>
      </c>
      <c r="D9">
        <v>-5234901.6193563165</v>
      </c>
      <c r="E9">
        <v>-202.54051671142469</v>
      </c>
      <c r="W9" t="s">
        <v>347</v>
      </c>
      <c r="X9">
        <v>303201.18607110367</v>
      </c>
      <c r="AD9" t="s">
        <v>435</v>
      </c>
      <c r="AE9">
        <v>0</v>
      </c>
      <c r="AF9">
        <v>0</v>
      </c>
      <c r="AG9">
        <v>0</v>
      </c>
      <c r="AH9">
        <v>10916.6937745099</v>
      </c>
      <c r="AI9">
        <v>0</v>
      </c>
      <c r="AM9" t="s">
        <v>439</v>
      </c>
      <c r="AN9">
        <v>12417717.428485073</v>
      </c>
      <c r="AQ9" t="s">
        <v>439</v>
      </c>
      <c r="AR9">
        <v>2.8776239652346446E-2</v>
      </c>
      <c r="AS9">
        <v>9362.7430978037901</v>
      </c>
      <c r="AT9">
        <v>269.42453918575444</v>
      </c>
    </row>
    <row r="10" spans="1:46" x14ac:dyDescent="0.25">
      <c r="A10" t="s">
        <v>87</v>
      </c>
      <c r="B10">
        <v>315550.45483083994</v>
      </c>
      <c r="C10">
        <v>11.204970923127801</v>
      </c>
      <c r="D10">
        <v>3220329.1862078011</v>
      </c>
      <c r="E10">
        <v>128.56041547565812</v>
      </c>
      <c r="W10" t="s">
        <v>343</v>
      </c>
      <c r="X10">
        <v>-69401.29514010936</v>
      </c>
      <c r="AD10" t="s">
        <v>436</v>
      </c>
      <c r="AE10">
        <v>0</v>
      </c>
      <c r="AF10">
        <v>0</v>
      </c>
      <c r="AG10">
        <v>0</v>
      </c>
      <c r="AH10">
        <v>-7599.9536238952696</v>
      </c>
      <c r="AI10">
        <v>10822.645207178801</v>
      </c>
      <c r="AM10" t="s">
        <v>440</v>
      </c>
      <c r="AN10">
        <v>-319281587.85229456</v>
      </c>
      <c r="AQ10" t="s">
        <v>440</v>
      </c>
      <c r="AR10">
        <v>1.5353391065797544</v>
      </c>
      <c r="AS10">
        <v>-251302.83864994749</v>
      </c>
      <c r="AT10">
        <v>-385835.07577376656</v>
      </c>
    </row>
    <row r="11" spans="1:46" x14ac:dyDescent="0.25">
      <c r="A11" t="s">
        <v>388</v>
      </c>
      <c r="B11">
        <v>0</v>
      </c>
      <c r="C11">
        <v>0</v>
      </c>
      <c r="D11">
        <v>0</v>
      </c>
      <c r="E11">
        <v>0</v>
      </c>
      <c r="W11" t="s">
        <v>339</v>
      </c>
      <c r="X11">
        <v>24064.202168012933</v>
      </c>
      <c r="AD11" t="s">
        <v>437</v>
      </c>
      <c r="AE11">
        <v>0</v>
      </c>
      <c r="AF11">
        <v>0</v>
      </c>
      <c r="AG11">
        <v>0</v>
      </c>
      <c r="AH11">
        <v>3530.0920379613299</v>
      </c>
      <c r="AI11">
        <v>0</v>
      </c>
      <c r="AM11" t="s">
        <v>441</v>
      </c>
      <c r="AN11">
        <v>7528367.5770750949</v>
      </c>
      <c r="AQ11" t="s">
        <v>441</v>
      </c>
      <c r="AR11">
        <v>0.8749090997322666</v>
      </c>
      <c r="AS11">
        <v>4912.1572024926099</v>
      </c>
      <c r="AT11">
        <v>4297.691035776179</v>
      </c>
    </row>
    <row r="12" spans="1:46" x14ac:dyDescent="0.25">
      <c r="A12" t="s">
        <v>80</v>
      </c>
      <c r="B12">
        <v>2297889.9991195281</v>
      </c>
      <c r="C12">
        <v>81.596430081152533</v>
      </c>
      <c r="D12">
        <v>-2212523.6344663054</v>
      </c>
      <c r="E12">
        <v>-62.011000481170257</v>
      </c>
      <c r="W12" t="s">
        <v>336</v>
      </c>
      <c r="X12">
        <v>145595.39165845508</v>
      </c>
      <c r="AD12" t="s">
        <v>439</v>
      </c>
      <c r="AE12">
        <v>0</v>
      </c>
      <c r="AF12">
        <v>0</v>
      </c>
      <c r="AG12">
        <v>0</v>
      </c>
      <c r="AH12">
        <v>9362.7430978037901</v>
      </c>
      <c r="AI12">
        <v>0</v>
      </c>
      <c r="AM12" t="s">
        <v>442</v>
      </c>
      <c r="AN12">
        <v>3159514.2267079959</v>
      </c>
      <c r="AQ12" t="s">
        <v>442</v>
      </c>
      <c r="AR12">
        <v>1.1807211555130332</v>
      </c>
      <c r="AS12">
        <v>2491.2286427495701</v>
      </c>
      <c r="AT12">
        <v>2941.4463617144379</v>
      </c>
    </row>
    <row r="13" spans="1:46" x14ac:dyDescent="0.25">
      <c r="W13" t="s">
        <v>359</v>
      </c>
      <c r="X13">
        <v>-19605.229277788527</v>
      </c>
      <c r="AD13" t="s">
        <v>440</v>
      </c>
      <c r="AE13">
        <v>0</v>
      </c>
      <c r="AF13">
        <v>0</v>
      </c>
      <c r="AG13">
        <v>0</v>
      </c>
      <c r="AH13">
        <v>-251302.83864994749</v>
      </c>
      <c r="AI13">
        <v>0</v>
      </c>
      <c r="AM13" t="s">
        <v>443</v>
      </c>
      <c r="AN13">
        <v>4474742.7447481686</v>
      </c>
      <c r="AQ13" t="s">
        <v>443</v>
      </c>
      <c r="AR13">
        <v>1.5600853709241247</v>
      </c>
      <c r="AS13">
        <v>5218.6628976022594</v>
      </c>
      <c r="AT13">
        <v>8141.5596423337884</v>
      </c>
    </row>
    <row r="14" spans="1:46" x14ac:dyDescent="0.25">
      <c r="W14" t="s">
        <v>357</v>
      </c>
      <c r="X14">
        <v>935032.15920681297</v>
      </c>
      <c r="AD14" t="s">
        <v>441</v>
      </c>
      <c r="AE14">
        <v>0</v>
      </c>
      <c r="AF14">
        <v>0</v>
      </c>
      <c r="AG14">
        <v>4912.1572024926099</v>
      </c>
      <c r="AH14">
        <v>0</v>
      </c>
      <c r="AI14">
        <v>0</v>
      </c>
      <c r="AM14" t="s">
        <v>444</v>
      </c>
      <c r="AN14">
        <v>2652603.5783244148</v>
      </c>
      <c r="AQ14" t="s">
        <v>444</v>
      </c>
      <c r="AR14">
        <v>14.664730635834536</v>
      </c>
      <c r="AS14">
        <v>1892.24865004907</v>
      </c>
      <c r="AT14">
        <v>27749.316748991139</v>
      </c>
    </row>
    <row r="15" spans="1:46" x14ac:dyDescent="0.25">
      <c r="W15" t="s">
        <v>360</v>
      </c>
      <c r="X15">
        <v>0</v>
      </c>
      <c r="AD15" t="s">
        <v>442</v>
      </c>
      <c r="AE15">
        <v>0</v>
      </c>
      <c r="AF15">
        <v>0</v>
      </c>
      <c r="AG15">
        <v>0</v>
      </c>
      <c r="AH15">
        <v>2491.2286427495701</v>
      </c>
      <c r="AI15">
        <v>0</v>
      </c>
      <c r="AM15" t="s">
        <v>445</v>
      </c>
      <c r="AN15">
        <v>7598202.0679284781</v>
      </c>
      <c r="AQ15" t="s">
        <v>445</v>
      </c>
      <c r="AR15">
        <v>2.1299514873949814</v>
      </c>
      <c r="AS15">
        <v>6837.3480350702393</v>
      </c>
      <c r="AT15">
        <v>14563.21961713501</v>
      </c>
    </row>
    <row r="16" spans="1:46" x14ac:dyDescent="0.25">
      <c r="Q16" t="s">
        <v>235</v>
      </c>
      <c r="W16" t="s">
        <v>362</v>
      </c>
      <c r="X16">
        <v>-139698.72407423917</v>
      </c>
      <c r="AD16" t="s">
        <v>443</v>
      </c>
      <c r="AE16">
        <v>0</v>
      </c>
      <c r="AF16">
        <v>0</v>
      </c>
      <c r="AG16">
        <v>0</v>
      </c>
      <c r="AH16">
        <v>-3444.62198612866</v>
      </c>
      <c r="AI16">
        <v>8663.2848837309193</v>
      </c>
      <c r="AM16" t="s">
        <v>446</v>
      </c>
      <c r="AN16">
        <v>5860060.6232093731</v>
      </c>
      <c r="AQ16" t="s">
        <v>446</v>
      </c>
      <c r="AR16">
        <v>2.2655930427855253</v>
      </c>
      <c r="AS16">
        <v>4617.2115253694401</v>
      </c>
      <c r="AT16">
        <v>10460.722308946146</v>
      </c>
    </row>
    <row r="17" spans="1:46" x14ac:dyDescent="0.25">
      <c r="A17" t="s">
        <v>198</v>
      </c>
      <c r="K17" t="s">
        <v>243</v>
      </c>
      <c r="Q17" t="s">
        <v>397</v>
      </c>
      <c r="R17" t="s">
        <v>281</v>
      </c>
      <c r="W17" t="s">
        <v>263</v>
      </c>
      <c r="X17">
        <v>13681.183522294808</v>
      </c>
      <c r="AD17" t="s">
        <v>444</v>
      </c>
      <c r="AE17">
        <v>0</v>
      </c>
      <c r="AF17">
        <v>0</v>
      </c>
      <c r="AG17">
        <v>0</v>
      </c>
      <c r="AH17">
        <v>1892.24865004907</v>
      </c>
      <c r="AI17">
        <v>0</v>
      </c>
      <c r="AM17" t="s">
        <v>447</v>
      </c>
      <c r="AN17">
        <v>8067400.0427789241</v>
      </c>
      <c r="AQ17" t="s">
        <v>447</v>
      </c>
      <c r="AR17">
        <v>9.6128211680561666</v>
      </c>
      <c r="AS17">
        <v>0.37840884730940161</v>
      </c>
      <c r="AT17">
        <v>3.6375765775955498</v>
      </c>
    </row>
    <row r="18" spans="1:46" x14ac:dyDescent="0.25">
      <c r="A18" t="s">
        <v>394</v>
      </c>
      <c r="B18" t="s">
        <v>395</v>
      </c>
      <c r="C18" t="s">
        <v>392</v>
      </c>
      <c r="D18" t="s">
        <v>283</v>
      </c>
      <c r="E18" t="s">
        <v>396</v>
      </c>
      <c r="K18" t="s">
        <v>531</v>
      </c>
      <c r="L18" t="s">
        <v>319</v>
      </c>
      <c r="Q18" t="s">
        <v>84</v>
      </c>
      <c r="R18">
        <v>396999.84649383888</v>
      </c>
      <c r="W18" t="s">
        <v>375</v>
      </c>
      <c r="X18">
        <v>3310.6202434461034</v>
      </c>
      <c r="AD18" t="s">
        <v>445</v>
      </c>
      <c r="AE18">
        <v>0</v>
      </c>
      <c r="AF18">
        <v>0</v>
      </c>
      <c r="AG18">
        <v>0</v>
      </c>
      <c r="AH18">
        <v>2394.9346050311101</v>
      </c>
      <c r="AI18">
        <v>4442.4134300391297</v>
      </c>
      <c r="AM18" t="s">
        <v>448</v>
      </c>
      <c r="AN18">
        <v>10415836.493183348</v>
      </c>
      <c r="AQ18" t="s">
        <v>448</v>
      </c>
      <c r="AR18">
        <v>1.7971321895210433</v>
      </c>
      <c r="AS18">
        <v>10201.304791648001</v>
      </c>
      <c r="AT18">
        <v>18333.093216185884</v>
      </c>
    </row>
    <row r="19" spans="1:46" x14ac:dyDescent="0.25">
      <c r="A19" t="s">
        <v>84</v>
      </c>
      <c r="B19">
        <v>-747419.4238564535</v>
      </c>
      <c r="C19">
        <v>-26.540329077269305</v>
      </c>
      <c r="D19">
        <v>578851.32964195521</v>
      </c>
      <c r="E19">
        <v>32.510794089462003</v>
      </c>
      <c r="K19" t="s">
        <v>14</v>
      </c>
      <c r="L19">
        <v>587957066.77517569</v>
      </c>
      <c r="Q19" t="s">
        <v>85</v>
      </c>
      <c r="R19">
        <v>469023.29100288445</v>
      </c>
      <c r="W19" t="s">
        <v>367</v>
      </c>
      <c r="X19">
        <v>-691000.96289039182</v>
      </c>
      <c r="AD19" t="s">
        <v>446</v>
      </c>
      <c r="AE19">
        <v>0</v>
      </c>
      <c r="AF19">
        <v>0</v>
      </c>
      <c r="AG19">
        <v>0</v>
      </c>
      <c r="AH19">
        <v>4617.2115253694401</v>
      </c>
      <c r="AI19">
        <v>0</v>
      </c>
      <c r="AM19" t="s">
        <v>449</v>
      </c>
      <c r="AN19">
        <v>5640721.2355192984</v>
      </c>
      <c r="AQ19" t="s">
        <v>449</v>
      </c>
      <c r="AR19">
        <v>3.0661615904727499</v>
      </c>
      <c r="AS19">
        <v>4428.7312887935996</v>
      </c>
      <c r="AT19">
        <v>13579.205772223815</v>
      </c>
    </row>
    <row r="20" spans="1:46" x14ac:dyDescent="0.25">
      <c r="A20" t="s">
        <v>85</v>
      </c>
      <c r="B20">
        <v>553362.8910010613</v>
      </c>
      <c r="C20">
        <v>19.649520413237074</v>
      </c>
      <c r="D20">
        <v>-3017739.3468393264</v>
      </c>
      <c r="E20">
        <v>-115.20436448021809</v>
      </c>
      <c r="K20" t="s">
        <v>17</v>
      </c>
      <c r="L20">
        <v>-304502028.50411361</v>
      </c>
      <c r="Q20" t="s">
        <v>79</v>
      </c>
      <c r="R20">
        <v>2221439.9964403645</v>
      </c>
      <c r="W20" t="s">
        <v>337</v>
      </c>
      <c r="X20">
        <v>1256648.3038410807</v>
      </c>
      <c r="AD20" t="s">
        <v>448</v>
      </c>
      <c r="AE20">
        <v>0</v>
      </c>
      <c r="AF20">
        <v>0</v>
      </c>
      <c r="AG20">
        <v>0</v>
      </c>
      <c r="AH20">
        <v>0</v>
      </c>
      <c r="AI20">
        <v>10201.304791648001</v>
      </c>
      <c r="AM20" t="s">
        <v>450</v>
      </c>
      <c r="AN20">
        <v>11404055.899652876</v>
      </c>
      <c r="AQ20" t="s">
        <v>450</v>
      </c>
      <c r="AR20">
        <v>1.2829621666197832</v>
      </c>
      <c r="AS20">
        <v>10715.675966822142</v>
      </c>
      <c r="AT20">
        <v>13747.806855189676</v>
      </c>
    </row>
    <row r="21" spans="1:46" x14ac:dyDescent="0.25">
      <c r="A21" t="s">
        <v>79</v>
      </c>
      <c r="B21">
        <v>4793104.953519457</v>
      </c>
      <c r="C21">
        <v>170.19972816859465</v>
      </c>
      <c r="D21">
        <v>3026497.5063590584</v>
      </c>
      <c r="E21">
        <v>146.77449980552871</v>
      </c>
      <c r="Q21" t="s">
        <v>86</v>
      </c>
      <c r="R21">
        <v>13681.183522294803</v>
      </c>
      <c r="W21" t="s">
        <v>369</v>
      </c>
      <c r="X21">
        <v>4097175.9803825323</v>
      </c>
      <c r="AD21" t="s">
        <v>449</v>
      </c>
      <c r="AE21">
        <v>0</v>
      </c>
      <c r="AF21">
        <v>0</v>
      </c>
      <c r="AG21">
        <v>0</v>
      </c>
      <c r="AH21">
        <v>4428.7312887935996</v>
      </c>
      <c r="AI21">
        <v>0</v>
      </c>
      <c r="AM21" t="s">
        <v>451</v>
      </c>
      <c r="AN21">
        <v>-65167.556173851714</v>
      </c>
      <c r="AQ21" t="s">
        <v>451</v>
      </c>
      <c r="AR21">
        <v>1.6704781555395101</v>
      </c>
      <c r="AS21">
        <v>1051.8214699520095</v>
      </c>
      <c r="AT21">
        <v>1757.0447890822891</v>
      </c>
    </row>
    <row r="22" spans="1:46" x14ac:dyDescent="0.25">
      <c r="A22" t="s">
        <v>86</v>
      </c>
      <c r="B22">
        <v>315550.45483083994</v>
      </c>
      <c r="C22">
        <v>11.204970923127801</v>
      </c>
      <c r="D22">
        <v>3220329.1862078011</v>
      </c>
      <c r="E22">
        <v>128.56041547565812</v>
      </c>
      <c r="Q22" t="s">
        <v>83</v>
      </c>
      <c r="R22">
        <v>3042242.6436809916</v>
      </c>
      <c r="W22" t="s">
        <v>371</v>
      </c>
      <c r="X22">
        <v>181760.51942636419</v>
      </c>
      <c r="AD22" t="s">
        <v>450</v>
      </c>
      <c r="AE22">
        <v>0</v>
      </c>
      <c r="AF22">
        <v>0</v>
      </c>
      <c r="AG22">
        <v>0</v>
      </c>
      <c r="AH22">
        <v>6283.8399879941107</v>
      </c>
      <c r="AI22">
        <v>4431.8359788280304</v>
      </c>
      <c r="AM22" t="s">
        <v>452</v>
      </c>
      <c r="AN22">
        <v>6138344.9996908084</v>
      </c>
      <c r="AQ22" t="s">
        <v>452</v>
      </c>
      <c r="AR22">
        <v>3.6568795802900986</v>
      </c>
      <c r="AS22">
        <v>6091.5112754660186</v>
      </c>
      <c r="AT22">
        <v>22275.923196358577</v>
      </c>
    </row>
    <row r="23" spans="1:46" x14ac:dyDescent="0.25">
      <c r="A23" t="s">
        <v>388</v>
      </c>
      <c r="B23">
        <v>0</v>
      </c>
      <c r="C23">
        <v>0</v>
      </c>
      <c r="D23">
        <v>0</v>
      </c>
      <c r="E23">
        <v>0</v>
      </c>
      <c r="Q23" t="s">
        <v>88</v>
      </c>
      <c r="R23">
        <v>3015568.8167719506</v>
      </c>
      <c r="W23" t="s">
        <v>384</v>
      </c>
      <c r="X23">
        <v>-629197.88553238008</v>
      </c>
      <c r="AD23" t="s">
        <v>451</v>
      </c>
      <c r="AE23">
        <v>0</v>
      </c>
      <c r="AF23">
        <v>0</v>
      </c>
      <c r="AG23">
        <v>0</v>
      </c>
      <c r="AH23">
        <v>-3351.9429953649505</v>
      </c>
      <c r="AI23">
        <v>4403.76446531696</v>
      </c>
      <c r="AM23" t="s">
        <v>453</v>
      </c>
      <c r="AN23">
        <v>12043634.32353243</v>
      </c>
      <c r="AQ23" t="s">
        <v>453</v>
      </c>
      <c r="AR23">
        <v>4.8190576017631539</v>
      </c>
      <c r="AS23">
        <v>8369.3364474739192</v>
      </c>
      <c r="AT23">
        <v>40332.314428912621</v>
      </c>
    </row>
    <row r="24" spans="1:46" x14ac:dyDescent="0.25">
      <c r="A24" t="s">
        <v>83</v>
      </c>
      <c r="B24">
        <v>747303.54880589363</v>
      </c>
      <c r="C24">
        <v>26.536214437114733</v>
      </c>
      <c r="D24">
        <v>-2908869.7184887491</v>
      </c>
      <c r="E24">
        <v>-100.4852084725849</v>
      </c>
      <c r="W24" t="s">
        <v>355</v>
      </c>
      <c r="X24">
        <v>3015568.8167719496</v>
      </c>
      <c r="AD24" t="s">
        <v>452</v>
      </c>
      <c r="AE24">
        <v>0</v>
      </c>
      <c r="AF24">
        <v>0</v>
      </c>
      <c r="AG24">
        <v>0</v>
      </c>
      <c r="AH24">
        <v>-473.65783658785102</v>
      </c>
      <c r="AI24">
        <v>6565.1691120538699</v>
      </c>
      <c r="AM24" t="s">
        <v>454</v>
      </c>
      <c r="AN24">
        <v>6213695.5963399326</v>
      </c>
      <c r="AQ24" t="s">
        <v>454</v>
      </c>
      <c r="AR24">
        <v>2.0839049884764607</v>
      </c>
      <c r="AS24">
        <v>4476.9095168348404</v>
      </c>
      <c r="AT24">
        <v>9329.454075089865</v>
      </c>
    </row>
    <row r="25" spans="1:46" x14ac:dyDescent="0.25">
      <c r="A25" t="s">
        <v>88</v>
      </c>
      <c r="B25">
        <v>1239100.2863482372</v>
      </c>
      <c r="C25">
        <v>43.999564782165521</v>
      </c>
      <c r="D25">
        <v>-2393169.8599716458</v>
      </c>
      <c r="E25">
        <v>-93.991850088739341</v>
      </c>
      <c r="AD25" t="s">
        <v>453</v>
      </c>
      <c r="AE25">
        <v>0</v>
      </c>
      <c r="AF25">
        <v>0</v>
      </c>
      <c r="AG25">
        <v>0</v>
      </c>
      <c r="AH25">
        <v>8369.3364474739192</v>
      </c>
      <c r="AI25">
        <v>0</v>
      </c>
      <c r="AM25" t="s">
        <v>455</v>
      </c>
      <c r="AN25">
        <v>17332026.642585471</v>
      </c>
      <c r="AQ25" t="s">
        <v>455</v>
      </c>
      <c r="AR25">
        <v>1.8206500086731749</v>
      </c>
      <c r="AS25">
        <v>5867.2825163438802</v>
      </c>
      <c r="AT25">
        <v>10682.267964269453</v>
      </c>
    </row>
    <row r="26" spans="1:46" x14ac:dyDescent="0.25">
      <c r="AD26" t="s">
        <v>454</v>
      </c>
      <c r="AE26">
        <v>0</v>
      </c>
      <c r="AF26">
        <v>0</v>
      </c>
      <c r="AG26">
        <v>0</v>
      </c>
      <c r="AH26">
        <v>4476.9095168348404</v>
      </c>
      <c r="AI26">
        <v>0</v>
      </c>
      <c r="AM26" t="s">
        <v>456</v>
      </c>
      <c r="AN26">
        <v>-35950.630596361123</v>
      </c>
      <c r="AQ26" t="s">
        <v>456</v>
      </c>
      <c r="AR26">
        <v>1.9449989909585013</v>
      </c>
      <c r="AS26">
        <v>401.15166095026984</v>
      </c>
      <c r="AT26">
        <v>780.23957576960163</v>
      </c>
    </row>
    <row r="27" spans="1:46" x14ac:dyDescent="0.25">
      <c r="AD27" t="s">
        <v>456</v>
      </c>
      <c r="AE27">
        <v>0</v>
      </c>
      <c r="AF27">
        <v>0</v>
      </c>
      <c r="AG27">
        <v>0</v>
      </c>
      <c r="AH27">
        <v>-1808.9510575734701</v>
      </c>
      <c r="AI27">
        <v>2210.1027185237399</v>
      </c>
      <c r="AM27" t="s">
        <v>457</v>
      </c>
      <c r="AN27">
        <v>1083301.2144335324</v>
      </c>
      <c r="AQ27" t="s">
        <v>457</v>
      </c>
      <c r="AR27">
        <v>1.3817681917343552</v>
      </c>
      <c r="AS27">
        <v>852.98661508554005</v>
      </c>
      <c r="AT27">
        <v>1178.629772700355</v>
      </c>
    </row>
    <row r="28" spans="1:46" x14ac:dyDescent="0.25">
      <c r="AD28" t="s">
        <v>457</v>
      </c>
      <c r="AE28">
        <v>0</v>
      </c>
      <c r="AF28">
        <v>0</v>
      </c>
      <c r="AG28">
        <v>0</v>
      </c>
      <c r="AH28">
        <v>852.98661508554005</v>
      </c>
      <c r="AI28">
        <v>0</v>
      </c>
      <c r="AM28" t="s">
        <v>458</v>
      </c>
      <c r="AN28">
        <v>6966747.0429570423</v>
      </c>
      <c r="AQ28" t="s">
        <v>458</v>
      </c>
      <c r="AR28">
        <v>1.0329250933245568</v>
      </c>
      <c r="AS28">
        <v>6834.7805897088201</v>
      </c>
      <c r="AT28">
        <v>7059.8163784778526</v>
      </c>
    </row>
    <row r="29" spans="1:46" x14ac:dyDescent="0.25">
      <c r="A29" t="s">
        <v>199</v>
      </c>
      <c r="D29" t="s">
        <v>200</v>
      </c>
      <c r="G29" t="s">
        <v>201</v>
      </c>
      <c r="J29" t="s">
        <v>202</v>
      </c>
      <c r="Q29" t="s">
        <v>237</v>
      </c>
      <c r="AD29" t="s">
        <v>458</v>
      </c>
      <c r="AE29">
        <v>0</v>
      </c>
      <c r="AF29">
        <v>0</v>
      </c>
      <c r="AG29">
        <v>0</v>
      </c>
      <c r="AH29">
        <v>0</v>
      </c>
      <c r="AI29">
        <v>6834.7805897088201</v>
      </c>
      <c r="AM29" t="s">
        <v>459</v>
      </c>
      <c r="AN29">
        <v>6052571.5376580544</v>
      </c>
      <c r="AQ29" t="s">
        <v>459</v>
      </c>
      <c r="AR29">
        <v>1.7206657910519856</v>
      </c>
      <c r="AS29">
        <v>6503.2462689252898</v>
      </c>
      <c r="AT29">
        <v>11189.913385726208</v>
      </c>
    </row>
    <row r="30" spans="1:46" x14ac:dyDescent="0.25">
      <c r="A30" t="s">
        <v>279</v>
      </c>
      <c r="B30" t="s">
        <v>392</v>
      </c>
      <c r="D30" t="s">
        <v>279</v>
      </c>
      <c r="E30" t="s">
        <v>392</v>
      </c>
      <c r="G30" t="s">
        <v>490</v>
      </c>
      <c r="H30" t="s">
        <v>491</v>
      </c>
      <c r="J30" t="s">
        <v>490</v>
      </c>
      <c r="K30" t="s">
        <v>491</v>
      </c>
      <c r="R30" t="s">
        <v>166</v>
      </c>
      <c r="S30" t="s">
        <v>416</v>
      </c>
      <c r="T30" t="s">
        <v>417</v>
      </c>
      <c r="AD30" t="s">
        <v>459</v>
      </c>
      <c r="AE30">
        <v>0</v>
      </c>
      <c r="AF30">
        <v>0</v>
      </c>
      <c r="AG30">
        <v>0</v>
      </c>
      <c r="AH30">
        <v>-2427.3983977262401</v>
      </c>
      <c r="AI30">
        <v>8930.6446666515294</v>
      </c>
      <c r="AM30" t="s">
        <v>460</v>
      </c>
      <c r="AN30">
        <v>2821678.5878886282</v>
      </c>
      <c r="AQ30" t="s">
        <v>460</v>
      </c>
      <c r="AR30">
        <v>1.2780985733315691</v>
      </c>
      <c r="AS30">
        <v>3972.3894724246393</v>
      </c>
      <c r="AT30">
        <v>5077.1053174232757</v>
      </c>
    </row>
    <row r="31" spans="1:46" x14ac:dyDescent="0.25">
      <c r="A31" t="s">
        <v>393</v>
      </c>
      <c r="B31">
        <v>97.123255429288847</v>
      </c>
      <c r="D31" t="s">
        <v>271</v>
      </c>
      <c r="E31">
        <v>-52.028558967145983</v>
      </c>
      <c r="G31" t="s">
        <v>278</v>
      </c>
      <c r="H31">
        <v>120.58199694821469</v>
      </c>
      <c r="J31" t="s">
        <v>270</v>
      </c>
      <c r="K31">
        <v>-71.593736990286374</v>
      </c>
      <c r="Q31">
        <v>0</v>
      </c>
      <c r="R31" t="s">
        <v>418</v>
      </c>
      <c r="S31">
        <v>-78681.79999999993</v>
      </c>
      <c r="T31">
        <v>60</v>
      </c>
      <c r="AD31" t="s">
        <v>460</v>
      </c>
      <c r="AE31">
        <v>0</v>
      </c>
      <c r="AF31">
        <v>0</v>
      </c>
      <c r="AG31">
        <v>0</v>
      </c>
      <c r="AH31">
        <v>-4949.9228980272701</v>
      </c>
      <c r="AI31">
        <v>8922.3123704519094</v>
      </c>
      <c r="AM31" t="s">
        <v>461</v>
      </c>
      <c r="AN31">
        <v>-243226.9908807762</v>
      </c>
      <c r="AQ31" t="s">
        <v>461</v>
      </c>
      <c r="AR31">
        <v>2.8340782878424902</v>
      </c>
      <c r="AS31">
        <v>1632.2322160560707</v>
      </c>
      <c r="AT31">
        <v>4625.8738842415423</v>
      </c>
    </row>
    <row r="32" spans="1:46" x14ac:dyDescent="0.25">
      <c r="A32" t="s">
        <v>368</v>
      </c>
      <c r="B32">
        <v>50.681214826313422</v>
      </c>
      <c r="D32" t="s">
        <v>277</v>
      </c>
      <c r="E32">
        <v>-12.17680312060557</v>
      </c>
      <c r="G32" t="s">
        <v>263</v>
      </c>
      <c r="H32">
        <v>92.379231332009311</v>
      </c>
      <c r="J32" t="s">
        <v>266</v>
      </c>
      <c r="K32">
        <v>-68.431405600971601</v>
      </c>
      <c r="Q32">
        <v>1</v>
      </c>
      <c r="R32" t="s">
        <v>419</v>
      </c>
      <c r="S32">
        <v>5674616.209999999</v>
      </c>
      <c r="T32">
        <v>71.5</v>
      </c>
      <c r="AD32" t="s">
        <v>461</v>
      </c>
      <c r="AE32">
        <v>0</v>
      </c>
      <c r="AF32">
        <v>0</v>
      </c>
      <c r="AG32">
        <v>0</v>
      </c>
      <c r="AH32">
        <v>-7805.3893119003897</v>
      </c>
      <c r="AI32">
        <v>9437.6215279564603</v>
      </c>
      <c r="AM32" t="s">
        <v>462</v>
      </c>
      <c r="AN32">
        <v>8019624.1803403301</v>
      </c>
      <c r="AQ32" t="s">
        <v>462</v>
      </c>
      <c r="AR32">
        <v>0.93496117204677109</v>
      </c>
      <c r="AS32">
        <v>722388.224487075</v>
      </c>
      <c r="AT32">
        <v>6016.108515178521</v>
      </c>
    </row>
    <row r="33" spans="1:46" x14ac:dyDescent="0.25">
      <c r="A33" t="s">
        <v>273</v>
      </c>
      <c r="B33">
        <v>45.402762874299242</v>
      </c>
      <c r="D33" t="s">
        <v>379</v>
      </c>
      <c r="E33">
        <v>-12.134874759461653</v>
      </c>
      <c r="G33" t="s">
        <v>567</v>
      </c>
      <c r="H33">
        <v>84.912895266378015</v>
      </c>
      <c r="J33" t="s">
        <v>268</v>
      </c>
      <c r="K33">
        <v>-60.785025342173782</v>
      </c>
      <c r="Q33">
        <v>2</v>
      </c>
      <c r="R33" t="s">
        <v>420</v>
      </c>
      <c r="S33">
        <v>10317392.780000005</v>
      </c>
      <c r="T33">
        <v>52.5</v>
      </c>
      <c r="AD33" t="s">
        <v>463</v>
      </c>
      <c r="AE33">
        <v>0</v>
      </c>
      <c r="AF33">
        <v>0</v>
      </c>
      <c r="AG33">
        <v>0</v>
      </c>
      <c r="AH33">
        <v>477.70530612274888</v>
      </c>
      <c r="AI33">
        <v>0</v>
      </c>
      <c r="AM33" t="s">
        <v>463</v>
      </c>
      <c r="AN33">
        <v>-318033.36755435914</v>
      </c>
      <c r="AQ33" t="s">
        <v>463</v>
      </c>
      <c r="AR33">
        <v>6.0191377304863769</v>
      </c>
      <c r="AS33">
        <v>477.70530612274888</v>
      </c>
      <c r="AT33">
        <v>2875.3740321369828</v>
      </c>
    </row>
    <row r="34" spans="1:46" x14ac:dyDescent="0.25">
      <c r="A34" t="s">
        <v>275</v>
      </c>
      <c r="B34">
        <v>44.431790727461951</v>
      </c>
      <c r="D34" t="s">
        <v>270</v>
      </c>
      <c r="E34">
        <v>-9.5134903122662564</v>
      </c>
      <c r="G34" t="s">
        <v>271</v>
      </c>
      <c r="H34">
        <v>81.926805488006238</v>
      </c>
      <c r="J34" t="s">
        <v>276</v>
      </c>
      <c r="K34">
        <v>-59.815092202278876</v>
      </c>
      <c r="Q34">
        <v>3</v>
      </c>
      <c r="R34" t="s">
        <v>421</v>
      </c>
      <c r="S34">
        <v>5805170.6300000018</v>
      </c>
      <c r="T34">
        <v>80</v>
      </c>
      <c r="AD34" t="s">
        <v>464</v>
      </c>
      <c r="AE34">
        <v>0</v>
      </c>
      <c r="AF34">
        <v>0</v>
      </c>
      <c r="AG34">
        <v>0</v>
      </c>
      <c r="AH34">
        <v>0</v>
      </c>
      <c r="AI34">
        <v>9787.0539398758101</v>
      </c>
      <c r="AM34" t="s">
        <v>464</v>
      </c>
      <c r="AN34">
        <v>10041689.312337523</v>
      </c>
      <c r="AQ34" t="s">
        <v>464</v>
      </c>
      <c r="AR34">
        <v>2.7369527595743954</v>
      </c>
      <c r="AS34">
        <v>9787.0539398758101</v>
      </c>
      <c r="AT34">
        <v>26786.704288846558</v>
      </c>
    </row>
    <row r="35" spans="1:46" x14ac:dyDescent="0.25">
      <c r="A35" t="s">
        <v>278</v>
      </c>
      <c r="B35">
        <v>37.257389267951531</v>
      </c>
      <c r="D35" t="s">
        <v>338</v>
      </c>
      <c r="E35">
        <v>-9.490512036376213</v>
      </c>
      <c r="G35" t="s">
        <v>277</v>
      </c>
      <c r="H35">
        <v>47.956867124696601</v>
      </c>
      <c r="J35" t="s">
        <v>267</v>
      </c>
      <c r="K35">
        <v>-41.113333114505267</v>
      </c>
      <c r="Q35">
        <v>4</v>
      </c>
      <c r="R35" t="s">
        <v>422</v>
      </c>
      <c r="S35">
        <v>201974734.3500002</v>
      </c>
      <c r="T35">
        <v>55</v>
      </c>
      <c r="AD35" t="s">
        <v>465</v>
      </c>
      <c r="AE35">
        <v>0</v>
      </c>
      <c r="AF35">
        <v>0</v>
      </c>
      <c r="AG35">
        <v>0</v>
      </c>
      <c r="AH35">
        <v>2615.5720544331298</v>
      </c>
      <c r="AI35">
        <v>0</v>
      </c>
      <c r="AM35" t="s">
        <v>465</v>
      </c>
      <c r="AN35">
        <v>3327046.6673115976</v>
      </c>
      <c r="AQ35" t="s">
        <v>465</v>
      </c>
      <c r="AR35">
        <v>1.8283253030176292</v>
      </c>
      <c r="AS35">
        <v>2615.5720544331298</v>
      </c>
      <c r="AT35">
        <v>4782.1165689858954</v>
      </c>
    </row>
    <row r="36" spans="1:46" x14ac:dyDescent="0.25">
      <c r="Q36">
        <v>5</v>
      </c>
      <c r="R36" t="s">
        <v>423</v>
      </c>
      <c r="S36">
        <v>19964154.919999998</v>
      </c>
      <c r="T36">
        <v>73</v>
      </c>
      <c r="AD36" t="s">
        <v>466</v>
      </c>
      <c r="AE36">
        <v>0</v>
      </c>
      <c r="AF36">
        <v>0</v>
      </c>
      <c r="AG36">
        <v>0</v>
      </c>
      <c r="AH36">
        <v>6002.5488445360897</v>
      </c>
      <c r="AI36">
        <v>0</v>
      </c>
      <c r="AM36" t="s">
        <v>466</v>
      </c>
      <c r="AN36">
        <v>7610896.414943452</v>
      </c>
      <c r="AQ36" t="s">
        <v>466</v>
      </c>
      <c r="AR36">
        <v>0.96802207410932406</v>
      </c>
      <c r="AS36">
        <v>6002.5488445360897</v>
      </c>
      <c r="AT36">
        <v>5810.5997824303522</v>
      </c>
    </row>
    <row r="37" spans="1:46" x14ac:dyDescent="0.25">
      <c r="Q37">
        <v>6</v>
      </c>
      <c r="R37" t="s">
        <v>424</v>
      </c>
      <c r="S37">
        <v>39657053.439999998</v>
      </c>
      <c r="T37">
        <v>54</v>
      </c>
      <c r="AD37" t="s">
        <v>467</v>
      </c>
      <c r="AE37">
        <v>0</v>
      </c>
      <c r="AF37">
        <v>0</v>
      </c>
      <c r="AG37">
        <v>2986.7244079461202</v>
      </c>
      <c r="AH37">
        <v>2318.5149406118098</v>
      </c>
      <c r="AI37">
        <v>0</v>
      </c>
      <c r="AM37" t="s">
        <v>467</v>
      </c>
      <c r="AN37">
        <v>8754993.0116383471</v>
      </c>
      <c r="AQ37" t="s">
        <v>467</v>
      </c>
      <c r="AR37">
        <v>3.225575083525277</v>
      </c>
      <c r="AS37">
        <v>5305.2393485579305</v>
      </c>
      <c r="AT37">
        <v>17112.447854846334</v>
      </c>
    </row>
    <row r="38" spans="1:46" x14ac:dyDescent="0.25">
      <c r="AD38" t="s">
        <v>468</v>
      </c>
      <c r="AE38">
        <v>0</v>
      </c>
      <c r="AF38">
        <v>0</v>
      </c>
      <c r="AG38">
        <v>0</v>
      </c>
      <c r="AH38">
        <v>-2212.6549284376401</v>
      </c>
      <c r="AI38">
        <v>4202.1655065853602</v>
      </c>
      <c r="AM38" t="s">
        <v>468</v>
      </c>
      <c r="AN38">
        <v>1532404.7093611783</v>
      </c>
      <c r="AQ38" t="s">
        <v>468</v>
      </c>
      <c r="AR38">
        <v>8.5782531399074546</v>
      </c>
      <c r="AS38">
        <v>1989.51057814772</v>
      </c>
      <c r="AT38">
        <v>17066.525363874774</v>
      </c>
    </row>
    <row r="39" spans="1:46" x14ac:dyDescent="0.25">
      <c r="A39" t="s">
        <v>203</v>
      </c>
      <c r="AD39" t="s">
        <v>471</v>
      </c>
      <c r="AE39">
        <v>0</v>
      </c>
      <c r="AF39">
        <v>0</v>
      </c>
      <c r="AG39">
        <v>0</v>
      </c>
      <c r="AH39">
        <v>0</v>
      </c>
      <c r="AI39">
        <v>6602.6942600096299</v>
      </c>
      <c r="AM39" t="s">
        <v>469</v>
      </c>
      <c r="AN39">
        <v>18712214.02949591</v>
      </c>
      <c r="AQ39" t="s">
        <v>469</v>
      </c>
      <c r="AR39">
        <v>1.1572938743329755</v>
      </c>
      <c r="AS39">
        <v>1874147.6738622529</v>
      </c>
      <c r="AT39">
        <v>19319.63380678105</v>
      </c>
    </row>
    <row r="40" spans="1:46" x14ac:dyDescent="0.25">
      <c r="B40" t="s">
        <v>250</v>
      </c>
      <c r="C40" t="s">
        <v>251</v>
      </c>
      <c r="D40" t="s">
        <v>80</v>
      </c>
      <c r="E40" t="s">
        <v>81</v>
      </c>
      <c r="F40" t="s">
        <v>82</v>
      </c>
      <c r="G40" t="s">
        <v>496</v>
      </c>
      <c r="H40" t="s">
        <v>38</v>
      </c>
      <c r="I40" t="s">
        <v>425</v>
      </c>
      <c r="J40" t="s">
        <v>495</v>
      </c>
      <c r="AD40" t="s">
        <v>472</v>
      </c>
      <c r="AE40">
        <v>0</v>
      </c>
      <c r="AF40">
        <v>0</v>
      </c>
      <c r="AG40">
        <v>2038.49119066044</v>
      </c>
      <c r="AH40">
        <v>0</v>
      </c>
      <c r="AI40">
        <v>0</v>
      </c>
      <c r="AM40" t="s">
        <v>470</v>
      </c>
      <c r="AN40">
        <v>12553856.128455099</v>
      </c>
      <c r="AQ40" t="s">
        <v>470</v>
      </c>
      <c r="AR40">
        <v>2.3780644052612767</v>
      </c>
      <c r="AS40">
        <v>1449452.5901133399</v>
      </c>
      <c r="AT40">
        <v>30702.875735424514</v>
      </c>
    </row>
    <row r="41" spans="1:46" x14ac:dyDescent="0.25">
      <c r="A41" t="s">
        <v>532</v>
      </c>
      <c r="B41">
        <v>1098844</v>
      </c>
      <c r="C41">
        <v>-275496</v>
      </c>
      <c r="D41">
        <v>0</v>
      </c>
      <c r="E41">
        <v>0</v>
      </c>
      <c r="F41">
        <v>0</v>
      </c>
      <c r="G41">
        <v>275513</v>
      </c>
      <c r="H41">
        <v>1098861</v>
      </c>
      <c r="I41" t="s">
        <v>129</v>
      </c>
      <c r="J41" t="s">
        <v>133</v>
      </c>
      <c r="AD41" t="s">
        <v>477</v>
      </c>
      <c r="AE41">
        <v>0</v>
      </c>
      <c r="AF41">
        <v>0</v>
      </c>
      <c r="AG41">
        <v>0</v>
      </c>
      <c r="AH41">
        <v>9172.4345860329995</v>
      </c>
      <c r="AI41">
        <v>0</v>
      </c>
      <c r="AM41" t="s">
        <v>471</v>
      </c>
      <c r="AN41">
        <v>6763043.8183185104</v>
      </c>
      <c r="AQ41" t="s">
        <v>471</v>
      </c>
      <c r="AR41">
        <v>2.3411717455162573</v>
      </c>
      <c r="AS41">
        <v>6602.6942600096299</v>
      </c>
      <c r="AT41">
        <v>15458.041245816918</v>
      </c>
    </row>
    <row r="42" spans="1:46" x14ac:dyDescent="0.25">
      <c r="A42" t="s">
        <v>533</v>
      </c>
      <c r="B42">
        <v>-639756</v>
      </c>
      <c r="C42">
        <v>0</v>
      </c>
      <c r="D42">
        <v>0</v>
      </c>
      <c r="E42">
        <v>0</v>
      </c>
      <c r="F42">
        <v>0</v>
      </c>
      <c r="G42">
        <v>0</v>
      </c>
      <c r="H42">
        <v>-639756</v>
      </c>
      <c r="I42" t="s">
        <v>129</v>
      </c>
      <c r="J42" t="s">
        <v>133</v>
      </c>
      <c r="AD42" t="s">
        <v>479</v>
      </c>
      <c r="AE42">
        <v>0</v>
      </c>
      <c r="AF42">
        <v>0</v>
      </c>
      <c r="AG42">
        <v>0</v>
      </c>
      <c r="AH42">
        <v>4864.0423746013903</v>
      </c>
      <c r="AI42">
        <v>0</v>
      </c>
      <c r="AM42" t="s">
        <v>472</v>
      </c>
      <c r="AN42">
        <v>3124782.534041997</v>
      </c>
      <c r="AQ42" t="s">
        <v>472</v>
      </c>
      <c r="AR42">
        <v>3.0130890706074944</v>
      </c>
      <c r="AS42">
        <v>2038.49119066044</v>
      </c>
      <c r="AT42">
        <v>6142.1555271086299</v>
      </c>
    </row>
    <row r="43" spans="1:46" x14ac:dyDescent="0.25">
      <c r="A43" t="s">
        <v>534</v>
      </c>
      <c r="B43">
        <v>7162999</v>
      </c>
      <c r="C43">
        <v>0</v>
      </c>
      <c r="D43">
        <v>0</v>
      </c>
      <c r="E43">
        <v>0</v>
      </c>
      <c r="F43">
        <v>0</v>
      </c>
      <c r="G43">
        <v>0</v>
      </c>
      <c r="H43">
        <v>7162999</v>
      </c>
      <c r="I43" t="s">
        <v>129</v>
      </c>
      <c r="J43" t="s">
        <v>133</v>
      </c>
      <c r="AD43" t="s">
        <v>481</v>
      </c>
      <c r="AE43">
        <v>0</v>
      </c>
      <c r="AF43">
        <v>0</v>
      </c>
      <c r="AG43">
        <v>0</v>
      </c>
      <c r="AH43">
        <v>-1209.29402960024</v>
      </c>
      <c r="AI43">
        <v>6670.8873909104605</v>
      </c>
      <c r="AM43" t="s">
        <v>473</v>
      </c>
      <c r="AN43">
        <v>18710202.877807643</v>
      </c>
      <c r="AQ43" t="s">
        <v>473</v>
      </c>
      <c r="AR43">
        <v>1.3974882443810501</v>
      </c>
      <c r="AS43">
        <v>1758563.3291725588</v>
      </c>
      <c r="AT43">
        <v>21890.596896509684</v>
      </c>
    </row>
    <row r="44" spans="1:46" x14ac:dyDescent="0.25">
      <c r="A44" t="s">
        <v>535</v>
      </c>
      <c r="B44">
        <v>6857418</v>
      </c>
      <c r="C44">
        <v>0</v>
      </c>
      <c r="D44">
        <v>0</v>
      </c>
      <c r="E44">
        <v>0</v>
      </c>
      <c r="F44">
        <v>0</v>
      </c>
      <c r="G44">
        <v>0</v>
      </c>
      <c r="H44">
        <v>6857418</v>
      </c>
      <c r="I44" t="s">
        <v>309</v>
      </c>
      <c r="J44" t="s">
        <v>134</v>
      </c>
      <c r="AD44" t="s">
        <v>482</v>
      </c>
      <c r="AE44">
        <v>0</v>
      </c>
      <c r="AF44">
        <v>0</v>
      </c>
      <c r="AG44">
        <v>0</v>
      </c>
      <c r="AH44">
        <v>2757.7542719738199</v>
      </c>
      <c r="AI44">
        <v>0</v>
      </c>
      <c r="AM44" t="s">
        <v>474</v>
      </c>
      <c r="AN44">
        <v>21389971.54145455</v>
      </c>
      <c r="AQ44" t="s">
        <v>474</v>
      </c>
      <c r="AR44">
        <v>1.2020626372101881</v>
      </c>
      <c r="AS44">
        <v>2261513.2158404128</v>
      </c>
      <c r="AT44">
        <v>24214.619901647173</v>
      </c>
    </row>
    <row r="45" spans="1:46" x14ac:dyDescent="0.25">
      <c r="A45" t="s">
        <v>536</v>
      </c>
      <c r="B45">
        <v>-21624493</v>
      </c>
      <c r="C45">
        <v>-1547851</v>
      </c>
      <c r="D45">
        <v>0</v>
      </c>
      <c r="E45">
        <v>0</v>
      </c>
      <c r="F45">
        <v>971441</v>
      </c>
      <c r="G45">
        <v>3982851</v>
      </c>
      <c r="H45">
        <v>-18218052</v>
      </c>
      <c r="I45" t="s">
        <v>129</v>
      </c>
      <c r="J45" t="s">
        <v>133</v>
      </c>
      <c r="AD45" t="s">
        <v>483</v>
      </c>
      <c r="AE45">
        <v>0</v>
      </c>
      <c r="AF45">
        <v>0</v>
      </c>
      <c r="AG45">
        <v>0</v>
      </c>
      <c r="AH45">
        <v>0</v>
      </c>
      <c r="AI45">
        <v>7501.5306310404003</v>
      </c>
      <c r="AM45" t="s">
        <v>475</v>
      </c>
      <c r="AN45">
        <v>16034965.850659775</v>
      </c>
      <c r="AQ45" t="s">
        <v>475</v>
      </c>
      <c r="AR45">
        <v>1.3110850181957432</v>
      </c>
      <c r="AS45">
        <v>1497358.6094903662</v>
      </c>
      <c r="AT45">
        <v>17486.709950061624</v>
      </c>
    </row>
    <row r="46" spans="1:46" x14ac:dyDescent="0.25">
      <c r="A46" t="s">
        <v>499</v>
      </c>
      <c r="B46">
        <v>-3733042</v>
      </c>
      <c r="C46">
        <v>0</v>
      </c>
      <c r="D46">
        <v>136979</v>
      </c>
      <c r="E46">
        <v>0</v>
      </c>
      <c r="F46">
        <v>0</v>
      </c>
      <c r="G46">
        <v>-80500</v>
      </c>
      <c r="H46">
        <v>-3676563</v>
      </c>
      <c r="I46" t="s">
        <v>129</v>
      </c>
      <c r="J46" t="s">
        <v>133</v>
      </c>
      <c r="AD46" t="s">
        <v>484</v>
      </c>
      <c r="AE46">
        <v>0</v>
      </c>
      <c r="AF46">
        <v>0</v>
      </c>
      <c r="AG46">
        <v>0</v>
      </c>
      <c r="AH46">
        <v>1690.2254174110301</v>
      </c>
      <c r="AI46">
        <v>0</v>
      </c>
      <c r="AM46" t="s">
        <v>476</v>
      </c>
      <c r="AN46">
        <v>10693888.724635229</v>
      </c>
      <c r="AQ46" t="s">
        <v>476</v>
      </c>
      <c r="AR46">
        <v>0.9696641948600816</v>
      </c>
      <c r="AS46">
        <v>972821.00366952003</v>
      </c>
      <c r="AT46">
        <v>8402.4459184579227</v>
      </c>
    </row>
    <row r="47" spans="1:46" x14ac:dyDescent="0.25">
      <c r="A47" t="s">
        <v>537</v>
      </c>
      <c r="B47">
        <v>-10924314</v>
      </c>
      <c r="C47">
        <v>0</v>
      </c>
      <c r="D47">
        <v>0</v>
      </c>
      <c r="E47">
        <v>0</v>
      </c>
      <c r="F47">
        <v>0</v>
      </c>
      <c r="G47">
        <v>0</v>
      </c>
      <c r="H47">
        <v>-10924314</v>
      </c>
      <c r="I47" t="s">
        <v>131</v>
      </c>
      <c r="J47" t="s">
        <v>134</v>
      </c>
      <c r="AD47" t="s">
        <v>485</v>
      </c>
      <c r="AE47">
        <v>0</v>
      </c>
      <c r="AF47">
        <v>0</v>
      </c>
      <c r="AG47">
        <v>0</v>
      </c>
      <c r="AH47">
        <v>9631.4659320909705</v>
      </c>
      <c r="AI47">
        <v>0</v>
      </c>
      <c r="AM47" t="s">
        <v>477</v>
      </c>
      <c r="AN47">
        <v>11695225.561556058</v>
      </c>
      <c r="AQ47" t="s">
        <v>477</v>
      </c>
      <c r="AR47">
        <v>11.278987480492017</v>
      </c>
      <c r="AS47">
        <v>9172.4345860329995</v>
      </c>
      <c r="AT47">
        <v>103455.77486149817</v>
      </c>
    </row>
    <row r="48" spans="1:46" x14ac:dyDescent="0.25">
      <c r="A48" t="s">
        <v>538</v>
      </c>
      <c r="B48">
        <v>19251</v>
      </c>
      <c r="C48">
        <v>0</v>
      </c>
      <c r="D48">
        <v>0</v>
      </c>
      <c r="E48">
        <v>0</v>
      </c>
      <c r="F48">
        <v>0</v>
      </c>
      <c r="G48">
        <v>0</v>
      </c>
      <c r="H48">
        <v>19251</v>
      </c>
      <c r="I48" t="s">
        <v>309</v>
      </c>
      <c r="J48" t="s">
        <v>134</v>
      </c>
      <c r="AD48" t="s">
        <v>486</v>
      </c>
      <c r="AE48">
        <v>0</v>
      </c>
      <c r="AF48">
        <v>0</v>
      </c>
      <c r="AG48">
        <v>0</v>
      </c>
      <c r="AH48">
        <v>559.29234918696056</v>
      </c>
      <c r="AI48">
        <v>0</v>
      </c>
      <c r="AM48" t="s">
        <v>478</v>
      </c>
      <c r="AN48">
        <v>18714908.545190234</v>
      </c>
      <c r="AQ48" t="s">
        <v>478</v>
      </c>
      <c r="AR48">
        <v>0.78284302704128694</v>
      </c>
      <c r="AS48">
        <v>1903032.0558291969</v>
      </c>
      <c r="AT48">
        <v>13270.039609577236</v>
      </c>
    </row>
    <row r="49" spans="1:46" x14ac:dyDescent="0.25">
      <c r="A49" t="s">
        <v>539</v>
      </c>
      <c r="B49">
        <v>3858494</v>
      </c>
      <c r="C49">
        <v>0</v>
      </c>
      <c r="D49">
        <v>0</v>
      </c>
      <c r="E49">
        <v>0</v>
      </c>
      <c r="F49">
        <v>0</v>
      </c>
      <c r="G49">
        <v>0</v>
      </c>
      <c r="H49">
        <v>3858494</v>
      </c>
      <c r="I49" t="s">
        <v>309</v>
      </c>
      <c r="J49" t="s">
        <v>134</v>
      </c>
      <c r="AD49" t="s">
        <v>447</v>
      </c>
      <c r="AE49">
        <v>0</v>
      </c>
      <c r="AF49">
        <v>9264.0079030944598</v>
      </c>
      <c r="AG49">
        <v>0</v>
      </c>
      <c r="AH49">
        <v>-9263.6294942471504</v>
      </c>
      <c r="AI49">
        <v>0</v>
      </c>
      <c r="AM49" t="s">
        <v>479</v>
      </c>
      <c r="AN49">
        <v>6178199.7116324324</v>
      </c>
      <c r="AQ49" t="s">
        <v>479</v>
      </c>
      <c r="AR49">
        <v>1.2254089390011187</v>
      </c>
      <c r="AS49">
        <v>4864.0423746013903</v>
      </c>
      <c r="AT49">
        <v>5960.4410055167718</v>
      </c>
    </row>
    <row r="50" spans="1:46" x14ac:dyDescent="0.25">
      <c r="A50" t="s">
        <v>500</v>
      </c>
      <c r="B50">
        <v>-30801505</v>
      </c>
      <c r="C50">
        <v>5953929</v>
      </c>
      <c r="D50">
        <v>0</v>
      </c>
      <c r="E50">
        <v>-4133878</v>
      </c>
      <c r="F50">
        <v>0</v>
      </c>
      <c r="G50">
        <v>1515680</v>
      </c>
      <c r="H50">
        <v>-27465774</v>
      </c>
      <c r="I50" t="s">
        <v>129</v>
      </c>
      <c r="J50" t="s">
        <v>133</v>
      </c>
      <c r="AD50" t="s">
        <v>462</v>
      </c>
      <c r="AE50">
        <v>0</v>
      </c>
      <c r="AF50">
        <v>0</v>
      </c>
      <c r="AG50">
        <v>0</v>
      </c>
      <c r="AH50">
        <v>6434.60786933895</v>
      </c>
      <c r="AI50">
        <v>0</v>
      </c>
      <c r="AM50" t="s">
        <v>480</v>
      </c>
      <c r="AN50">
        <v>-250593699.18974918</v>
      </c>
      <c r="AQ50" t="s">
        <v>480</v>
      </c>
      <c r="AR50">
        <v>1.6173942166151152</v>
      </c>
      <c r="AS50">
        <v>-142618.89164260635</v>
      </c>
      <c r="AT50">
        <v>-230670.97052280931</v>
      </c>
    </row>
    <row r="51" spans="1:46" x14ac:dyDescent="0.25">
      <c r="A51" t="s">
        <v>540</v>
      </c>
      <c r="B51">
        <v>-8525081</v>
      </c>
      <c r="C51">
        <v>0</v>
      </c>
      <c r="D51">
        <v>0</v>
      </c>
      <c r="E51">
        <v>0</v>
      </c>
      <c r="F51">
        <v>0</v>
      </c>
      <c r="G51">
        <v>0</v>
      </c>
      <c r="H51">
        <v>-8525081</v>
      </c>
      <c r="I51" t="s">
        <v>309</v>
      </c>
      <c r="J51" t="s">
        <v>134</v>
      </c>
      <c r="AD51" t="s">
        <v>469</v>
      </c>
      <c r="AE51">
        <v>0</v>
      </c>
      <c r="AF51">
        <v>0</v>
      </c>
      <c r="AG51">
        <v>0</v>
      </c>
      <c r="AH51">
        <v>10718.104748890852</v>
      </c>
      <c r="AI51">
        <v>5975.69639813088</v>
      </c>
      <c r="AM51" t="s">
        <v>481</v>
      </c>
      <c r="AN51">
        <v>5290239.5983293904</v>
      </c>
      <c r="AQ51" t="s">
        <v>481</v>
      </c>
      <c r="AR51">
        <v>1.7574583150941745</v>
      </c>
      <c r="AS51">
        <v>5461.5933613102206</v>
      </c>
      <c r="AT51">
        <v>9598.522666497789</v>
      </c>
    </row>
    <row r="52" spans="1:46" x14ac:dyDescent="0.25">
      <c r="A52" t="s">
        <v>541</v>
      </c>
      <c r="B52">
        <v>1565854</v>
      </c>
      <c r="C52">
        <v>0</v>
      </c>
      <c r="D52">
        <v>0</v>
      </c>
      <c r="E52">
        <v>0</v>
      </c>
      <c r="F52">
        <v>0</v>
      </c>
      <c r="G52">
        <v>0</v>
      </c>
      <c r="H52">
        <v>1565854</v>
      </c>
      <c r="I52" t="s">
        <v>542</v>
      </c>
      <c r="J52" t="s">
        <v>134</v>
      </c>
      <c r="AD52" t="s">
        <v>470</v>
      </c>
      <c r="AE52">
        <v>0</v>
      </c>
      <c r="AF52">
        <v>0</v>
      </c>
      <c r="AG52">
        <v>0</v>
      </c>
      <c r="AH52">
        <v>0</v>
      </c>
      <c r="AI52">
        <v>12910.86804356386</v>
      </c>
      <c r="AM52" t="s">
        <v>482</v>
      </c>
      <c r="AN52">
        <v>3954083.591729139</v>
      </c>
      <c r="AQ52" t="s">
        <v>482</v>
      </c>
      <c r="AR52">
        <v>2.4998719026680325</v>
      </c>
      <c r="AS52">
        <v>2757.7542719738199</v>
      </c>
      <c r="AT52">
        <v>6894.0324189700877</v>
      </c>
    </row>
    <row r="53" spans="1:46" x14ac:dyDescent="0.25">
      <c r="A53" t="s">
        <v>543</v>
      </c>
      <c r="B53">
        <v>19730473</v>
      </c>
      <c r="C53">
        <v>0</v>
      </c>
      <c r="D53">
        <v>0</v>
      </c>
      <c r="E53">
        <v>0</v>
      </c>
      <c r="F53">
        <v>0</v>
      </c>
      <c r="G53">
        <v>0</v>
      </c>
      <c r="H53">
        <v>19730473</v>
      </c>
      <c r="I53" t="s">
        <v>129</v>
      </c>
      <c r="J53" t="s">
        <v>133</v>
      </c>
      <c r="AD53" t="s">
        <v>473</v>
      </c>
      <c r="AE53">
        <v>0</v>
      </c>
      <c r="AF53">
        <v>0</v>
      </c>
      <c r="AG53">
        <v>0</v>
      </c>
      <c r="AH53">
        <v>12732.26535062642</v>
      </c>
      <c r="AI53">
        <v>2931.9786847179098</v>
      </c>
      <c r="AM53" t="s">
        <v>483</v>
      </c>
      <c r="AN53">
        <v>7682059.3799996376</v>
      </c>
      <c r="AQ53" t="s">
        <v>483</v>
      </c>
      <c r="AR53">
        <v>1.6613982728863737</v>
      </c>
      <c r="AS53">
        <v>7501.5306310404003</v>
      </c>
      <c r="AT53">
        <v>12463.030034414749</v>
      </c>
    </row>
    <row r="54" spans="1:46" x14ac:dyDescent="0.25">
      <c r="A54" t="s">
        <v>544</v>
      </c>
      <c r="B54">
        <v>99648</v>
      </c>
      <c r="C54">
        <v>0</v>
      </c>
      <c r="D54">
        <v>0</v>
      </c>
      <c r="E54">
        <v>0</v>
      </c>
      <c r="F54">
        <v>0</v>
      </c>
      <c r="G54">
        <v>0</v>
      </c>
      <c r="H54">
        <v>99648</v>
      </c>
      <c r="I54" t="s">
        <v>131</v>
      </c>
      <c r="J54" t="s">
        <v>134</v>
      </c>
      <c r="AD54" t="s">
        <v>474</v>
      </c>
      <c r="AE54">
        <v>0</v>
      </c>
      <c r="AF54">
        <v>0</v>
      </c>
      <c r="AG54">
        <v>0</v>
      </c>
      <c r="AH54">
        <v>10887.85262522111</v>
      </c>
      <c r="AI54">
        <v>9256.3721032387693</v>
      </c>
      <c r="AM54" t="s">
        <v>484</v>
      </c>
      <c r="AN54">
        <v>2147870.373613013</v>
      </c>
      <c r="AQ54" t="s">
        <v>484</v>
      </c>
      <c r="AR54">
        <v>1.8840891511825348</v>
      </c>
      <c r="AS54">
        <v>1690.2254174110301</v>
      </c>
      <c r="AT54">
        <v>3184.5353719970935</v>
      </c>
    </row>
    <row r="55" spans="1:46" x14ac:dyDescent="0.25">
      <c r="A55" t="s">
        <v>545</v>
      </c>
      <c r="B55">
        <v>1187432</v>
      </c>
      <c r="C55">
        <v>0</v>
      </c>
      <c r="D55">
        <v>0</v>
      </c>
      <c r="E55">
        <v>0</v>
      </c>
      <c r="F55">
        <v>0</v>
      </c>
      <c r="G55">
        <v>0</v>
      </c>
      <c r="H55">
        <v>1187432</v>
      </c>
      <c r="I55" t="s">
        <v>129</v>
      </c>
      <c r="J55" t="s">
        <v>133</v>
      </c>
      <c r="AD55" t="s">
        <v>475</v>
      </c>
      <c r="AE55">
        <v>0</v>
      </c>
      <c r="AF55">
        <v>0</v>
      </c>
      <c r="AG55">
        <v>0</v>
      </c>
      <c r="AH55">
        <v>10463.1343203536</v>
      </c>
      <c r="AI55">
        <v>2874.4522643257501</v>
      </c>
      <c r="AM55" t="s">
        <v>485</v>
      </c>
      <c r="AN55">
        <v>12241467.569034252</v>
      </c>
      <c r="AQ55" t="s">
        <v>485</v>
      </c>
      <c r="AR55">
        <v>1.4407426465392159</v>
      </c>
      <c r="AS55">
        <v>9631.4659320909705</v>
      </c>
      <c r="AT55">
        <v>13876.46371705304</v>
      </c>
    </row>
    <row r="56" spans="1:46" x14ac:dyDescent="0.25">
      <c r="A56" t="s">
        <v>546</v>
      </c>
      <c r="B56">
        <v>47334</v>
      </c>
      <c r="C56">
        <v>0</v>
      </c>
      <c r="D56">
        <v>0</v>
      </c>
      <c r="E56">
        <v>0</v>
      </c>
      <c r="F56">
        <v>0</v>
      </c>
      <c r="G56">
        <v>0</v>
      </c>
      <c r="H56">
        <v>47334</v>
      </c>
      <c r="I56" t="s">
        <v>131</v>
      </c>
      <c r="J56" t="s">
        <v>134</v>
      </c>
      <c r="AD56" t="s">
        <v>476</v>
      </c>
      <c r="AE56">
        <v>0</v>
      </c>
      <c r="AF56">
        <v>0</v>
      </c>
      <c r="AG56">
        <v>0</v>
      </c>
      <c r="AH56">
        <v>8665.3152328372398</v>
      </c>
      <c r="AI56">
        <v>0</v>
      </c>
      <c r="AM56" t="s">
        <v>486</v>
      </c>
      <c r="AN56">
        <v>1559509.0924449209</v>
      </c>
      <c r="AQ56" t="s">
        <v>486</v>
      </c>
      <c r="AR56">
        <v>4.9270035615022589</v>
      </c>
      <c r="AS56">
        <v>559.29234918696056</v>
      </c>
      <c r="AT56">
        <v>2755.63539636512</v>
      </c>
    </row>
    <row r="57" spans="1:46" x14ac:dyDescent="0.25">
      <c r="A57" t="s">
        <v>547</v>
      </c>
      <c r="B57">
        <v>-29861186</v>
      </c>
      <c r="C57">
        <v>0</v>
      </c>
      <c r="D57">
        <v>0</v>
      </c>
      <c r="E57">
        <v>0</v>
      </c>
      <c r="F57">
        <v>0</v>
      </c>
      <c r="G57">
        <v>0</v>
      </c>
      <c r="H57">
        <v>-29861186</v>
      </c>
      <c r="I57" t="s">
        <v>309</v>
      </c>
      <c r="J57" t="s">
        <v>134</v>
      </c>
      <c r="AD57" t="s">
        <v>478</v>
      </c>
      <c r="AE57">
        <v>0</v>
      </c>
      <c r="AF57">
        <v>0</v>
      </c>
      <c r="AG57">
        <v>0</v>
      </c>
      <c r="AH57">
        <v>10845.095203201719</v>
      </c>
      <c r="AI57">
        <v>6105.9909675860999</v>
      </c>
      <c r="AM57" t="s">
        <v>487</v>
      </c>
      <c r="AN57">
        <v>10450424.200983115</v>
      </c>
      <c r="AQ57" t="s">
        <v>487</v>
      </c>
      <c r="AR57">
        <v>2.7044046186537618</v>
      </c>
      <c r="AS57">
        <v>7320.8724247477512</v>
      </c>
      <c r="AT57">
        <v>19798.601198062781</v>
      </c>
    </row>
    <row r="70" spans="1:7" x14ac:dyDescent="0.25">
      <c r="A70" t="s">
        <v>204</v>
      </c>
    </row>
    <row r="71" spans="1:7" x14ac:dyDescent="0.25">
      <c r="A71" t="s">
        <v>425</v>
      </c>
      <c r="B71" t="s">
        <v>33</v>
      </c>
      <c r="C71" t="s">
        <v>80</v>
      </c>
      <c r="D71" t="s">
        <v>81</v>
      </c>
      <c r="E71" t="s">
        <v>82</v>
      </c>
      <c r="F71" t="s">
        <v>496</v>
      </c>
      <c r="G71" t="s">
        <v>38</v>
      </c>
    </row>
    <row r="72" spans="1:7" x14ac:dyDescent="0.25">
      <c r="A72" t="s">
        <v>309</v>
      </c>
      <c r="B72">
        <v>-27651104</v>
      </c>
      <c r="C72">
        <v>0</v>
      </c>
      <c r="D72">
        <v>0</v>
      </c>
      <c r="E72">
        <v>0</v>
      </c>
      <c r="F72">
        <v>0</v>
      </c>
      <c r="G72">
        <v>-27651104</v>
      </c>
    </row>
    <row r="73" spans="1:7" x14ac:dyDescent="0.25">
      <c r="A73" t="s">
        <v>131</v>
      </c>
      <c r="B73">
        <v>-10777332</v>
      </c>
      <c r="C73">
        <v>0</v>
      </c>
      <c r="D73">
        <v>0</v>
      </c>
      <c r="E73">
        <v>0</v>
      </c>
      <c r="F73">
        <v>0</v>
      </c>
      <c r="G73">
        <v>-10777332</v>
      </c>
    </row>
    <row r="74" spans="1:7" x14ac:dyDescent="0.25">
      <c r="A74" t="s">
        <v>129</v>
      </c>
      <c r="B74">
        <v>-23488466</v>
      </c>
      <c r="C74">
        <v>136979</v>
      </c>
      <c r="D74">
        <v>-4133878</v>
      </c>
      <c r="E74">
        <v>971441</v>
      </c>
      <c r="F74">
        <v>5693544</v>
      </c>
      <c r="G74">
        <v>-20820380</v>
      </c>
    </row>
    <row r="75" spans="1:7" x14ac:dyDescent="0.25">
      <c r="A75" t="s">
        <v>542</v>
      </c>
      <c r="B75">
        <v>1565854</v>
      </c>
      <c r="C75">
        <v>0</v>
      </c>
      <c r="D75">
        <v>0</v>
      </c>
      <c r="E75">
        <v>0</v>
      </c>
      <c r="F75">
        <v>0</v>
      </c>
      <c r="G75">
        <v>1565854</v>
      </c>
    </row>
    <row r="78" spans="1:7" x14ac:dyDescent="0.25">
      <c r="A78" t="s">
        <v>205</v>
      </c>
    </row>
    <row r="79" spans="1:7" x14ac:dyDescent="0.25">
      <c r="A79" t="s">
        <v>495</v>
      </c>
      <c r="B79" t="s">
        <v>33</v>
      </c>
      <c r="C79" t="s">
        <v>80</v>
      </c>
      <c r="D79" t="s">
        <v>81</v>
      </c>
      <c r="E79" t="s">
        <v>82</v>
      </c>
      <c r="F79" t="s">
        <v>496</v>
      </c>
      <c r="G79" t="s">
        <v>38</v>
      </c>
    </row>
    <row r="80" spans="1:7" x14ac:dyDescent="0.25">
      <c r="A80" t="s">
        <v>133</v>
      </c>
      <c r="B80">
        <v>-23488466</v>
      </c>
      <c r="C80">
        <v>136979</v>
      </c>
      <c r="D80">
        <v>-4133878</v>
      </c>
      <c r="E80">
        <v>971441</v>
      </c>
      <c r="F80">
        <v>5693544</v>
      </c>
      <c r="G80">
        <v>-20820380</v>
      </c>
    </row>
    <row r="81" spans="1:10" x14ac:dyDescent="0.25">
      <c r="A81" t="s">
        <v>134</v>
      </c>
      <c r="B81">
        <v>-36862582</v>
      </c>
      <c r="C81">
        <v>0</v>
      </c>
      <c r="D81">
        <v>0</v>
      </c>
      <c r="E81">
        <v>0</v>
      </c>
      <c r="F81">
        <v>0</v>
      </c>
      <c r="G81">
        <v>-36862582</v>
      </c>
    </row>
    <row r="85" spans="1:10" x14ac:dyDescent="0.25">
      <c r="A85" t="s">
        <v>206</v>
      </c>
    </row>
    <row r="86" spans="1:10" x14ac:dyDescent="0.25">
      <c r="A86" t="s">
        <v>502</v>
      </c>
      <c r="B86" t="s">
        <v>503</v>
      </c>
      <c r="C86" t="s">
        <v>504</v>
      </c>
      <c r="D86" t="s">
        <v>505</v>
      </c>
      <c r="E86" t="s">
        <v>506</v>
      </c>
      <c r="F86" t="s">
        <v>507</v>
      </c>
      <c r="G86" t="s">
        <v>508</v>
      </c>
      <c r="H86" t="s">
        <v>509</v>
      </c>
      <c r="I86" t="s">
        <v>510</v>
      </c>
      <c r="J86" t="s">
        <v>511</v>
      </c>
    </row>
    <row r="87" spans="1:10" x14ac:dyDescent="0.25">
      <c r="A87" t="s">
        <v>512</v>
      </c>
      <c r="B87">
        <v>0</v>
      </c>
      <c r="C87">
        <v>23291.517019816794</v>
      </c>
      <c r="D87">
        <v>0</v>
      </c>
      <c r="E87">
        <v>0</v>
      </c>
      <c r="F87">
        <v>0</v>
      </c>
      <c r="G87">
        <v>0</v>
      </c>
      <c r="H87">
        <v>0</v>
      </c>
      <c r="I87">
        <v>39237.593307112023</v>
      </c>
      <c r="J87">
        <v>-358.01965051154968</v>
      </c>
    </row>
    <row r="88" spans="1:10" x14ac:dyDescent="0.25">
      <c r="A88" t="s">
        <v>513</v>
      </c>
      <c r="B88">
        <v>-223.42802166862549</v>
      </c>
      <c r="C88">
        <v>0</v>
      </c>
      <c r="D88">
        <v>0</v>
      </c>
      <c r="E88">
        <v>0</v>
      </c>
      <c r="F88">
        <v>133.11486800553675</v>
      </c>
      <c r="G88">
        <v>0</v>
      </c>
      <c r="H88">
        <v>0</v>
      </c>
      <c r="I88">
        <v>0</v>
      </c>
      <c r="J88">
        <v>0</v>
      </c>
    </row>
    <row r="89" spans="1:10" x14ac:dyDescent="0.25">
      <c r="A89" t="s">
        <v>514</v>
      </c>
      <c r="B89">
        <v>0</v>
      </c>
      <c r="C89">
        <v>6699.9482435397395</v>
      </c>
      <c r="D89">
        <v>0</v>
      </c>
      <c r="E89">
        <v>0</v>
      </c>
      <c r="F89">
        <v>0</v>
      </c>
      <c r="G89">
        <v>0</v>
      </c>
      <c r="H89">
        <v>0</v>
      </c>
      <c r="I89">
        <v>21640.484702852144</v>
      </c>
      <c r="J89">
        <v>0</v>
      </c>
    </row>
    <row r="90" spans="1:10" x14ac:dyDescent="0.25">
      <c r="A90" t="s">
        <v>515</v>
      </c>
      <c r="B90">
        <v>1902.5887706480335</v>
      </c>
      <c r="C90">
        <v>0</v>
      </c>
      <c r="D90">
        <v>1263.8336127920197</v>
      </c>
      <c r="E90">
        <v>0</v>
      </c>
      <c r="F90">
        <v>0</v>
      </c>
      <c r="G90">
        <v>0</v>
      </c>
      <c r="H90">
        <v>0</v>
      </c>
      <c r="I90">
        <v>0</v>
      </c>
      <c r="J90">
        <v>0</v>
      </c>
    </row>
    <row r="91" spans="1:10" x14ac:dyDescent="0.25">
      <c r="A91" t="s">
        <v>516</v>
      </c>
      <c r="B91">
        <v>0</v>
      </c>
      <c r="C91">
        <v>0</v>
      </c>
      <c r="D91">
        <v>18454.882146354976</v>
      </c>
      <c r="E91">
        <v>0</v>
      </c>
      <c r="F91">
        <v>20948.40082725741</v>
      </c>
      <c r="G91">
        <v>0</v>
      </c>
      <c r="H91">
        <v>0</v>
      </c>
      <c r="I91">
        <v>0</v>
      </c>
      <c r="J91">
        <v>0</v>
      </c>
    </row>
    <row r="92" spans="1:10" x14ac:dyDescent="0.25">
      <c r="A92" t="s">
        <v>517</v>
      </c>
      <c r="B92">
        <v>-350.40299063504824</v>
      </c>
      <c r="C92">
        <v>0</v>
      </c>
      <c r="D92">
        <v>0</v>
      </c>
      <c r="E92">
        <v>0</v>
      </c>
      <c r="F92">
        <v>883.37279317451578</v>
      </c>
      <c r="G92">
        <v>0</v>
      </c>
      <c r="H92">
        <v>0</v>
      </c>
      <c r="I92">
        <v>0</v>
      </c>
      <c r="J92">
        <v>0</v>
      </c>
    </row>
    <row r="93" spans="1:10" x14ac:dyDescent="0.25">
      <c r="A93" t="s">
        <v>518</v>
      </c>
      <c r="B93">
        <v>0</v>
      </c>
      <c r="C93">
        <v>0</v>
      </c>
      <c r="D93">
        <v>33774.218732852576</v>
      </c>
      <c r="E93">
        <v>0</v>
      </c>
      <c r="F93">
        <v>27200.686697343026</v>
      </c>
      <c r="G93">
        <v>0</v>
      </c>
      <c r="H93">
        <v>0</v>
      </c>
      <c r="I93">
        <v>0</v>
      </c>
      <c r="J93">
        <v>0</v>
      </c>
    </row>
    <row r="94" spans="1:10" x14ac:dyDescent="0.25">
      <c r="A94" t="s">
        <v>519</v>
      </c>
      <c r="B94">
        <v>-5.8316404347052401E-12</v>
      </c>
      <c r="C94">
        <v>0</v>
      </c>
      <c r="D94">
        <v>0</v>
      </c>
      <c r="E94">
        <v>4.0338053767139805E-11</v>
      </c>
      <c r="F94">
        <v>0</v>
      </c>
      <c r="G94">
        <v>0</v>
      </c>
      <c r="H94">
        <v>0</v>
      </c>
      <c r="I94">
        <v>0</v>
      </c>
      <c r="J94">
        <v>0</v>
      </c>
    </row>
    <row r="95" spans="1:10" x14ac:dyDescent="0.25">
      <c r="A95" t="s">
        <v>520</v>
      </c>
      <c r="B95">
        <v>-9554.0740992430619</v>
      </c>
      <c r="C95">
        <v>0</v>
      </c>
      <c r="D95">
        <v>-6750.7142339956426</v>
      </c>
      <c r="E95">
        <v>0</v>
      </c>
      <c r="F95">
        <v>0</v>
      </c>
      <c r="G95">
        <v>0</v>
      </c>
      <c r="H95">
        <v>0</v>
      </c>
      <c r="I95">
        <v>0</v>
      </c>
      <c r="J95">
        <v>0</v>
      </c>
    </row>
    <row r="96" spans="1:10" x14ac:dyDescent="0.25">
      <c r="A96" t="s">
        <v>521</v>
      </c>
      <c r="B96">
        <v>0</v>
      </c>
      <c r="C96">
        <v>0</v>
      </c>
      <c r="D96">
        <v>0</v>
      </c>
      <c r="E96">
        <v>0</v>
      </c>
      <c r="F96">
        <v>23159.362602723017</v>
      </c>
      <c r="G96">
        <v>0</v>
      </c>
      <c r="H96">
        <v>0</v>
      </c>
      <c r="I96">
        <v>1591.268235533724</v>
      </c>
      <c r="J96">
        <v>0</v>
      </c>
    </row>
    <row r="97" spans="1:11" x14ac:dyDescent="0.25">
      <c r="A97" t="s">
        <v>522</v>
      </c>
      <c r="B97">
        <v>0</v>
      </c>
      <c r="C97">
        <v>0</v>
      </c>
      <c r="D97">
        <v>-825.74058557129877</v>
      </c>
      <c r="E97">
        <v>0</v>
      </c>
      <c r="F97">
        <v>0</v>
      </c>
      <c r="G97">
        <v>0</v>
      </c>
      <c r="H97">
        <v>0</v>
      </c>
      <c r="I97">
        <v>1150.8458700362032</v>
      </c>
      <c r="J97">
        <v>0</v>
      </c>
    </row>
    <row r="98" spans="1:11" x14ac:dyDescent="0.25">
      <c r="A98" t="s">
        <v>523</v>
      </c>
      <c r="B98">
        <v>0</v>
      </c>
      <c r="C98">
        <v>0</v>
      </c>
      <c r="D98">
        <v>0</v>
      </c>
      <c r="E98">
        <v>0</v>
      </c>
      <c r="F98">
        <v>308.29884726958448</v>
      </c>
      <c r="G98">
        <v>0</v>
      </c>
      <c r="H98">
        <v>0</v>
      </c>
      <c r="I98">
        <v>22.132277733232051</v>
      </c>
      <c r="J98">
        <v>0</v>
      </c>
    </row>
    <row r="99" spans="1:11" x14ac:dyDescent="0.25">
      <c r="A99" t="s">
        <v>524</v>
      </c>
      <c r="B99">
        <v>0</v>
      </c>
      <c r="C99">
        <v>0</v>
      </c>
      <c r="D99">
        <v>0</v>
      </c>
      <c r="E99">
        <v>0</v>
      </c>
      <c r="F99">
        <v>0</v>
      </c>
      <c r="G99">
        <v>255855.65457690324</v>
      </c>
      <c r="H99">
        <v>1198615.2353246359</v>
      </c>
      <c r="I99">
        <v>0</v>
      </c>
      <c r="J99">
        <v>0</v>
      </c>
    </row>
    <row r="100" spans="1:11" x14ac:dyDescent="0.25">
      <c r="A100" t="s">
        <v>525</v>
      </c>
      <c r="B100">
        <v>0</v>
      </c>
      <c r="C100">
        <v>0</v>
      </c>
      <c r="D100">
        <v>0</v>
      </c>
      <c r="E100">
        <v>17440.4092297235</v>
      </c>
      <c r="F100">
        <v>0</v>
      </c>
      <c r="G100">
        <v>0</v>
      </c>
      <c r="H100">
        <v>0</v>
      </c>
      <c r="I100">
        <v>0</v>
      </c>
      <c r="J100">
        <v>0</v>
      </c>
    </row>
    <row r="101" spans="1:11" x14ac:dyDescent="0.25">
      <c r="A101" t="s">
        <v>526</v>
      </c>
      <c r="B101">
        <v>0</v>
      </c>
      <c r="C101">
        <v>0</v>
      </c>
      <c r="D101">
        <v>0</v>
      </c>
      <c r="E101">
        <v>0</v>
      </c>
      <c r="F101">
        <v>17840.589247758511</v>
      </c>
      <c r="G101">
        <v>0</v>
      </c>
      <c r="H101">
        <v>0</v>
      </c>
      <c r="I101">
        <v>2067.2878337864177</v>
      </c>
      <c r="J101">
        <v>0</v>
      </c>
    </row>
    <row r="102" spans="1:11" x14ac:dyDescent="0.25">
      <c r="A102" t="s">
        <v>527</v>
      </c>
      <c r="B102">
        <v>0</v>
      </c>
      <c r="C102">
        <v>0</v>
      </c>
      <c r="D102">
        <v>3.4961761370209386E-3</v>
      </c>
      <c r="E102">
        <v>0</v>
      </c>
      <c r="F102">
        <v>9.9654688885640699</v>
      </c>
      <c r="G102">
        <v>0</v>
      </c>
      <c r="H102">
        <v>0</v>
      </c>
      <c r="I102">
        <v>0</v>
      </c>
      <c r="J102">
        <v>0</v>
      </c>
    </row>
    <row r="103" spans="1:11" x14ac:dyDescent="0.25">
      <c r="A103" t="s">
        <v>528</v>
      </c>
      <c r="B103">
        <v>-19.958953513202299</v>
      </c>
      <c r="C103">
        <v>0</v>
      </c>
      <c r="D103">
        <v>0</v>
      </c>
      <c r="E103">
        <v>0</v>
      </c>
      <c r="F103">
        <v>510.15361404723023</v>
      </c>
      <c r="G103">
        <v>0</v>
      </c>
      <c r="H103">
        <v>0</v>
      </c>
      <c r="I103">
        <v>0</v>
      </c>
      <c r="J103">
        <v>0</v>
      </c>
    </row>
    <row r="104" spans="1:11" x14ac:dyDescent="0.25">
      <c r="A104" t="s">
        <v>529</v>
      </c>
      <c r="B104">
        <v>0</v>
      </c>
      <c r="C104">
        <v>0</v>
      </c>
      <c r="D104">
        <v>4.7343748393213501</v>
      </c>
      <c r="E104">
        <v>0</v>
      </c>
      <c r="F104">
        <v>0</v>
      </c>
      <c r="G104">
        <v>0</v>
      </c>
      <c r="H104">
        <v>0</v>
      </c>
      <c r="I104">
        <v>0</v>
      </c>
      <c r="J104">
        <v>0</v>
      </c>
    </row>
    <row r="105" spans="1:11" x14ac:dyDescent="0.25">
      <c r="A105" t="s">
        <v>530</v>
      </c>
      <c r="B105">
        <v>0</v>
      </c>
      <c r="C105">
        <v>0</v>
      </c>
      <c r="D105">
        <v>48423.095148978718</v>
      </c>
      <c r="E105">
        <v>0</v>
      </c>
      <c r="F105">
        <v>100209.10797685458</v>
      </c>
      <c r="G105">
        <v>0</v>
      </c>
      <c r="H105">
        <v>0</v>
      </c>
      <c r="I105">
        <v>0</v>
      </c>
      <c r="J105">
        <v>0</v>
      </c>
    </row>
    <row r="110" spans="1:11" x14ac:dyDescent="0.25">
      <c r="A110" t="s">
        <v>207</v>
      </c>
    </row>
    <row r="111" spans="1:11" x14ac:dyDescent="0.25">
      <c r="A111" t="s">
        <v>550</v>
      </c>
      <c r="B111">
        <v>0.5</v>
      </c>
      <c r="C111">
        <v>1</v>
      </c>
      <c r="D111">
        <v>2</v>
      </c>
      <c r="E111">
        <v>3</v>
      </c>
      <c r="F111">
        <v>4</v>
      </c>
      <c r="G111">
        <v>5</v>
      </c>
      <c r="H111">
        <v>7</v>
      </c>
      <c r="I111">
        <v>10</v>
      </c>
      <c r="J111">
        <v>20</v>
      </c>
      <c r="K111">
        <v>30</v>
      </c>
    </row>
    <row r="112" spans="1:11" x14ac:dyDescent="0.25">
      <c r="A112" t="s">
        <v>499</v>
      </c>
      <c r="B112">
        <v>-5540.8767560650667</v>
      </c>
      <c r="C112">
        <v>0</v>
      </c>
      <c r="D112">
        <v>0</v>
      </c>
      <c r="E112">
        <v>0</v>
      </c>
      <c r="F112">
        <v>0</v>
      </c>
      <c r="G112">
        <v>0</v>
      </c>
      <c r="H112">
        <v>0</v>
      </c>
      <c r="I112">
        <v>0</v>
      </c>
      <c r="J112">
        <v>0</v>
      </c>
      <c r="K112">
        <v>0</v>
      </c>
    </row>
    <row r="113" spans="1:16" x14ac:dyDescent="0.25">
      <c r="A113" t="s">
        <v>501</v>
      </c>
      <c r="B113">
        <v>-1203.4706686110655</v>
      </c>
      <c r="C113">
        <v>27675.09874394504</v>
      </c>
      <c r="D113">
        <v>-307709.64493473707</v>
      </c>
      <c r="E113">
        <v>180633.39350348167</v>
      </c>
      <c r="F113">
        <v>370979.00980104908</v>
      </c>
      <c r="G113">
        <v>48189.807646819449</v>
      </c>
      <c r="H113">
        <v>3175.7932235824733</v>
      </c>
      <c r="I113">
        <v>-253550.88777943584</v>
      </c>
      <c r="J113">
        <v>25422.430917828504</v>
      </c>
      <c r="K113">
        <v>-50178.565038139641</v>
      </c>
    </row>
    <row r="125" spans="1:16" x14ac:dyDescent="0.25">
      <c r="A125" t="s">
        <v>208</v>
      </c>
      <c r="N125" t="s">
        <v>241</v>
      </c>
    </row>
    <row r="126" spans="1:16" x14ac:dyDescent="0.25">
      <c r="A126" t="s">
        <v>425</v>
      </c>
      <c r="B126">
        <v>0.5</v>
      </c>
      <c r="C126">
        <v>1</v>
      </c>
      <c r="D126">
        <v>2</v>
      </c>
      <c r="E126">
        <v>3</v>
      </c>
      <c r="F126">
        <v>4</v>
      </c>
      <c r="G126">
        <v>5</v>
      </c>
      <c r="H126">
        <v>7</v>
      </c>
      <c r="I126">
        <v>10</v>
      </c>
      <c r="J126">
        <v>20</v>
      </c>
      <c r="K126">
        <v>30</v>
      </c>
      <c r="N126" t="s">
        <v>425</v>
      </c>
      <c r="O126" t="s">
        <v>426</v>
      </c>
      <c r="P126" t="s">
        <v>427</v>
      </c>
    </row>
    <row r="127" spans="1:16" x14ac:dyDescent="0.25">
      <c r="A127" t="s">
        <v>129</v>
      </c>
      <c r="B127">
        <v>-6744.3474246761198</v>
      </c>
      <c r="C127">
        <v>27675.09874394504</v>
      </c>
      <c r="D127">
        <v>-307709.64493473707</v>
      </c>
      <c r="E127">
        <v>180633.39350348167</v>
      </c>
      <c r="F127">
        <v>370979.00980104908</v>
      </c>
      <c r="G127">
        <v>48189.807646819449</v>
      </c>
      <c r="H127">
        <v>3175.7932235824733</v>
      </c>
      <c r="I127">
        <v>-253550.88777943584</v>
      </c>
      <c r="J127">
        <v>25422.430917828504</v>
      </c>
      <c r="K127">
        <v>-50178.565038139641</v>
      </c>
      <c r="N127" t="s">
        <v>129</v>
      </c>
      <c r="O127">
        <v>16169.148122929761</v>
      </c>
      <c r="P127">
        <v>8001536.120819252</v>
      </c>
    </row>
    <row r="128" spans="1:16" x14ac:dyDescent="0.25">
      <c r="N128" t="s">
        <v>428</v>
      </c>
      <c r="O128">
        <v>0</v>
      </c>
      <c r="P128">
        <v>0</v>
      </c>
    </row>
    <row r="141" spans="25:28" x14ac:dyDescent="0.25">
      <c r="Y141" t="s">
        <v>210</v>
      </c>
    </row>
    <row r="142" spans="25:28" x14ac:dyDescent="0.25">
      <c r="Y142" t="s">
        <v>551</v>
      </c>
      <c r="Z142" t="s">
        <v>426</v>
      </c>
      <c r="AA142" t="s">
        <v>427</v>
      </c>
      <c r="AB142" t="s">
        <v>552</v>
      </c>
    </row>
    <row r="143" spans="25:28" x14ac:dyDescent="0.25">
      <c r="Y143" t="s">
        <v>524</v>
      </c>
      <c r="Z143">
        <v>-3586.4313621731962</v>
      </c>
      <c r="AA143">
        <v>4964519.0857402282</v>
      </c>
      <c r="AB143">
        <v>56822996.174086966</v>
      </c>
    </row>
    <row r="144" spans="25:28" x14ac:dyDescent="0.25">
      <c r="Y144" t="s">
        <v>530</v>
      </c>
      <c r="Z144">
        <v>-161.06281393943931</v>
      </c>
      <c r="AA144">
        <v>3813538.155015368</v>
      </c>
      <c r="AB144">
        <v>23242163.19139095</v>
      </c>
    </row>
    <row r="145" spans="25:28" x14ac:dyDescent="0.25">
      <c r="Y145" t="s">
        <v>518</v>
      </c>
      <c r="Z145">
        <v>-990.71251755747562</v>
      </c>
      <c r="AA145">
        <v>4961032.077007222</v>
      </c>
      <c r="AB145">
        <v>-13787574.920491576</v>
      </c>
    </row>
    <row r="146" spans="25:28" x14ac:dyDescent="0.25">
      <c r="Y146" t="s">
        <v>516</v>
      </c>
      <c r="Z146">
        <v>-4167.2754893322899</v>
      </c>
      <c r="AA146">
        <v>2544608.3955586953</v>
      </c>
      <c r="AB146">
        <v>-13366825.837664995</v>
      </c>
    </row>
    <row r="147" spans="25:28" x14ac:dyDescent="0.25">
      <c r="Y147" t="s">
        <v>517</v>
      </c>
      <c r="Z147">
        <v>0</v>
      </c>
      <c r="AA147">
        <v>0</v>
      </c>
      <c r="AB147">
        <v>10924314.798592625</v>
      </c>
    </row>
    <row r="148" spans="25:28" x14ac:dyDescent="0.25">
      <c r="Y148" t="s">
        <v>525</v>
      </c>
      <c r="Z148">
        <v>0</v>
      </c>
      <c r="AA148">
        <v>0</v>
      </c>
      <c r="AB148">
        <v>8525081.7545979246</v>
      </c>
    </row>
    <row r="149" spans="25:28" x14ac:dyDescent="0.25">
      <c r="Y149" t="s">
        <v>520</v>
      </c>
      <c r="Z149">
        <v>0</v>
      </c>
      <c r="AA149">
        <v>0</v>
      </c>
      <c r="AB149">
        <v>-7562875.5407924727</v>
      </c>
    </row>
    <row r="150" spans="25:28" x14ac:dyDescent="0.25">
      <c r="Y150" t="s">
        <v>528</v>
      </c>
      <c r="Z150">
        <v>0</v>
      </c>
      <c r="AA150">
        <v>0</v>
      </c>
      <c r="AB150">
        <v>-6764473.9026428042</v>
      </c>
    </row>
    <row r="151" spans="25:28" x14ac:dyDescent="0.25">
      <c r="Y151" t="s">
        <v>514</v>
      </c>
      <c r="Z151">
        <v>-330.12179550882377</v>
      </c>
      <c r="AA151">
        <v>4907172.1076659216</v>
      </c>
      <c r="AB151">
        <v>6619022.9544495353</v>
      </c>
    </row>
    <row r="152" spans="25:28" x14ac:dyDescent="0.25">
      <c r="Y152" t="s">
        <v>512</v>
      </c>
      <c r="Z152">
        <v>-4406.5981987289542</v>
      </c>
      <c r="AA152">
        <v>1455697.0644691675</v>
      </c>
      <c r="AB152">
        <v>6203826.2136700805</v>
      </c>
    </row>
    <row r="153" spans="25:28" x14ac:dyDescent="0.25">
      <c r="Y153" t="s">
        <v>522</v>
      </c>
      <c r="Z153">
        <v>0</v>
      </c>
      <c r="AA153">
        <v>0</v>
      </c>
      <c r="AB153">
        <v>5577040.9756591842</v>
      </c>
    </row>
    <row r="154" spans="25:28" x14ac:dyDescent="0.25">
      <c r="Y154" t="s">
        <v>513</v>
      </c>
      <c r="Z154">
        <v>0</v>
      </c>
      <c r="AA154">
        <v>0</v>
      </c>
      <c r="AB154">
        <v>5315781.5153282555</v>
      </c>
    </row>
    <row r="155" spans="25:28" x14ac:dyDescent="0.25">
      <c r="Y155" t="s">
        <v>521</v>
      </c>
      <c r="Z155">
        <v>-55.621482972555661</v>
      </c>
      <c r="AA155">
        <v>2663643.8254527743</v>
      </c>
      <c r="AB155">
        <v>-3858494.7937612808</v>
      </c>
    </row>
    <row r="156" spans="25:28" x14ac:dyDescent="0.25">
      <c r="Y156" t="s">
        <v>526</v>
      </c>
      <c r="Z156">
        <v>-234.5908745378463</v>
      </c>
      <c r="AA156">
        <v>593066.55705970747</v>
      </c>
      <c r="AB156">
        <v>-1565854.8663955939</v>
      </c>
    </row>
    <row r="157" spans="25:28" x14ac:dyDescent="0.25">
      <c r="Y157" t="s">
        <v>515</v>
      </c>
      <c r="Z157">
        <v>0</v>
      </c>
      <c r="AA157">
        <v>0</v>
      </c>
      <c r="AB157">
        <v>639756.1971400748</v>
      </c>
    </row>
    <row r="158" spans="25:28" x14ac:dyDescent="0.25">
      <c r="Y158" t="s">
        <v>527</v>
      </c>
      <c r="Z158">
        <v>0</v>
      </c>
      <c r="AA158">
        <v>0</v>
      </c>
      <c r="AB158">
        <v>-99648.285131452998</v>
      </c>
    </row>
    <row r="159" spans="25:28" x14ac:dyDescent="0.25">
      <c r="Y159" t="s">
        <v>529</v>
      </c>
      <c r="Z159">
        <v>0</v>
      </c>
      <c r="AA159">
        <v>0</v>
      </c>
      <c r="AB159">
        <v>-47334.972429002504</v>
      </c>
    </row>
    <row r="160" spans="25:28" x14ac:dyDescent="0.25">
      <c r="Y160" t="s">
        <v>523</v>
      </c>
      <c r="Z160">
        <v>-3.7444554619269449E-3</v>
      </c>
      <c r="AA160">
        <v>19248.452397854799</v>
      </c>
      <c r="AB160">
        <v>-19251.437403400305</v>
      </c>
    </row>
    <row r="161" spans="1:28" x14ac:dyDescent="0.25">
      <c r="Y161" t="s">
        <v>519</v>
      </c>
      <c r="Z161">
        <v>0</v>
      </c>
      <c r="AA161">
        <v>1.5749190430290929E-8</v>
      </c>
      <c r="AB161">
        <v>-3.6907632340651803E-9</v>
      </c>
    </row>
    <row r="164" spans="1:28" x14ac:dyDescent="0.25">
      <c r="A164" t="s">
        <v>211</v>
      </c>
      <c r="Q164" t="s">
        <v>231</v>
      </c>
    </row>
    <row r="165" spans="1:28" x14ac:dyDescent="0.25">
      <c r="A165" t="s">
        <v>498</v>
      </c>
      <c r="B165" t="s">
        <v>426</v>
      </c>
      <c r="C165" t="s">
        <v>427</v>
      </c>
      <c r="Q165" t="s">
        <v>321</v>
      </c>
      <c r="R165" t="s">
        <v>549</v>
      </c>
      <c r="S165" t="s">
        <v>282</v>
      </c>
      <c r="T165" t="s">
        <v>189</v>
      </c>
      <c r="U165" t="s">
        <v>22</v>
      </c>
      <c r="V165" t="s">
        <v>81</v>
      </c>
      <c r="W165" t="s">
        <v>82</v>
      </c>
      <c r="X165" t="s">
        <v>33</v>
      </c>
      <c r="Y165" t="s">
        <v>87</v>
      </c>
      <c r="Z165" t="s">
        <v>388</v>
      </c>
      <c r="AA165" t="s">
        <v>80</v>
      </c>
    </row>
    <row r="166" spans="1:28" x14ac:dyDescent="0.25">
      <c r="A166" t="s">
        <v>499</v>
      </c>
      <c r="B166">
        <v>19463.583999090813</v>
      </c>
      <c r="C166">
        <v>4082379.6946979044</v>
      </c>
      <c r="Q166" t="s">
        <v>333</v>
      </c>
      <c r="S166">
        <v>1765925.0557954903</v>
      </c>
      <c r="T166">
        <v>-2289436.0427789232</v>
      </c>
      <c r="U166">
        <v>2808835.1474554967</v>
      </c>
      <c r="V166">
        <v>9263.818698670806</v>
      </c>
      <c r="W166">
        <v>178866.00673740002</v>
      </c>
    </row>
    <row r="167" spans="1:28" x14ac:dyDescent="0.25">
      <c r="A167" t="s">
        <v>500</v>
      </c>
      <c r="B167">
        <v>-155.61111070196696</v>
      </c>
      <c r="C167">
        <v>0</v>
      </c>
      <c r="Q167" t="s">
        <v>331</v>
      </c>
      <c r="S167">
        <v>2972627.8657196956</v>
      </c>
      <c r="T167">
        <v>1028987.4879151051</v>
      </c>
      <c r="U167">
        <v>14158410.891583238</v>
      </c>
      <c r="V167">
        <v>142288.02311253187</v>
      </c>
    </row>
    <row r="168" spans="1:28" x14ac:dyDescent="0.25">
      <c r="A168" t="s">
        <v>501</v>
      </c>
      <c r="B168">
        <v>-3138.8247654590969</v>
      </c>
      <c r="C168">
        <v>3919156.4261213485</v>
      </c>
      <c r="Q168" t="s">
        <v>386</v>
      </c>
      <c r="S168">
        <v>0</v>
      </c>
      <c r="T168">
        <v>19888388.888888888</v>
      </c>
      <c r="U168">
        <v>19888388.888888888</v>
      </c>
      <c r="Y168">
        <v>449.31506871961346</v>
      </c>
    </row>
    <row r="169" spans="1:28" x14ac:dyDescent="0.25">
      <c r="Q169" t="s">
        <v>345</v>
      </c>
      <c r="R169">
        <v>52820.056146566589</v>
      </c>
      <c r="S169">
        <v>1536249.4821362495</v>
      </c>
      <c r="T169">
        <v>1536249.4821362495</v>
      </c>
      <c r="U169">
        <v>1536249.4821362495</v>
      </c>
      <c r="X169">
        <v>-16261578.267169133</v>
      </c>
    </row>
    <row r="170" spans="1:28" x14ac:dyDescent="0.25">
      <c r="Q170" t="s">
        <v>352</v>
      </c>
      <c r="S170">
        <v>401372.16540526401</v>
      </c>
      <c r="T170">
        <v>431078.1354408951</v>
      </c>
      <c r="U170">
        <v>431078.1354408951</v>
      </c>
      <c r="X170">
        <v>-6923119.3436523974</v>
      </c>
    </row>
    <row r="171" spans="1:28" x14ac:dyDescent="0.25">
      <c r="Q171" t="s">
        <v>347</v>
      </c>
      <c r="R171">
        <v>1201611.6883002818</v>
      </c>
      <c r="S171">
        <v>2442148.6288658129</v>
      </c>
      <c r="T171">
        <v>748034.19385554548</v>
      </c>
      <c r="U171">
        <v>748034.19385554548</v>
      </c>
      <c r="X171">
        <v>13618256.549448473</v>
      </c>
    </row>
    <row r="172" spans="1:28" x14ac:dyDescent="0.25">
      <c r="Q172" t="s">
        <v>343</v>
      </c>
      <c r="R172">
        <v>464877.13134093437</v>
      </c>
      <c r="S172">
        <v>349310.04967762181</v>
      </c>
      <c r="T172">
        <v>210800.25234017172</v>
      </c>
      <c r="U172">
        <v>210800.25234017172</v>
      </c>
      <c r="X172">
        <v>6203826.2136700805</v>
      </c>
    </row>
    <row r="173" spans="1:28" x14ac:dyDescent="0.25">
      <c r="Q173" t="s">
        <v>339</v>
      </c>
      <c r="S173">
        <v>1170000</v>
      </c>
      <c r="T173">
        <v>971441.28179999988</v>
      </c>
      <c r="U173">
        <v>1016140.1527859514</v>
      </c>
      <c r="W173">
        <v>971441.28179999988</v>
      </c>
    </row>
    <row r="174" spans="1:28" x14ac:dyDescent="0.25">
      <c r="Q174" t="s">
        <v>336</v>
      </c>
      <c r="S174">
        <v>1200000</v>
      </c>
      <c r="T174">
        <v>-2392088.2368460959</v>
      </c>
      <c r="U174">
        <v>7197177.9814100228</v>
      </c>
      <c r="V174">
        <v>56302.323020482647</v>
      </c>
    </row>
    <row r="175" spans="1:28" x14ac:dyDescent="0.25">
      <c r="Q175" t="s">
        <v>359</v>
      </c>
      <c r="S175">
        <v>235000.00000000006</v>
      </c>
      <c r="T175">
        <v>34382.140653557464</v>
      </c>
      <c r="U175">
        <v>34382.140653557464</v>
      </c>
      <c r="X175">
        <v>-1565854.8663955939</v>
      </c>
    </row>
    <row r="176" spans="1:28" x14ac:dyDescent="0.25">
      <c r="Q176" t="s">
        <v>357</v>
      </c>
      <c r="R176">
        <v>22.519249005582424</v>
      </c>
      <c r="S176">
        <v>1661344.20180108</v>
      </c>
      <c r="T176">
        <v>1450134.8635773794</v>
      </c>
      <c r="U176">
        <v>1566131.1233704695</v>
      </c>
      <c r="X176">
        <v>31767244.945988875</v>
      </c>
    </row>
    <row r="177" spans="1:27" x14ac:dyDescent="0.25">
      <c r="Q177" t="s">
        <v>360</v>
      </c>
      <c r="R177">
        <v>171199.93498359181</v>
      </c>
      <c r="S177">
        <v>222000</v>
      </c>
      <c r="T177">
        <v>1992.8556736054138</v>
      </c>
      <c r="U177">
        <v>1992.8556736054138</v>
      </c>
      <c r="X177">
        <v>-99648.285131452998</v>
      </c>
    </row>
    <row r="178" spans="1:27" x14ac:dyDescent="0.25">
      <c r="Q178" t="s">
        <v>362</v>
      </c>
      <c r="R178">
        <v>0.25222835643216968</v>
      </c>
      <c r="S178">
        <v>538626.53487441794</v>
      </c>
      <c r="T178">
        <v>169800.94898695519</v>
      </c>
      <c r="U178">
        <v>169800.94898695519</v>
      </c>
      <c r="X178">
        <v>-6764473.9026428042</v>
      </c>
    </row>
    <row r="179" spans="1:27" x14ac:dyDescent="0.25">
      <c r="Q179" t="s">
        <v>263</v>
      </c>
      <c r="S179">
        <v>0</v>
      </c>
      <c r="T179">
        <v>227799218.0730952</v>
      </c>
      <c r="U179">
        <v>227799218.0730952</v>
      </c>
      <c r="Y179">
        <v>5145.5187126970341</v>
      </c>
    </row>
    <row r="180" spans="1:27" x14ac:dyDescent="0.25">
      <c r="A180" t="s">
        <v>215</v>
      </c>
      <c r="Q180" t="s">
        <v>375</v>
      </c>
      <c r="S180">
        <v>136979.70130796541</v>
      </c>
      <c r="T180">
        <v>136979.70130796541</v>
      </c>
      <c r="U180">
        <v>169196.19615332622</v>
      </c>
      <c r="AA180">
        <v>3573.5426211951635</v>
      </c>
    </row>
    <row r="181" spans="1:27" x14ac:dyDescent="0.25">
      <c r="A181" t="s">
        <v>497</v>
      </c>
      <c r="B181">
        <v>1</v>
      </c>
      <c r="C181">
        <v>2</v>
      </c>
      <c r="D181">
        <v>3</v>
      </c>
      <c r="Q181" t="s">
        <v>367</v>
      </c>
      <c r="R181">
        <v>345507</v>
      </c>
      <c r="S181">
        <v>2995590.6752186837</v>
      </c>
      <c r="T181">
        <v>2474348.8252890161</v>
      </c>
      <c r="U181">
        <v>7282623.9554939512</v>
      </c>
      <c r="AA181">
        <v>6961.0074282972109</v>
      </c>
    </row>
    <row r="182" spans="1:27" x14ac:dyDescent="0.25">
      <c r="A182" t="s">
        <v>81</v>
      </c>
      <c r="B182">
        <v>535390.98268975725</v>
      </c>
      <c r="C182">
        <v>517591.92227407318</v>
      </c>
      <c r="D182">
        <v>555631.19061420276</v>
      </c>
      <c r="Q182" t="s">
        <v>337</v>
      </c>
      <c r="S182">
        <v>5335230.2335115774</v>
      </c>
      <c r="T182">
        <v>-6001123.1037682462</v>
      </c>
      <c r="U182">
        <v>28726013.158148579</v>
      </c>
      <c r="V182">
        <v>273061.08933549467</v>
      </c>
    </row>
    <row r="183" spans="1:27" x14ac:dyDescent="0.25">
      <c r="A183" t="s">
        <v>82</v>
      </c>
      <c r="B183">
        <v>66921.494850570394</v>
      </c>
      <c r="C183">
        <v>0</v>
      </c>
      <c r="D183">
        <v>0</v>
      </c>
      <c r="Q183" t="s">
        <v>369</v>
      </c>
      <c r="S183">
        <v>10594172.56762787</v>
      </c>
      <c r="T183">
        <v>10594172.56762787</v>
      </c>
      <c r="U183">
        <v>10594172.56762787</v>
      </c>
      <c r="AA183">
        <v>-246470.15580504388</v>
      </c>
    </row>
    <row r="184" spans="1:27" x14ac:dyDescent="0.25">
      <c r="A184" t="s">
        <v>33</v>
      </c>
      <c r="B184">
        <v>712675.81369516649</v>
      </c>
      <c r="C184">
        <v>0</v>
      </c>
      <c r="D184">
        <v>0</v>
      </c>
      <c r="Q184" t="s">
        <v>371</v>
      </c>
      <c r="S184">
        <v>1604984.7605762135</v>
      </c>
      <c r="T184">
        <v>-24776.837570759701</v>
      </c>
      <c r="U184">
        <v>13172757.593257885</v>
      </c>
      <c r="AA184">
        <v>6949.1697631949901</v>
      </c>
    </row>
    <row r="185" spans="1:27" x14ac:dyDescent="0.25">
      <c r="A185" t="s">
        <v>80</v>
      </c>
      <c r="B185">
        <v>849071.54898841935</v>
      </c>
      <c r="C185">
        <v>0</v>
      </c>
      <c r="D185">
        <v>0</v>
      </c>
      <c r="Q185" t="s">
        <v>384</v>
      </c>
      <c r="S185">
        <v>4619120</v>
      </c>
      <c r="T185">
        <v>4619120</v>
      </c>
      <c r="U185">
        <v>4619120</v>
      </c>
      <c r="AA185">
        <v>0</v>
      </c>
    </row>
    <row r="186" spans="1:27" x14ac:dyDescent="0.25">
      <c r="Q186" t="s">
        <v>355</v>
      </c>
      <c r="S186">
        <v>20207347.840548664</v>
      </c>
      <c r="T186">
        <v>20728482.972762365</v>
      </c>
      <c r="U186">
        <v>22935349.619647246</v>
      </c>
      <c r="X186">
        <v>36394950.885479078</v>
      </c>
      <c r="AA186">
        <v>6509.9248643570172</v>
      </c>
    </row>
    <row r="192" spans="1:27" x14ac:dyDescent="0.25">
      <c r="A192" t="s">
        <v>216</v>
      </c>
    </row>
    <row r="193" spans="1:35" x14ac:dyDescent="0.25">
      <c r="A193" t="s">
        <v>497</v>
      </c>
      <c r="B193">
        <v>1</v>
      </c>
      <c r="C193">
        <v>2</v>
      </c>
      <c r="D193">
        <v>3</v>
      </c>
    </row>
    <row r="194" spans="1:35" x14ac:dyDescent="0.25">
      <c r="A194" t="s">
        <v>81</v>
      </c>
      <c r="B194">
        <v>506677.44264004141</v>
      </c>
      <c r="C194">
        <v>484147.94757208938</v>
      </c>
      <c r="D194">
        <v>555198.31554390036</v>
      </c>
    </row>
    <row r="195" spans="1:35" x14ac:dyDescent="0.25">
      <c r="A195" t="s">
        <v>82</v>
      </c>
      <c r="B195">
        <v>66921.494850570394</v>
      </c>
      <c r="C195">
        <v>0</v>
      </c>
      <c r="D195">
        <v>0</v>
      </c>
    </row>
    <row r="196" spans="1:35" x14ac:dyDescent="0.25">
      <c r="A196" t="s">
        <v>33</v>
      </c>
      <c r="B196">
        <v>712675.81369516649</v>
      </c>
      <c r="C196">
        <v>0</v>
      </c>
      <c r="D196">
        <v>0</v>
      </c>
    </row>
    <row r="197" spans="1:35" x14ac:dyDescent="0.25">
      <c r="A197" t="s">
        <v>80</v>
      </c>
      <c r="B197">
        <v>849071.54898841935</v>
      </c>
      <c r="C197">
        <v>0</v>
      </c>
      <c r="D197">
        <v>0</v>
      </c>
    </row>
    <row r="203" spans="1:35" x14ac:dyDescent="0.25">
      <c r="A203" t="s">
        <v>218</v>
      </c>
      <c r="B203">
        <v>9158955.7779123168</v>
      </c>
    </row>
    <row r="204" spans="1:35" x14ac:dyDescent="0.25">
      <c r="A204">
        <f>COUNTIF(A207:A266,"*")</f>
        <v>42</v>
      </c>
    </row>
    <row r="205" spans="1:35" x14ac:dyDescent="0.25">
      <c r="A205" t="s">
        <v>219</v>
      </c>
      <c r="Q205" t="s">
        <v>230</v>
      </c>
    </row>
    <row r="206" spans="1:35" x14ac:dyDescent="0.25">
      <c r="A206" t="s">
        <v>548</v>
      </c>
      <c r="B206" t="s">
        <v>398</v>
      </c>
      <c r="C206" t="s">
        <v>399</v>
      </c>
      <c r="D206" t="s">
        <v>400</v>
      </c>
      <c r="E206" t="s">
        <v>401</v>
      </c>
      <c r="F206" t="s">
        <v>402</v>
      </c>
      <c r="G206" t="s">
        <v>403</v>
      </c>
      <c r="H206" t="s">
        <v>404</v>
      </c>
      <c r="I206" t="s">
        <v>405</v>
      </c>
      <c r="J206" t="s">
        <v>406</v>
      </c>
      <c r="K206" t="s">
        <v>407</v>
      </c>
      <c r="L206" t="s">
        <v>408</v>
      </c>
      <c r="M206" t="s">
        <v>492</v>
      </c>
      <c r="N206" t="s">
        <v>397</v>
      </c>
      <c r="O206" t="s">
        <v>497</v>
      </c>
      <c r="R206" t="s">
        <v>319</v>
      </c>
      <c r="S206" t="s">
        <v>320</v>
      </c>
      <c r="T206" t="s">
        <v>321</v>
      </c>
      <c r="U206" t="s">
        <v>317</v>
      </c>
      <c r="V206" t="s">
        <v>322</v>
      </c>
      <c r="W206" t="s">
        <v>323</v>
      </c>
      <c r="X206" t="s">
        <v>115</v>
      </c>
      <c r="Y206" t="s">
        <v>98</v>
      </c>
      <c r="Z206" t="s">
        <v>99</v>
      </c>
      <c r="AA206" t="s">
        <v>100</v>
      </c>
      <c r="AB206" t="s">
        <v>324</v>
      </c>
      <c r="AC206" t="s">
        <v>325</v>
      </c>
      <c r="AD206" t="s">
        <v>326</v>
      </c>
      <c r="AE206" t="s">
        <v>282</v>
      </c>
      <c r="AF206" t="s">
        <v>248</v>
      </c>
      <c r="AG206" t="s">
        <v>327</v>
      </c>
      <c r="AH206" t="s">
        <v>328</v>
      </c>
      <c r="AI206" t="s">
        <v>329</v>
      </c>
    </row>
    <row r="207" spans="1:35" x14ac:dyDescent="0.25">
      <c r="A207" t="s">
        <v>332</v>
      </c>
      <c r="B207">
        <v>372722.65419692895</v>
      </c>
      <c r="C207">
        <v>1477.8709797825641</v>
      </c>
      <c r="D207">
        <v>397.05666683323375</v>
      </c>
      <c r="E207">
        <v>-1393.3552721574506</v>
      </c>
      <c r="F207">
        <v>2736732.922620635</v>
      </c>
      <c r="G207">
        <v>205683.03455288344</v>
      </c>
      <c r="H207">
        <v>862930.31764008047</v>
      </c>
      <c r="I207">
        <v>-1569.3582370697911</v>
      </c>
      <c r="J207">
        <v>3.0642038285211633E-3</v>
      </c>
      <c r="K207">
        <v>-5.5726788363416778E-6</v>
      </c>
      <c r="L207">
        <v>-1.8186384288382863E-3</v>
      </c>
      <c r="M207" t="s">
        <v>333</v>
      </c>
      <c r="N207" t="s">
        <v>83</v>
      </c>
      <c r="O207" t="s">
        <v>81</v>
      </c>
      <c r="Q207" t="s">
        <v>270</v>
      </c>
      <c r="R207">
        <v>1028987.4879151051</v>
      </c>
      <c r="S207" t="s">
        <v>330</v>
      </c>
      <c r="T207" t="s">
        <v>331</v>
      </c>
      <c r="U207" t="s">
        <v>81</v>
      </c>
      <c r="V207">
        <v>-1611426.7929704995</v>
      </c>
      <c r="W207">
        <v>-1969985.1223321273</v>
      </c>
      <c r="X207">
        <v>142288.02311253187</v>
      </c>
      <c r="Y207">
        <v>17.569444444444759</v>
      </c>
      <c r="Z207">
        <v>100</v>
      </c>
      <c r="AA207">
        <v>7.0465716049382747</v>
      </c>
      <c r="AB207">
        <v>0</v>
      </c>
      <c r="AC207">
        <v>1</v>
      </c>
      <c r="AD207">
        <v>-7.0465716049382747</v>
      </c>
      <c r="AE207">
        <v>2972627.8657196956</v>
      </c>
      <c r="AF207">
        <v>1002642.743387568</v>
      </c>
      <c r="AG207">
        <v>142288.02311253187</v>
      </c>
      <c r="AH207">
        <v>1884309.890551134</v>
      </c>
      <c r="AI207">
        <v>9.0999999999999998E-2</v>
      </c>
    </row>
    <row r="208" spans="1:35" x14ac:dyDescent="0.25">
      <c r="A208" t="s">
        <v>270</v>
      </c>
      <c r="B208">
        <v>1166522.7630990136</v>
      </c>
      <c r="C208">
        <v>-1693.3543274069132</v>
      </c>
      <c r="D208">
        <v>-3468.3488141195394</v>
      </c>
      <c r="E208">
        <v>-3147.9487965394692</v>
      </c>
      <c r="F208">
        <v>134035.4968729564</v>
      </c>
      <c r="G208">
        <v>-420958.31945575844</v>
      </c>
      <c r="H208">
        <v>1884309.890551134</v>
      </c>
      <c r="I208">
        <v>396999.84649383905</v>
      </c>
      <c r="J208">
        <v>6.691049627897439E-3</v>
      </c>
      <c r="K208">
        <v>1.4097180556543164E-3</v>
      </c>
      <c r="L208">
        <v>0.21068713192272309</v>
      </c>
      <c r="M208" t="s">
        <v>331</v>
      </c>
      <c r="N208" t="s">
        <v>84</v>
      </c>
      <c r="O208" t="s">
        <v>81</v>
      </c>
      <c r="Q208" t="s">
        <v>332</v>
      </c>
      <c r="R208">
        <v>-2307400.0427789232</v>
      </c>
      <c r="S208" t="s">
        <v>330</v>
      </c>
      <c r="T208" t="s">
        <v>333</v>
      </c>
      <c r="U208" t="s">
        <v>81</v>
      </c>
      <c r="V208">
        <v>464580.833179635</v>
      </c>
      <c r="W208">
        <v>432624.833179635</v>
      </c>
      <c r="X208">
        <v>9263.818698670806</v>
      </c>
      <c r="Y208">
        <v>-309.20335841785987</v>
      </c>
      <c r="Z208">
        <v>-100</v>
      </c>
      <c r="AA208">
        <v>-270.21419999999995</v>
      </c>
      <c r="AB208">
        <v>-450</v>
      </c>
      <c r="AC208">
        <v>1</v>
      </c>
      <c r="AD208">
        <v>-179.78580000000005</v>
      </c>
      <c r="AE208">
        <v>1665503.0557954903</v>
      </c>
      <c r="AF208">
        <v>1665503.0557954903</v>
      </c>
      <c r="AG208">
        <v>9263.818698670806</v>
      </c>
      <c r="AH208">
        <v>862930.31764008047</v>
      </c>
      <c r="AI208">
        <v>0</v>
      </c>
    </row>
    <row r="209" spans="1:35" x14ac:dyDescent="0.25">
      <c r="A209" t="s">
        <v>334</v>
      </c>
      <c r="B209">
        <v>-1616699.8518566831</v>
      </c>
      <c r="C209">
        <v>-4719.5371637999542</v>
      </c>
      <c r="D209">
        <v>-12216.359737899073</v>
      </c>
      <c r="E209">
        <v>-4789.1933607259853</v>
      </c>
      <c r="F209">
        <v>2754657.1473626322</v>
      </c>
      <c r="G209">
        <v>803253.91714305058</v>
      </c>
      <c r="H209">
        <v>1698910.2553535551</v>
      </c>
      <c r="I209">
        <v>145595.39165845508</v>
      </c>
      <c r="J209">
        <v>6.0327087858089608E-3</v>
      </c>
      <c r="K209">
        <v>5.1699882066370308E-4</v>
      </c>
      <c r="L209">
        <v>8.5699283525812631E-2</v>
      </c>
      <c r="M209" t="s">
        <v>336</v>
      </c>
      <c r="N209" t="s">
        <v>79</v>
      </c>
      <c r="O209" t="s">
        <v>81</v>
      </c>
      <c r="Q209" t="s">
        <v>334</v>
      </c>
      <c r="R209">
        <v>-2392088.2368460959</v>
      </c>
      <c r="S209" t="s">
        <v>335</v>
      </c>
      <c r="T209" t="s">
        <v>336</v>
      </c>
      <c r="U209" t="s">
        <v>81</v>
      </c>
      <c r="V209">
        <v>-841735.16551029822</v>
      </c>
      <c r="W209">
        <v>-1150113.0474431238</v>
      </c>
      <c r="X209">
        <v>56302.323020482647</v>
      </c>
      <c r="Y209">
        <v>0</v>
      </c>
      <c r="Z209">
        <v>2000000</v>
      </c>
      <c r="AA209">
        <v>-1150113.0474431238</v>
      </c>
      <c r="AB209">
        <v>-1200000</v>
      </c>
      <c r="AC209">
        <v>1</v>
      </c>
      <c r="AD209">
        <v>-49886.952556876233</v>
      </c>
      <c r="AE209">
        <v>1200000</v>
      </c>
      <c r="AF209">
        <v>49886.952556876233</v>
      </c>
      <c r="AG209">
        <v>56302.323020482647</v>
      </c>
      <c r="AH209">
        <v>1698910.2553535551</v>
      </c>
      <c r="AI209">
        <v>0.79600000000000004</v>
      </c>
    </row>
    <row r="210" spans="1:35" x14ac:dyDescent="0.25">
      <c r="A210" t="s">
        <v>272</v>
      </c>
      <c r="B210">
        <v>815398.95714852342</v>
      </c>
      <c r="C210">
        <v>-338.28622998185779</v>
      </c>
      <c r="D210">
        <v>-638.44065411813745</v>
      </c>
      <c r="E210">
        <v>1296.6459056915901</v>
      </c>
      <c r="F210">
        <v>-1457185.1809015428</v>
      </c>
      <c r="G210">
        <v>-367434.70176398358</v>
      </c>
      <c r="H210">
        <v>287612.64842166926</v>
      </c>
      <c r="I210">
        <v>39888.188365487244</v>
      </c>
      <c r="J210">
        <v>1.0212919402750353E-3</v>
      </c>
      <c r="K210">
        <v>1.4164010349822752E-4</v>
      </c>
      <c r="L210">
        <v>0.13868718425417478</v>
      </c>
      <c r="M210" t="s">
        <v>337</v>
      </c>
      <c r="N210" t="s">
        <v>79</v>
      </c>
      <c r="O210" t="s">
        <v>81</v>
      </c>
      <c r="Q210" t="s">
        <v>272</v>
      </c>
      <c r="R210">
        <v>-2467027.6975238849</v>
      </c>
      <c r="S210" t="s">
        <v>335</v>
      </c>
      <c r="T210" t="s">
        <v>337</v>
      </c>
      <c r="U210" t="s">
        <v>81</v>
      </c>
      <c r="V210">
        <v>5565.7986934528453</v>
      </c>
      <c r="W210">
        <v>820314.63134601375</v>
      </c>
      <c r="X210">
        <v>10284.168112702671</v>
      </c>
      <c r="Y210">
        <v>0</v>
      </c>
      <c r="Z210">
        <v>2500000</v>
      </c>
      <c r="AA210">
        <v>820314.63134601375</v>
      </c>
      <c r="AB210">
        <v>-1000000</v>
      </c>
      <c r="AC210">
        <v>1</v>
      </c>
      <c r="AD210">
        <v>-1820314.6313460139</v>
      </c>
      <c r="AE210">
        <v>1820314.6313460139</v>
      </c>
      <c r="AF210">
        <v>1820314.6313460139</v>
      </c>
      <c r="AG210">
        <v>10284.168112702671</v>
      </c>
      <c r="AH210">
        <v>287612.64842166926</v>
      </c>
      <c r="AI210">
        <v>0</v>
      </c>
    </row>
    <row r="211" spans="1:35" x14ac:dyDescent="0.25">
      <c r="A211" t="s">
        <v>273</v>
      </c>
      <c r="B211">
        <v>9258865.4293443002</v>
      </c>
      <c r="C211">
        <v>6186.1020113271779</v>
      </c>
      <c r="D211">
        <v>2475.0555984062185</v>
      </c>
      <c r="E211">
        <v>-3178.7930931634119</v>
      </c>
      <c r="F211">
        <v>58079.14805045072</v>
      </c>
      <c r="G211">
        <v>-1169039.7427589833</v>
      </c>
      <c r="H211">
        <v>3030258.7639047159</v>
      </c>
      <c r="I211">
        <v>1216760.1154755931</v>
      </c>
      <c r="J211">
        <v>1.076023210212375E-2</v>
      </c>
      <c r="K211">
        <v>4.3206281295441098E-3</v>
      </c>
      <c r="L211">
        <v>0.41568063509395659</v>
      </c>
      <c r="M211" t="s">
        <v>337</v>
      </c>
      <c r="N211" t="s">
        <v>79</v>
      </c>
      <c r="O211" t="s">
        <v>81</v>
      </c>
      <c r="Q211" t="s">
        <v>273</v>
      </c>
      <c r="R211">
        <v>-3534095.4062443613</v>
      </c>
      <c r="S211" t="s">
        <v>335</v>
      </c>
      <c r="T211" t="s">
        <v>337</v>
      </c>
      <c r="U211" t="s">
        <v>81</v>
      </c>
      <c r="V211">
        <v>-41240.474767614534</v>
      </c>
      <c r="W211">
        <v>514915.60216556361</v>
      </c>
      <c r="X211">
        <v>262776.92122279201</v>
      </c>
      <c r="Y211">
        <v>6.2607449550294283E-3</v>
      </c>
      <c r="Z211">
        <v>4500000</v>
      </c>
      <c r="AA211">
        <v>514915.60216556361</v>
      </c>
      <c r="AB211">
        <v>-3000000</v>
      </c>
      <c r="AC211">
        <v>1</v>
      </c>
      <c r="AD211">
        <v>-3514915.6021655635</v>
      </c>
      <c r="AE211">
        <v>3514915.6021655635</v>
      </c>
      <c r="AF211">
        <v>3514915.6021655635</v>
      </c>
      <c r="AG211">
        <v>262776.92122279201</v>
      </c>
      <c r="AH211">
        <v>3030258.7639047159</v>
      </c>
      <c r="AI211">
        <v>2E-3</v>
      </c>
    </row>
    <row r="212" spans="1:35" x14ac:dyDescent="0.25">
      <c r="A212" t="s">
        <v>340</v>
      </c>
      <c r="B212">
        <v>-38694.1589821128</v>
      </c>
      <c r="C212">
        <v>29.285643553599837</v>
      </c>
      <c r="D212">
        <v>-13.641780778116029</v>
      </c>
      <c r="E212">
        <v>-27.494669923192355</v>
      </c>
      <c r="F212">
        <v>81865.475444624288</v>
      </c>
      <c r="G212">
        <v>1314.6138474199633</v>
      </c>
      <c r="H212">
        <v>50792.960582682696</v>
      </c>
      <c r="I212">
        <v>6224.9708294982411</v>
      </c>
      <c r="J212">
        <v>1.8036216957241817E-4</v>
      </c>
      <c r="K212">
        <v>2.2104426114434987E-5</v>
      </c>
      <c r="L212">
        <v>0.12255577855842832</v>
      </c>
      <c r="M212" t="s">
        <v>333</v>
      </c>
      <c r="N212" t="s">
        <v>79</v>
      </c>
      <c r="O212" t="s">
        <v>82</v>
      </c>
      <c r="Q212" t="s">
        <v>338</v>
      </c>
      <c r="R212">
        <v>971441.28179999988</v>
      </c>
      <c r="S212" t="s">
        <v>335</v>
      </c>
      <c r="T212" t="s">
        <v>339</v>
      </c>
      <c r="U212" t="s">
        <v>82</v>
      </c>
      <c r="V212">
        <v>-1094114.7182</v>
      </c>
      <c r="W212">
        <v>-1046433.0936623763</v>
      </c>
      <c r="X212">
        <v>971441.28179999988</v>
      </c>
      <c r="Y212">
        <v>0</v>
      </c>
      <c r="Z212">
        <v>7000000</v>
      </c>
      <c r="AA212">
        <v>-1046433.0936623763</v>
      </c>
      <c r="AB212">
        <v>-1170000</v>
      </c>
      <c r="AC212">
        <v>1</v>
      </c>
      <c r="AD212">
        <v>-123566.90633762372</v>
      </c>
      <c r="AE212">
        <v>1170000</v>
      </c>
      <c r="AF212">
        <v>123566.90633762372</v>
      </c>
      <c r="AG212">
        <v>971441.28179999988</v>
      </c>
      <c r="AH212">
        <v>477954.06585133495</v>
      </c>
      <c r="AI212">
        <v>0.32200000000000001</v>
      </c>
    </row>
    <row r="213" spans="1:35" x14ac:dyDescent="0.25">
      <c r="A213" t="s">
        <v>338</v>
      </c>
      <c r="B213">
        <v>1268576.1608105241</v>
      </c>
      <c r="C213">
        <v>1147.0798584085405</v>
      </c>
      <c r="D213">
        <v>1056.1248483509703</v>
      </c>
      <c r="E213">
        <v>-459.17183726082726</v>
      </c>
      <c r="F213">
        <v>1420868.3146027315</v>
      </c>
      <c r="G213">
        <v>163108.13054621749</v>
      </c>
      <c r="H213">
        <v>477954.06585133495</v>
      </c>
      <c r="I213">
        <v>24064.202168012951</v>
      </c>
      <c r="J213">
        <v>1.6971806975609881E-3</v>
      </c>
      <c r="K213">
        <v>8.545026047432E-5</v>
      </c>
      <c r="L213">
        <v>5.0348357483160022E-2</v>
      </c>
      <c r="M213" t="s">
        <v>339</v>
      </c>
      <c r="N213" t="s">
        <v>79</v>
      </c>
      <c r="O213" t="s">
        <v>82</v>
      </c>
      <c r="Q213" t="s">
        <v>340</v>
      </c>
      <c r="R213">
        <v>17964</v>
      </c>
      <c r="S213" t="s">
        <v>341</v>
      </c>
      <c r="T213" t="s">
        <v>333</v>
      </c>
      <c r="U213" t="s">
        <v>82</v>
      </c>
      <c r="V213">
        <v>-82458</v>
      </c>
      <c r="W213">
        <v>-82458</v>
      </c>
      <c r="X213">
        <v>178866.00673740002</v>
      </c>
      <c r="Y213">
        <v>99315.000000000029</v>
      </c>
      <c r="Z213">
        <v>150000</v>
      </c>
      <c r="AA213">
        <v>17964</v>
      </c>
      <c r="AB213">
        <v>0</v>
      </c>
      <c r="AC213">
        <v>1</v>
      </c>
      <c r="AD213">
        <v>-17964</v>
      </c>
      <c r="AE213">
        <v>100422</v>
      </c>
      <c r="AF213">
        <v>17964</v>
      </c>
      <c r="AG213">
        <v>178866.00673740002</v>
      </c>
      <c r="AH213">
        <v>50792.960582682696</v>
      </c>
      <c r="AI213">
        <v>0.20699999999999999</v>
      </c>
    </row>
    <row r="214" spans="1:35" x14ac:dyDescent="0.25">
      <c r="A214" t="s">
        <v>344</v>
      </c>
      <c r="B214">
        <v>211907.87949348913</v>
      </c>
      <c r="C214">
        <v>237.06717936837322</v>
      </c>
      <c r="D214">
        <v>268.15106517674576</v>
      </c>
      <c r="E214">
        <v>-557.52645639058278</v>
      </c>
      <c r="F214">
        <v>524409.35338254413</v>
      </c>
      <c r="G214">
        <v>57751.278701561976</v>
      </c>
      <c r="H214">
        <v>210793.31426332207</v>
      </c>
      <c r="I214">
        <v>-13374.45798574929</v>
      </c>
      <c r="J214">
        <v>7.4851197992297262E-4</v>
      </c>
      <c r="K214">
        <v>-4.7491743570216789E-5</v>
      </c>
      <c r="L214">
        <v>-6.3448207702840057E-2</v>
      </c>
      <c r="M214" t="s">
        <v>345</v>
      </c>
      <c r="N214" t="s">
        <v>85</v>
      </c>
      <c r="O214" t="s">
        <v>33</v>
      </c>
      <c r="Q214" t="s">
        <v>342</v>
      </c>
      <c r="R214">
        <v>210800.25234017172</v>
      </c>
      <c r="S214" t="s">
        <v>341</v>
      </c>
      <c r="T214" t="s">
        <v>343</v>
      </c>
      <c r="U214" t="s">
        <v>33</v>
      </c>
      <c r="V214">
        <v>-137459.4702906133</v>
      </c>
      <c r="W214">
        <v>-138509.79733745009</v>
      </c>
      <c r="X214">
        <v>6203826.2136700805</v>
      </c>
      <c r="Y214">
        <v>352916.72496409609</v>
      </c>
      <c r="Z214">
        <v>890000</v>
      </c>
      <c r="AA214">
        <v>210800.25234017172</v>
      </c>
      <c r="AB214">
        <v>0</v>
      </c>
      <c r="AC214">
        <v>1</v>
      </c>
      <c r="AD214">
        <v>-210800.25234017172</v>
      </c>
      <c r="AE214">
        <v>349310.04967762181</v>
      </c>
      <c r="AF214">
        <v>210800.25234017172</v>
      </c>
      <c r="AG214">
        <v>6203826.2136700805</v>
      </c>
      <c r="AH214">
        <v>329631.96272441954</v>
      </c>
      <c r="AI214">
        <v>5.8999999999999997E-2</v>
      </c>
    </row>
    <row r="215" spans="1:35" x14ac:dyDescent="0.25">
      <c r="A215" t="s">
        <v>348</v>
      </c>
      <c r="B215">
        <v>1241581.7861674717</v>
      </c>
      <c r="C215">
        <v>741.05284581117121</v>
      </c>
      <c r="D215">
        <v>2894.094369255678</v>
      </c>
      <c r="E215">
        <v>383.65046461124132</v>
      </c>
      <c r="F215">
        <v>931240.12260022841</v>
      </c>
      <c r="G215">
        <v>704009.93505892297</v>
      </c>
      <c r="H215">
        <v>836275.10177793039</v>
      </c>
      <c r="I215">
        <v>125739.86898559809</v>
      </c>
      <c r="J215">
        <v>2.9695530637662217E-3</v>
      </c>
      <c r="K215">
        <v>4.4649328001026477E-4</v>
      </c>
      <c r="L215">
        <v>0.15035706398321969</v>
      </c>
      <c r="M215" t="s">
        <v>345</v>
      </c>
      <c r="N215" t="s">
        <v>85</v>
      </c>
      <c r="O215" t="s">
        <v>33</v>
      </c>
      <c r="Q215" t="s">
        <v>344</v>
      </c>
      <c r="R215">
        <v>456266.106059051</v>
      </c>
      <c r="S215" t="s">
        <v>341</v>
      </c>
      <c r="T215" t="s">
        <v>345</v>
      </c>
      <c r="U215" t="s">
        <v>33</v>
      </c>
      <c r="V215">
        <v>113132.53732679802</v>
      </c>
      <c r="W215">
        <v>112575.3378390916</v>
      </c>
      <c r="X215">
        <v>5315781.5153282555</v>
      </c>
      <c r="Y215">
        <v>320498.553935748</v>
      </c>
      <c r="Z215">
        <v>700000</v>
      </c>
      <c r="AA215">
        <v>456266.106059051</v>
      </c>
      <c r="AB215">
        <v>0</v>
      </c>
      <c r="AC215">
        <v>1</v>
      </c>
      <c r="AD215">
        <v>-456266.106059051</v>
      </c>
      <c r="AE215">
        <v>456266.106059051</v>
      </c>
      <c r="AF215">
        <v>456266.106059051</v>
      </c>
      <c r="AG215">
        <v>5315781.5153282555</v>
      </c>
      <c r="AH215">
        <v>210793.31426332207</v>
      </c>
      <c r="AI215">
        <v>0</v>
      </c>
    </row>
    <row r="216" spans="1:35" x14ac:dyDescent="0.25">
      <c r="A216" t="s">
        <v>350</v>
      </c>
      <c r="B216">
        <v>-2102285.2404775731</v>
      </c>
      <c r="C216">
        <v>-1413.7700809175199</v>
      </c>
      <c r="D216">
        <v>-1749.7929764496093</v>
      </c>
      <c r="E216">
        <v>-1515.0908298549543</v>
      </c>
      <c r="F216">
        <v>1043648.1433009605</v>
      </c>
      <c r="G216">
        <v>685835.98714810226</v>
      </c>
      <c r="H216">
        <v>545522.16313805792</v>
      </c>
      <c r="I216">
        <v>11331.396102879873</v>
      </c>
      <c r="J216">
        <v>1.9371101775659105E-3</v>
      </c>
      <c r="K216">
        <v>4.0236976973865427E-5</v>
      </c>
      <c r="L216">
        <v>2.0771651215227005E-2</v>
      </c>
      <c r="M216" t="s">
        <v>345</v>
      </c>
      <c r="N216" t="s">
        <v>85</v>
      </c>
      <c r="O216" t="s">
        <v>33</v>
      </c>
      <c r="Q216" t="s">
        <v>346</v>
      </c>
      <c r="R216">
        <v>238396.037922597</v>
      </c>
      <c r="S216" t="s">
        <v>341</v>
      </c>
      <c r="T216" t="s">
        <v>347</v>
      </c>
      <c r="U216" t="s">
        <v>33</v>
      </c>
      <c r="V216">
        <v>-91508.962077403005</v>
      </c>
      <c r="W216">
        <v>-90553.079870240108</v>
      </c>
      <c r="X216">
        <v>6619022.9544495353</v>
      </c>
      <c r="Y216">
        <v>329905</v>
      </c>
      <c r="Z216">
        <v>680000</v>
      </c>
      <c r="AA216">
        <v>238396.037922597</v>
      </c>
      <c r="AB216">
        <v>0</v>
      </c>
      <c r="AC216">
        <v>1</v>
      </c>
      <c r="AD216">
        <v>-238396.037922597</v>
      </c>
      <c r="AE216">
        <v>328949.11779283709</v>
      </c>
      <c r="AF216">
        <v>238396.037922597</v>
      </c>
      <c r="AG216">
        <v>6619022.9544495353</v>
      </c>
      <c r="AH216">
        <v>349108.39903439634</v>
      </c>
      <c r="AI216">
        <v>3.5000000000000003E-2</v>
      </c>
    </row>
    <row r="217" spans="1:35" x14ac:dyDescent="0.25">
      <c r="A217" t="s">
        <v>354</v>
      </c>
      <c r="B217">
        <v>-344190.02340239193</v>
      </c>
      <c r="C217">
        <v>-1623.7585289245289</v>
      </c>
      <c r="D217">
        <v>-2377.0419330584741</v>
      </c>
      <c r="E217">
        <v>831.27513442821532</v>
      </c>
      <c r="F217">
        <v>-169244.31155950314</v>
      </c>
      <c r="G217">
        <v>391435.22977135377</v>
      </c>
      <c r="H217">
        <v>386694.56796571263</v>
      </c>
      <c r="I217">
        <v>38814.677585606049</v>
      </c>
      <c r="J217">
        <v>1.3731247487854383E-3</v>
      </c>
      <c r="K217">
        <v>1.3782814351208795E-4</v>
      </c>
      <c r="L217">
        <v>0.10037554390742753</v>
      </c>
      <c r="M217" t="s">
        <v>345</v>
      </c>
      <c r="N217" t="s">
        <v>85</v>
      </c>
      <c r="O217" t="s">
        <v>33</v>
      </c>
      <c r="Q217" t="s">
        <v>348</v>
      </c>
      <c r="R217">
        <v>411651.35515478253</v>
      </c>
      <c r="S217" t="s">
        <v>341</v>
      </c>
      <c r="T217" t="s">
        <v>345</v>
      </c>
      <c r="U217" t="s">
        <v>33</v>
      </c>
      <c r="V217">
        <v>65779.355154782534</v>
      </c>
      <c r="W217">
        <v>54578.996532922523</v>
      </c>
      <c r="X217">
        <v>-13366825.837664995</v>
      </c>
      <c r="Y217">
        <v>345872</v>
      </c>
      <c r="Z217">
        <v>1820000</v>
      </c>
      <c r="AA217">
        <v>411651.35515478253</v>
      </c>
      <c r="AB217">
        <v>0</v>
      </c>
      <c r="AC217">
        <v>1</v>
      </c>
      <c r="AD217">
        <v>-411651.35515478253</v>
      </c>
      <c r="AE217">
        <v>411651.35515478253</v>
      </c>
      <c r="AF217">
        <v>411651.35515478253</v>
      </c>
      <c r="AG217">
        <v>-13366825.837664995</v>
      </c>
      <c r="AH217">
        <v>836275.10177793039</v>
      </c>
      <c r="AI217">
        <v>0.105</v>
      </c>
    </row>
    <row r="218" spans="1:35" x14ac:dyDescent="0.25">
      <c r="A218" t="s">
        <v>351</v>
      </c>
      <c r="B218">
        <v>7422799.6914355615</v>
      </c>
      <c r="C218">
        <v>1903.2736723861153</v>
      </c>
      <c r="D218">
        <v>2936.8184621398577</v>
      </c>
      <c r="E218">
        <v>1724.139210778892</v>
      </c>
      <c r="F218">
        <v>44656.793321624136</v>
      </c>
      <c r="G218">
        <v>-234030.64214727073</v>
      </c>
      <c r="H218">
        <v>475277.57439562795</v>
      </c>
      <c r="I218">
        <v>167654.56776057254</v>
      </c>
      <c r="J218">
        <v>1.6876766678636536E-3</v>
      </c>
      <c r="K218">
        <v>5.9532937700686726E-4</v>
      </c>
      <c r="L218">
        <v>0.35275084875141682</v>
      </c>
      <c r="M218" t="s">
        <v>352</v>
      </c>
      <c r="N218" t="s">
        <v>79</v>
      </c>
      <c r="O218" t="s">
        <v>33</v>
      </c>
      <c r="Q218" t="s">
        <v>349</v>
      </c>
      <c r="R218">
        <v>383507.44540872541</v>
      </c>
      <c r="S218" t="s">
        <v>341</v>
      </c>
      <c r="T218" t="s">
        <v>347</v>
      </c>
      <c r="U218" t="s">
        <v>33</v>
      </c>
      <c r="V218">
        <v>27151.445408725413</v>
      </c>
      <c r="W218">
        <v>27302.002357384747</v>
      </c>
      <c r="X218">
        <v>10924314.798592625</v>
      </c>
      <c r="Y218">
        <v>356356</v>
      </c>
      <c r="Z218">
        <v>712000</v>
      </c>
      <c r="AA218">
        <v>383507.44540872541</v>
      </c>
      <c r="AB218">
        <v>0</v>
      </c>
      <c r="AC218">
        <v>1</v>
      </c>
      <c r="AD218">
        <v>-383507.44540872541</v>
      </c>
      <c r="AE218">
        <v>383507.44540872541</v>
      </c>
      <c r="AF218">
        <v>383507.44540872541</v>
      </c>
      <c r="AG218">
        <v>10924314.798592625</v>
      </c>
      <c r="AH218">
        <v>813884.52686865639</v>
      </c>
      <c r="AI218">
        <v>0.114</v>
      </c>
    </row>
    <row r="219" spans="1:35" x14ac:dyDescent="0.25">
      <c r="A219" t="s">
        <v>346</v>
      </c>
      <c r="B219">
        <v>-15367.70986634033</v>
      </c>
      <c r="C219">
        <v>1050.3218473692964</v>
      </c>
      <c r="D219">
        <v>1934.7561108133</v>
      </c>
      <c r="E219">
        <v>533.88948612025615</v>
      </c>
      <c r="F219">
        <v>-415019.84859555657</v>
      </c>
      <c r="G219">
        <v>85907.613815751392</v>
      </c>
      <c r="H219">
        <v>349108.39903439634</v>
      </c>
      <c r="I219">
        <v>60089.53864353284</v>
      </c>
      <c r="J219">
        <v>1.2396589516237959E-3</v>
      </c>
      <c r="K219">
        <v>2.1337365323903368E-4</v>
      </c>
      <c r="L219">
        <v>0.17212286730922333</v>
      </c>
      <c r="M219" t="s">
        <v>347</v>
      </c>
      <c r="N219" t="s">
        <v>85</v>
      </c>
      <c r="O219" t="s">
        <v>33</v>
      </c>
      <c r="Q219" t="s">
        <v>350</v>
      </c>
      <c r="R219">
        <v>302474.682682882</v>
      </c>
      <c r="S219" t="s">
        <v>341</v>
      </c>
      <c r="T219" t="s">
        <v>345</v>
      </c>
      <c r="U219" t="s">
        <v>33</v>
      </c>
      <c r="V219">
        <v>19678.682682882005</v>
      </c>
      <c r="W219">
        <v>19839.892140870012</v>
      </c>
      <c r="X219">
        <v>-13787574.920491576</v>
      </c>
      <c r="Y219">
        <v>282796</v>
      </c>
      <c r="Z219">
        <v>700000</v>
      </c>
      <c r="AA219">
        <v>302474.682682882</v>
      </c>
      <c r="AB219">
        <v>0</v>
      </c>
      <c r="AC219">
        <v>1</v>
      </c>
      <c r="AD219">
        <v>-302474.682682882</v>
      </c>
      <c r="AE219">
        <v>302474.682682882</v>
      </c>
      <c r="AF219">
        <v>302474.682682882</v>
      </c>
      <c r="AG219">
        <v>-13787574.920491576</v>
      </c>
      <c r="AH219">
        <v>545522.16313805792</v>
      </c>
      <c r="AI219">
        <v>9.2999999999999999E-2</v>
      </c>
    </row>
    <row r="220" spans="1:35" x14ac:dyDescent="0.25">
      <c r="A220" t="s">
        <v>349</v>
      </c>
      <c r="B220">
        <v>3890441.0353972856</v>
      </c>
      <c r="C220">
        <v>1895.7879728322628</v>
      </c>
      <c r="D220">
        <v>5314.2880584776522</v>
      </c>
      <c r="E220">
        <v>4318.7509959847175</v>
      </c>
      <c r="F220">
        <v>-1508425.6587239027</v>
      </c>
      <c r="G220">
        <v>-9126.7815341737587</v>
      </c>
      <c r="H220">
        <v>813884.52686865639</v>
      </c>
      <c r="I220">
        <v>224868.61627844386</v>
      </c>
      <c r="J220">
        <v>2.8900457339653429E-3</v>
      </c>
      <c r="K220">
        <v>7.9849237050685841E-4</v>
      </c>
      <c r="L220">
        <v>0.27629056562065912</v>
      </c>
      <c r="M220" t="s">
        <v>347</v>
      </c>
      <c r="N220" t="s">
        <v>85</v>
      </c>
      <c r="O220" t="s">
        <v>33</v>
      </c>
      <c r="Q220" t="s">
        <v>264</v>
      </c>
      <c r="R220">
        <v>1.270062423142252E-9</v>
      </c>
      <c r="S220" t="s">
        <v>341</v>
      </c>
      <c r="T220" t="s">
        <v>347</v>
      </c>
      <c r="U220" t="s">
        <v>33</v>
      </c>
      <c r="V220">
        <v>-216150.99999999875</v>
      </c>
      <c r="W220">
        <v>-216150.99999999875</v>
      </c>
      <c r="X220">
        <v>-3.6907632340651803E-9</v>
      </c>
      <c r="Y220">
        <v>234382</v>
      </c>
      <c r="Z220">
        <v>595000</v>
      </c>
      <c r="AA220">
        <v>2.8394922295165988E-11</v>
      </c>
      <c r="AB220">
        <v>0</v>
      </c>
      <c r="AC220">
        <v>1</v>
      </c>
      <c r="AD220">
        <v>-2.8394922295165988E-11</v>
      </c>
      <c r="AE220">
        <v>216150.99999999878</v>
      </c>
      <c r="AF220">
        <v>2.8394922295165988E-11</v>
      </c>
      <c r="AG220">
        <v>-3.6907632340651803E-9</v>
      </c>
      <c r="AH220">
        <v>1.6160111840565392E-4</v>
      </c>
      <c r="AI220">
        <v>0.85199999999999998</v>
      </c>
    </row>
    <row r="221" spans="1:35" x14ac:dyDescent="0.25">
      <c r="A221" t="s">
        <v>264</v>
      </c>
      <c r="B221">
        <v>3.8254105092254051E-4</v>
      </c>
      <c r="C221">
        <v>-3.549615571543179E-7</v>
      </c>
      <c r="D221">
        <v>-1.5171397916882683E-7</v>
      </c>
      <c r="E221">
        <v>8.9295410280455405E-7</v>
      </c>
      <c r="F221">
        <v>-4.9522462256487263E-5</v>
      </c>
      <c r="G221">
        <v>-2.6774891447321429E-5</v>
      </c>
      <c r="H221">
        <v>1.6160111840565392E-4</v>
      </c>
      <c r="I221">
        <v>5.7994567962269516E-7</v>
      </c>
      <c r="J221">
        <v>5.7383401137893579E-13</v>
      </c>
      <c r="K221">
        <v>2.0593456221286333E-15</v>
      </c>
      <c r="L221">
        <v>3.5887479328387344E-3</v>
      </c>
      <c r="M221" t="s">
        <v>347</v>
      </c>
      <c r="N221" t="s">
        <v>85</v>
      </c>
      <c r="O221" t="s">
        <v>33</v>
      </c>
      <c r="Q221" t="s">
        <v>351</v>
      </c>
      <c r="R221">
        <v>431078.1354408951</v>
      </c>
      <c r="S221" t="s">
        <v>341</v>
      </c>
      <c r="T221" t="s">
        <v>352</v>
      </c>
      <c r="U221" t="s">
        <v>33</v>
      </c>
      <c r="V221">
        <v>-90309.029964368907</v>
      </c>
      <c r="W221">
        <v>-170294.02996436891</v>
      </c>
      <c r="X221">
        <v>-6923119.3436523974</v>
      </c>
      <c r="Y221">
        <v>354163.66009071399</v>
      </c>
      <c r="Z221">
        <v>1000000</v>
      </c>
      <c r="AA221">
        <v>431078.1354408951</v>
      </c>
      <c r="AB221">
        <v>200000</v>
      </c>
      <c r="AC221">
        <v>1</v>
      </c>
      <c r="AD221">
        <v>-231078.1354408951</v>
      </c>
      <c r="AE221">
        <v>401372.16540526401</v>
      </c>
      <c r="AF221">
        <v>231078.1354408951</v>
      </c>
      <c r="AG221">
        <v>-6923119.3436523974</v>
      </c>
      <c r="AH221">
        <v>475277.57439562795</v>
      </c>
      <c r="AI221">
        <v>0.114</v>
      </c>
    </row>
    <row r="222" spans="1:35" x14ac:dyDescent="0.25">
      <c r="A222" t="s">
        <v>353</v>
      </c>
      <c r="B222">
        <v>1177635.7510584751</v>
      </c>
      <c r="C222">
        <v>-532.82045455176183</v>
      </c>
      <c r="D222">
        <v>-707.96327269026892</v>
      </c>
      <c r="E222">
        <v>225.47293708498501</v>
      </c>
      <c r="F222">
        <v>-155301.14659466347</v>
      </c>
      <c r="G222">
        <v>-186561.21598803118</v>
      </c>
      <c r="H222">
        <v>177737.04246741769</v>
      </c>
      <c r="I222">
        <v>18368.832998742244</v>
      </c>
      <c r="J222">
        <v>6.311315234445691E-4</v>
      </c>
      <c r="K222">
        <v>6.5226411970483255E-5</v>
      </c>
      <c r="L222">
        <v>0.10334836646170466</v>
      </c>
      <c r="M222" t="s">
        <v>347</v>
      </c>
      <c r="N222" t="s">
        <v>85</v>
      </c>
      <c r="O222" t="s">
        <v>33</v>
      </c>
      <c r="Q222" t="s">
        <v>353</v>
      </c>
      <c r="R222">
        <v>125452.69795215767</v>
      </c>
      <c r="S222" t="s">
        <v>341</v>
      </c>
      <c r="T222" t="s">
        <v>347</v>
      </c>
      <c r="U222" t="s">
        <v>33</v>
      </c>
      <c r="V222">
        <v>-129480.3020478423</v>
      </c>
      <c r="W222">
        <v>-128239.36778728117</v>
      </c>
      <c r="X222">
        <v>-3858494.7937612808</v>
      </c>
      <c r="Y222">
        <v>254933</v>
      </c>
      <c r="Z222">
        <v>600000</v>
      </c>
      <c r="AA222">
        <v>125452.69795215767</v>
      </c>
      <c r="AB222">
        <v>0</v>
      </c>
      <c r="AC222">
        <v>1</v>
      </c>
      <c r="AD222">
        <v>-125452.69795215767</v>
      </c>
      <c r="AE222">
        <v>253692.06573943884</v>
      </c>
      <c r="AF222">
        <v>125452.69795215767</v>
      </c>
      <c r="AG222">
        <v>-3858494.7937612808</v>
      </c>
      <c r="AH222">
        <v>177737.04246741769</v>
      </c>
      <c r="AI222">
        <v>3.4000000000000002E-2</v>
      </c>
    </row>
    <row r="223" spans="1:35" x14ac:dyDescent="0.25">
      <c r="A223" t="s">
        <v>265</v>
      </c>
      <c r="B223">
        <v>-3789.6771104295476</v>
      </c>
      <c r="C223">
        <v>-8.6965461465601912E-2</v>
      </c>
      <c r="D223">
        <v>-0.79201285044600467</v>
      </c>
      <c r="E223">
        <v>0.15237335409871414</v>
      </c>
      <c r="F223">
        <v>1788.9924097536896</v>
      </c>
      <c r="G223">
        <v>-39.798586074172533</v>
      </c>
      <c r="H223">
        <v>1422.0626139146414</v>
      </c>
      <c r="I223">
        <v>-125.80185019533268</v>
      </c>
      <c r="J223">
        <v>5.0496426152586779E-6</v>
      </c>
      <c r="K223">
        <v>-4.4671337085222812E-7</v>
      </c>
      <c r="L223">
        <v>-8.8464353794539818E-2</v>
      </c>
      <c r="M223" t="s">
        <v>347</v>
      </c>
      <c r="N223" t="s">
        <v>85</v>
      </c>
      <c r="O223" t="s">
        <v>33</v>
      </c>
      <c r="Q223" t="s">
        <v>354</v>
      </c>
      <c r="R223">
        <v>365857.33823953394</v>
      </c>
      <c r="S223" t="s">
        <v>341</v>
      </c>
      <c r="T223" t="s">
        <v>345</v>
      </c>
      <c r="U223" t="s">
        <v>33</v>
      </c>
      <c r="V223">
        <v>38058.338239533943</v>
      </c>
      <c r="W223">
        <v>39836.230774025898</v>
      </c>
      <c r="X223">
        <v>5577040.9756591842</v>
      </c>
      <c r="Y223">
        <v>327799</v>
      </c>
      <c r="Z223">
        <v>820000</v>
      </c>
      <c r="AA223">
        <v>365857.33823953394</v>
      </c>
      <c r="AB223">
        <v>0</v>
      </c>
      <c r="AC223">
        <v>1</v>
      </c>
      <c r="AD223">
        <v>-365857.33823953394</v>
      </c>
      <c r="AE223">
        <v>365857.33823953394</v>
      </c>
      <c r="AF223">
        <v>365857.33823953394</v>
      </c>
      <c r="AG223">
        <v>5577040.9756591842</v>
      </c>
      <c r="AH223">
        <v>386694.56796571263</v>
      </c>
      <c r="AI223">
        <v>1.0999999999999999E-2</v>
      </c>
    </row>
    <row r="224" spans="1:35" x14ac:dyDescent="0.25">
      <c r="A224" t="s">
        <v>363</v>
      </c>
      <c r="B224">
        <v>0</v>
      </c>
      <c r="C224">
        <v>0</v>
      </c>
      <c r="D224">
        <v>0</v>
      </c>
      <c r="E224">
        <v>0</v>
      </c>
      <c r="F224">
        <v>0</v>
      </c>
      <c r="G224">
        <v>0</v>
      </c>
      <c r="H224">
        <v>0</v>
      </c>
      <c r="I224">
        <v>0</v>
      </c>
      <c r="J224">
        <v>0</v>
      </c>
      <c r="K224">
        <v>0</v>
      </c>
      <c r="M224" t="s">
        <v>347</v>
      </c>
      <c r="N224" t="s">
        <v>85</v>
      </c>
      <c r="O224" t="s">
        <v>33</v>
      </c>
      <c r="Q224" t="s">
        <v>265</v>
      </c>
      <c r="R224">
        <v>204.80923825178931</v>
      </c>
      <c r="S224" t="s">
        <v>341</v>
      </c>
      <c r="T224" t="s">
        <v>347</v>
      </c>
      <c r="U224" t="s">
        <v>33</v>
      </c>
      <c r="V224">
        <v>-275795.19076174824</v>
      </c>
      <c r="W224">
        <v>-884645.19068656082</v>
      </c>
      <c r="X224">
        <v>-19251.437403400305</v>
      </c>
      <c r="Y224">
        <v>276000</v>
      </c>
      <c r="Z224">
        <v>575000</v>
      </c>
      <c r="AA224">
        <v>204.80923825178931</v>
      </c>
      <c r="AB224">
        <v>0</v>
      </c>
      <c r="AC224">
        <v>1</v>
      </c>
      <c r="AD224">
        <v>-204.80923825178931</v>
      </c>
      <c r="AE224">
        <v>884849.99992481258</v>
      </c>
      <c r="AF224">
        <v>204.80923825178931</v>
      </c>
      <c r="AG224">
        <v>-19251.437403400305</v>
      </c>
      <c r="AH224">
        <v>1422.0626139146414</v>
      </c>
      <c r="AI224">
        <v>0.51700000000000002</v>
      </c>
    </row>
    <row r="225" spans="1:35" x14ac:dyDescent="0.25">
      <c r="A225" t="s">
        <v>342</v>
      </c>
      <c r="B225">
        <v>-1069127.7833798632</v>
      </c>
      <c r="C225">
        <v>-1075.9987045998266</v>
      </c>
      <c r="D225">
        <v>-1879.380097198147</v>
      </c>
      <c r="E225">
        <v>-779.17833731265182</v>
      </c>
      <c r="F225">
        <v>234797.72672760321</v>
      </c>
      <c r="G225">
        <v>-252365.48198755091</v>
      </c>
      <c r="H225">
        <v>329631.96272441954</v>
      </c>
      <c r="I225">
        <v>-69401.295140109374</v>
      </c>
      <c r="J225">
        <v>1.1704995195271346E-3</v>
      </c>
      <c r="K225">
        <v>-2.4643903444512952E-4</v>
      </c>
      <c r="L225">
        <v>-0.21054176471997785</v>
      </c>
      <c r="M225" t="s">
        <v>343</v>
      </c>
      <c r="N225" t="s">
        <v>79</v>
      </c>
      <c r="O225" t="s">
        <v>33</v>
      </c>
      <c r="Q225" t="s">
        <v>276</v>
      </c>
      <c r="R225">
        <v>4752918.2582287593</v>
      </c>
      <c r="S225" t="s">
        <v>341</v>
      </c>
      <c r="T225" t="s">
        <v>355</v>
      </c>
      <c r="U225" t="s">
        <v>33</v>
      </c>
      <c r="V225">
        <v>-1111280.5286714919</v>
      </c>
      <c r="W225">
        <v>-1491332.1107915079</v>
      </c>
      <c r="X225">
        <v>1454470.889901537</v>
      </c>
      <c r="Y225">
        <v>5875625</v>
      </c>
      <c r="Z225">
        <v>12000000</v>
      </c>
      <c r="AA225">
        <v>4752918.2582287584</v>
      </c>
      <c r="AB225">
        <v>2500000</v>
      </c>
      <c r="AC225">
        <v>1</v>
      </c>
      <c r="AD225">
        <v>-2252918.2582287584</v>
      </c>
      <c r="AE225">
        <v>3744250.3690202665</v>
      </c>
      <c r="AF225">
        <v>2252918.2582287584</v>
      </c>
      <c r="AG225">
        <v>36394950.885479078</v>
      </c>
      <c r="AH225">
        <v>3073362.6981034367</v>
      </c>
      <c r="AI225">
        <v>0.03</v>
      </c>
    </row>
    <row r="226" spans="1:35" x14ac:dyDescent="0.25">
      <c r="A226" t="s">
        <v>358</v>
      </c>
      <c r="B226">
        <v>-895274.71617043158</v>
      </c>
      <c r="C226">
        <v>-521.42614747379707</v>
      </c>
      <c r="D226">
        <v>-605.95513804112238</v>
      </c>
      <c r="E226">
        <v>-911.75030086342167</v>
      </c>
      <c r="F226">
        <v>146885.80628134153</v>
      </c>
      <c r="G226">
        <v>38291.690035310741</v>
      </c>
      <c r="H226">
        <v>181001.60996861185</v>
      </c>
      <c r="I226">
        <v>-19605.229277788556</v>
      </c>
      <c r="J226">
        <v>6.4272376911161402E-4</v>
      </c>
      <c r="K226">
        <v>-6.9616766712200895E-5</v>
      </c>
      <c r="L226">
        <v>-0.10831522040709103</v>
      </c>
      <c r="M226" t="s">
        <v>359</v>
      </c>
      <c r="N226" t="s">
        <v>79</v>
      </c>
      <c r="O226" t="s">
        <v>33</v>
      </c>
      <c r="Q226" t="s">
        <v>356</v>
      </c>
      <c r="R226">
        <v>28790.661776299305</v>
      </c>
      <c r="S226" t="s">
        <v>341</v>
      </c>
      <c r="T226" t="s">
        <v>357</v>
      </c>
      <c r="U226" t="s">
        <v>33</v>
      </c>
      <c r="V226">
        <v>-211209.33822370073</v>
      </c>
      <c r="W226">
        <v>-211209.33822370073</v>
      </c>
      <c r="X226">
        <v>8525081.7545979246</v>
      </c>
      <c r="Y226">
        <v>240000</v>
      </c>
      <c r="Z226">
        <v>600000</v>
      </c>
      <c r="AA226">
        <v>28790.661776299305</v>
      </c>
      <c r="AB226">
        <v>0</v>
      </c>
      <c r="AC226">
        <v>1</v>
      </c>
      <c r="AD226">
        <v>-28790.661776299305</v>
      </c>
      <c r="AE226">
        <v>240000.00000000003</v>
      </c>
      <c r="AF226">
        <v>28790.661776299305</v>
      </c>
      <c r="AG226">
        <v>8525081.7545979246</v>
      </c>
      <c r="AH226">
        <v>429704.37066184497</v>
      </c>
      <c r="AI226">
        <v>0.67600000000000005</v>
      </c>
    </row>
    <row r="227" spans="1:35" x14ac:dyDescent="0.25">
      <c r="A227" t="s">
        <v>356</v>
      </c>
      <c r="B227">
        <v>1080924.380083398</v>
      </c>
      <c r="C227">
        <v>1533.7806840440601</v>
      </c>
      <c r="D227">
        <v>2625.6700662618741</v>
      </c>
      <c r="E227">
        <v>606.72354455380355</v>
      </c>
      <c r="F227">
        <v>-454385.21969207318</v>
      </c>
      <c r="G227">
        <v>28105.420880915466</v>
      </c>
      <c r="H227">
        <v>429704.37066184497</v>
      </c>
      <c r="I227">
        <v>24193.402197664476</v>
      </c>
      <c r="J227">
        <v>1.525849481468196E-3</v>
      </c>
      <c r="K227">
        <v>8.5909040537333588E-5</v>
      </c>
      <c r="L227">
        <v>5.6302434532841401E-2</v>
      </c>
      <c r="M227" t="s">
        <v>357</v>
      </c>
      <c r="N227" t="s">
        <v>79</v>
      </c>
      <c r="O227" t="s">
        <v>33</v>
      </c>
      <c r="Q227" t="s">
        <v>358</v>
      </c>
      <c r="R227">
        <v>34382.140653557464</v>
      </c>
      <c r="S227" t="s">
        <v>341</v>
      </c>
      <c r="T227" t="s">
        <v>359</v>
      </c>
      <c r="U227" t="s">
        <v>33</v>
      </c>
      <c r="V227">
        <v>-200617.85934644259</v>
      </c>
      <c r="W227">
        <v>-200617.85934644259</v>
      </c>
      <c r="X227">
        <v>-1565854.8663955939</v>
      </c>
      <c r="Y227">
        <v>235000</v>
      </c>
      <c r="Z227">
        <v>600000</v>
      </c>
      <c r="AA227">
        <v>34382.140653557464</v>
      </c>
      <c r="AB227">
        <v>0</v>
      </c>
      <c r="AC227">
        <v>1</v>
      </c>
      <c r="AD227">
        <v>-34382.140653557464</v>
      </c>
      <c r="AE227">
        <v>235000.00000000006</v>
      </c>
      <c r="AF227">
        <v>34382.140653557464</v>
      </c>
      <c r="AG227">
        <v>-1565854.8663955939</v>
      </c>
      <c r="AH227">
        <v>181001.60996861185</v>
      </c>
      <c r="AI227">
        <v>0.41799999999999998</v>
      </c>
    </row>
    <row r="228" spans="1:35" x14ac:dyDescent="0.25">
      <c r="A228" t="s">
        <v>364</v>
      </c>
      <c r="B228">
        <v>18609772.68582096</v>
      </c>
      <c r="C228">
        <v>13804.67411522664</v>
      </c>
      <c r="D228">
        <v>20444.479057083845</v>
      </c>
      <c r="E228">
        <v>5960.662681575368</v>
      </c>
      <c r="F228">
        <v>-2053535.697335009</v>
      </c>
      <c r="G228">
        <v>-147958.05475140654</v>
      </c>
      <c r="H228">
        <v>1923042.6780155136</v>
      </c>
      <c r="I228">
        <v>641143.63367618993</v>
      </c>
      <c r="J228">
        <v>6.8285869854470332E-3</v>
      </c>
      <c r="K228">
        <v>2.2766551791983326E-3</v>
      </c>
      <c r="L228">
        <v>0.33340062652058144</v>
      </c>
      <c r="M228" t="s">
        <v>357</v>
      </c>
      <c r="N228" t="s">
        <v>79</v>
      </c>
      <c r="O228" t="s">
        <v>33</v>
      </c>
      <c r="Q228" t="s">
        <v>269</v>
      </c>
      <c r="R228">
        <v>1992.8556736054138</v>
      </c>
      <c r="S228" t="s">
        <v>341</v>
      </c>
      <c r="T228" t="s">
        <v>360</v>
      </c>
      <c r="U228" t="s">
        <v>33</v>
      </c>
      <c r="V228">
        <v>-220007.1443263946</v>
      </c>
      <c r="W228">
        <v>-220007.1443263946</v>
      </c>
      <c r="X228">
        <v>-99648.285131452998</v>
      </c>
      <c r="Y228">
        <v>222000</v>
      </c>
      <c r="Z228">
        <v>1000000</v>
      </c>
      <c r="AA228">
        <v>1992.8556736054138</v>
      </c>
      <c r="AB228">
        <v>0</v>
      </c>
      <c r="AC228">
        <v>1</v>
      </c>
      <c r="AD228">
        <v>-1992.8556736054138</v>
      </c>
      <c r="AE228">
        <v>222000</v>
      </c>
      <c r="AF228">
        <v>1992.8556736054138</v>
      </c>
      <c r="AG228">
        <v>-99648.285131452998</v>
      </c>
      <c r="AH228">
        <v>0</v>
      </c>
      <c r="AI228">
        <v>0</v>
      </c>
    </row>
    <row r="229" spans="1:35" x14ac:dyDescent="0.25">
      <c r="A229" t="s">
        <v>365</v>
      </c>
      <c r="B229">
        <v>8203149.1737171281</v>
      </c>
      <c r="C229">
        <v>5807.3017402039986</v>
      </c>
      <c r="D229">
        <v>8587.9476072038924</v>
      </c>
      <c r="E229">
        <v>2710.5281688054743</v>
      </c>
      <c r="F229">
        <v>-858091.15433570719</v>
      </c>
      <c r="G229">
        <v>-63041.382069422951</v>
      </c>
      <c r="H229">
        <v>832852.11889959301</v>
      </c>
      <c r="I229">
        <v>269695.12333295902</v>
      </c>
      <c r="J229">
        <v>2.9573982964271302E-3</v>
      </c>
      <c r="K229">
        <v>9.5766809040892205E-4</v>
      </c>
      <c r="L229">
        <v>0.32382114088788511</v>
      </c>
      <c r="M229" t="s">
        <v>357</v>
      </c>
      <c r="N229" t="s">
        <v>79</v>
      </c>
      <c r="O229" t="s">
        <v>33</v>
      </c>
      <c r="Q229" t="s">
        <v>361</v>
      </c>
      <c r="R229">
        <v>169800.94898695519</v>
      </c>
      <c r="S229" t="s">
        <v>341</v>
      </c>
      <c r="T229" t="s">
        <v>362</v>
      </c>
      <c r="U229" t="s">
        <v>33</v>
      </c>
      <c r="V229">
        <v>-220199.05101304478</v>
      </c>
      <c r="W229">
        <v>-368825.58588746277</v>
      </c>
      <c r="X229">
        <v>-6764473.9026428042</v>
      </c>
      <c r="Y229">
        <v>427375</v>
      </c>
      <c r="Z229">
        <v>2700000</v>
      </c>
      <c r="AA229">
        <v>169800.94898695519</v>
      </c>
      <c r="AB229">
        <v>0</v>
      </c>
      <c r="AC229">
        <v>1</v>
      </c>
      <c r="AD229">
        <v>-169800.94898695519</v>
      </c>
      <c r="AE229">
        <v>538626.53487441794</v>
      </c>
      <c r="AF229">
        <v>169800.94898695519</v>
      </c>
      <c r="AG229">
        <v>-6764473.9026428042</v>
      </c>
      <c r="AH229">
        <v>583397.51116735034</v>
      </c>
      <c r="AI229">
        <v>0.28000000000000003</v>
      </c>
    </row>
    <row r="230" spans="1:35" x14ac:dyDescent="0.25">
      <c r="A230" t="s">
        <v>269</v>
      </c>
      <c r="B230">
        <v>0</v>
      </c>
      <c r="C230">
        <v>0</v>
      </c>
      <c r="D230">
        <v>0</v>
      </c>
      <c r="E230">
        <v>0</v>
      </c>
      <c r="F230">
        <v>0</v>
      </c>
      <c r="G230">
        <v>0</v>
      </c>
      <c r="H230">
        <v>0</v>
      </c>
      <c r="I230">
        <v>0</v>
      </c>
      <c r="J230">
        <v>0</v>
      </c>
      <c r="K230">
        <v>0</v>
      </c>
      <c r="M230" t="s">
        <v>360</v>
      </c>
      <c r="N230" t="s">
        <v>79</v>
      </c>
      <c r="O230" t="s">
        <v>33</v>
      </c>
      <c r="Q230" t="s">
        <v>363</v>
      </c>
      <c r="R230">
        <v>473.20333381228397</v>
      </c>
      <c r="S230" t="s">
        <v>341</v>
      </c>
      <c r="T230" t="s">
        <v>347</v>
      </c>
      <c r="U230" t="s">
        <v>33</v>
      </c>
      <c r="V230">
        <v>-1079526.7966661877</v>
      </c>
      <c r="W230">
        <v>-374525.7966661877</v>
      </c>
      <c r="X230">
        <v>-47334.972429002504</v>
      </c>
      <c r="Y230">
        <v>1080000</v>
      </c>
      <c r="Z230">
        <v>2375000</v>
      </c>
      <c r="AA230">
        <v>473.20333381228397</v>
      </c>
      <c r="AB230">
        <v>0</v>
      </c>
      <c r="AC230">
        <v>1</v>
      </c>
      <c r="AD230">
        <v>-473.20333381228397</v>
      </c>
      <c r="AE230">
        <v>374999</v>
      </c>
      <c r="AF230">
        <v>473.20333381228397</v>
      </c>
      <c r="AG230">
        <v>-47334.972429002504</v>
      </c>
      <c r="AH230">
        <v>0</v>
      </c>
      <c r="AI230">
        <v>0</v>
      </c>
    </row>
    <row r="231" spans="1:35" x14ac:dyDescent="0.25">
      <c r="A231" t="s">
        <v>361</v>
      </c>
      <c r="B231">
        <v>-7207159.3609940521</v>
      </c>
      <c r="C231">
        <v>-1151.312332476954</v>
      </c>
      <c r="D231">
        <v>-1392.3647816963644</v>
      </c>
      <c r="E231">
        <v>-2831.6726821298926</v>
      </c>
      <c r="F231">
        <v>591068.62778217916</v>
      </c>
      <c r="G231">
        <v>278518.50723824673</v>
      </c>
      <c r="H231">
        <v>583397.51116735034</v>
      </c>
      <c r="I231">
        <v>-139698.72407423923</v>
      </c>
      <c r="J231">
        <v>2.0716028290181402E-3</v>
      </c>
      <c r="K231">
        <v>-4.9606017588820796E-4</v>
      </c>
      <c r="L231">
        <v>-0.23945718211020262</v>
      </c>
      <c r="M231" t="s">
        <v>362</v>
      </c>
      <c r="N231" t="s">
        <v>79</v>
      </c>
      <c r="O231" t="s">
        <v>33</v>
      </c>
      <c r="Q231" t="s">
        <v>364</v>
      </c>
      <c r="R231">
        <v>834886.8099600079</v>
      </c>
      <c r="S231" t="s">
        <v>341</v>
      </c>
      <c r="T231" t="s">
        <v>357</v>
      </c>
      <c r="U231" t="s">
        <v>33</v>
      </c>
      <c r="V231">
        <v>150886.80996000796</v>
      </c>
      <c r="W231">
        <v>3674.5327161096793</v>
      </c>
      <c r="X231">
        <v>1354780.473735292</v>
      </c>
      <c r="Y231">
        <v>684000</v>
      </c>
      <c r="Z231">
        <v>2300000</v>
      </c>
      <c r="AA231">
        <v>834886.8099600079</v>
      </c>
      <c r="AB231">
        <v>0</v>
      </c>
      <c r="AC231">
        <v>1</v>
      </c>
      <c r="AD231">
        <v>-834886.8099600079</v>
      </c>
      <c r="AE231">
        <v>834886.8099600079</v>
      </c>
      <c r="AF231">
        <v>834886.8099600079</v>
      </c>
      <c r="AG231">
        <v>1354780.473735292</v>
      </c>
      <c r="AH231">
        <v>1923042.6780155136</v>
      </c>
      <c r="AI231">
        <v>0.13400000000000001</v>
      </c>
    </row>
    <row r="232" spans="1:35" x14ac:dyDescent="0.25">
      <c r="A232" t="s">
        <v>276</v>
      </c>
      <c r="B232">
        <v>25284804.921314631</v>
      </c>
      <c r="C232">
        <v>15068.319001194222</v>
      </c>
      <c r="D232">
        <v>31897.764589003171</v>
      </c>
      <c r="E232">
        <v>11198.238256222219</v>
      </c>
      <c r="F232">
        <v>-3257741.4086579671</v>
      </c>
      <c r="G232">
        <v>-742685.80395253829</v>
      </c>
      <c r="H232">
        <v>3073362.6981034367</v>
      </c>
      <c r="I232">
        <v>1957533.0547286298</v>
      </c>
      <c r="J232">
        <v>1.0913291089038536E-2</v>
      </c>
      <c r="K232">
        <v>6.9510598458982619E-3</v>
      </c>
      <c r="L232">
        <v>0.63693525529434436</v>
      </c>
      <c r="M232" t="s">
        <v>355</v>
      </c>
      <c r="N232" t="s">
        <v>88</v>
      </c>
      <c r="O232" t="s">
        <v>33</v>
      </c>
      <c r="Q232" t="s">
        <v>365</v>
      </c>
      <c r="R232">
        <v>586457.39184107212</v>
      </c>
      <c r="S232" t="s">
        <v>341</v>
      </c>
      <c r="T232" t="s">
        <v>357</v>
      </c>
      <c r="U232" t="s">
        <v>33</v>
      </c>
      <c r="V232">
        <v>229457.39184107209</v>
      </c>
      <c r="W232">
        <v>229457.39184107209</v>
      </c>
      <c r="X232">
        <v>21887382.717655659</v>
      </c>
      <c r="Y232">
        <v>357000</v>
      </c>
      <c r="Z232">
        <v>892000</v>
      </c>
      <c r="AA232">
        <v>586457.39184107212</v>
      </c>
      <c r="AB232">
        <v>0</v>
      </c>
      <c r="AC232">
        <v>1</v>
      </c>
      <c r="AD232">
        <v>-586457.39184107212</v>
      </c>
      <c r="AE232">
        <v>586457.39184107212</v>
      </c>
      <c r="AF232">
        <v>586457.39184107212</v>
      </c>
      <c r="AG232">
        <v>21887382.717655659</v>
      </c>
      <c r="AH232">
        <v>832852.11889959301</v>
      </c>
      <c r="AI232">
        <v>3.6999999999999998E-2</v>
      </c>
    </row>
    <row r="233" spans="1:35" x14ac:dyDescent="0.25">
      <c r="A233" t="s">
        <v>263</v>
      </c>
      <c r="B233">
        <v>-227176.77629394131</v>
      </c>
      <c r="C233">
        <v>-516.92181493487828</v>
      </c>
      <c r="D233">
        <v>-270.12885582794462</v>
      </c>
      <c r="E233">
        <v>93.290422673278911</v>
      </c>
      <c r="F233">
        <v>-111793.73998979172</v>
      </c>
      <c r="G233">
        <v>76554.099378502957</v>
      </c>
      <c r="H233">
        <v>115153.59315876418</v>
      </c>
      <c r="I233">
        <v>13681.183522294803</v>
      </c>
      <c r="J233">
        <v>4.0890217183471995E-4</v>
      </c>
      <c r="K233">
        <v>4.8580904008985819E-5</v>
      </c>
      <c r="L233">
        <v>0.1188081339627183</v>
      </c>
      <c r="M233" t="s">
        <v>263</v>
      </c>
      <c r="N233" t="s">
        <v>86</v>
      </c>
      <c r="O233" t="s">
        <v>80</v>
      </c>
      <c r="Q233" t="s">
        <v>366</v>
      </c>
      <c r="R233">
        <v>93749.999999999971</v>
      </c>
      <c r="S233" t="s">
        <v>341</v>
      </c>
      <c r="T233" t="s">
        <v>367</v>
      </c>
      <c r="U233" t="s">
        <v>80</v>
      </c>
      <c r="V233">
        <v>37249</v>
      </c>
      <c r="W233">
        <v>37249</v>
      </c>
      <c r="X233">
        <v>585.52067781900723</v>
      </c>
      <c r="Y233">
        <v>148046.875</v>
      </c>
      <c r="Z233">
        <v>500000</v>
      </c>
      <c r="AA233">
        <v>93749.999999999971</v>
      </c>
      <c r="AB233">
        <v>0</v>
      </c>
      <c r="AC233">
        <v>1</v>
      </c>
      <c r="AD233">
        <v>-93749.999999999971</v>
      </c>
      <c r="AE233">
        <v>93749.999999999971</v>
      </c>
      <c r="AF233">
        <v>93749.999999999971</v>
      </c>
      <c r="AG233">
        <v>585.52067781900723</v>
      </c>
      <c r="AH233">
        <v>21.029403140439268</v>
      </c>
      <c r="AI233">
        <v>0</v>
      </c>
    </row>
    <row r="234" spans="1:35" x14ac:dyDescent="0.25">
      <c r="A234" t="s">
        <v>374</v>
      </c>
      <c r="B234">
        <v>163647.38772499069</v>
      </c>
      <c r="C234">
        <v>11.12877267184386</v>
      </c>
      <c r="D234">
        <v>13.174206736882056</v>
      </c>
      <c r="E234">
        <v>39.324870601368772</v>
      </c>
      <c r="F234">
        <v>-12491.786004499281</v>
      </c>
      <c r="G234">
        <v>-17442.916554323605</v>
      </c>
      <c r="H234">
        <v>14609.446680426829</v>
      </c>
      <c r="I234">
        <v>3310.6202434461024</v>
      </c>
      <c r="J234">
        <v>5.1877100080531961E-5</v>
      </c>
      <c r="K234">
        <v>1.1755775660414735E-5</v>
      </c>
      <c r="L234">
        <v>0.22660818824039006</v>
      </c>
      <c r="M234" t="s">
        <v>375</v>
      </c>
      <c r="N234" t="s">
        <v>85</v>
      </c>
      <c r="O234" t="s">
        <v>80</v>
      </c>
      <c r="Q234" t="s">
        <v>368</v>
      </c>
      <c r="R234">
        <v>9690172.5676278695</v>
      </c>
      <c r="S234" t="s">
        <v>341</v>
      </c>
      <c r="T234" t="s">
        <v>369</v>
      </c>
      <c r="U234" t="s">
        <v>80</v>
      </c>
      <c r="V234">
        <v>275172.56762787001</v>
      </c>
      <c r="W234">
        <v>275172.56762787001</v>
      </c>
      <c r="X234">
        <v>-246470.15580504388</v>
      </c>
      <c r="Y234">
        <v>9415000</v>
      </c>
      <c r="Z234">
        <v>30000000</v>
      </c>
      <c r="AA234">
        <v>9690172.5676278695</v>
      </c>
      <c r="AB234">
        <v>0</v>
      </c>
      <c r="AC234">
        <v>1</v>
      </c>
      <c r="AD234">
        <v>-9690172.5676278695</v>
      </c>
      <c r="AE234">
        <v>9690172.5676278695</v>
      </c>
      <c r="AF234">
        <v>9690172.5676278695</v>
      </c>
      <c r="AG234">
        <v>-246470.15580504388</v>
      </c>
      <c r="AH234">
        <v>5860248.3322020052</v>
      </c>
      <c r="AI234">
        <v>0</v>
      </c>
    </row>
    <row r="235" spans="1:35" x14ac:dyDescent="0.25">
      <c r="A235" t="s">
        <v>366</v>
      </c>
      <c r="B235">
        <v>-11.990345337731807</v>
      </c>
      <c r="C235">
        <v>2.2242033642031679E-2</v>
      </c>
      <c r="D235">
        <v>4.0796825658193758E-2</v>
      </c>
      <c r="E235">
        <v>-2.8641170694176873E-2</v>
      </c>
      <c r="F235">
        <v>3.2432620762445268</v>
      </c>
      <c r="G235">
        <v>19.24134151970862</v>
      </c>
      <c r="H235">
        <v>21.029403140439268</v>
      </c>
      <c r="I235">
        <v>-0.50919166486168888</v>
      </c>
      <c r="J235">
        <v>7.4673906220693919E-8</v>
      </c>
      <c r="K235">
        <v>-1.8081031770760242E-9</v>
      </c>
      <c r="L235">
        <v>-3.4576619260908013E-2</v>
      </c>
      <c r="M235" t="s">
        <v>367</v>
      </c>
      <c r="N235" t="s">
        <v>79</v>
      </c>
      <c r="O235" t="s">
        <v>80</v>
      </c>
      <c r="Q235" t="s">
        <v>370</v>
      </c>
      <c r="R235">
        <v>-24776.837570759701</v>
      </c>
      <c r="S235" t="s">
        <v>341</v>
      </c>
      <c r="T235" t="s">
        <v>371</v>
      </c>
      <c r="U235" t="s">
        <v>80</v>
      </c>
      <c r="V235">
        <v>-129776.84057076019</v>
      </c>
      <c r="W235">
        <v>-129761.59814697293</v>
      </c>
      <c r="X235">
        <v>6949.1697631949901</v>
      </c>
      <c r="Y235">
        <v>104999.99899999995</v>
      </c>
      <c r="Z235">
        <v>1500000</v>
      </c>
      <c r="AA235">
        <v>-24776.837570759468</v>
      </c>
      <c r="AB235">
        <v>-1500000</v>
      </c>
      <c r="AC235">
        <v>1</v>
      </c>
      <c r="AD235">
        <v>-1475223.1624292405</v>
      </c>
      <c r="AE235">
        <v>1604984.7605762135</v>
      </c>
      <c r="AF235">
        <v>1475223.1624292405</v>
      </c>
      <c r="AG235">
        <v>6949.1697631949901</v>
      </c>
      <c r="AH235">
        <v>807020.54032767017</v>
      </c>
      <c r="AI235">
        <v>0</v>
      </c>
    </row>
    <row r="236" spans="1:35" x14ac:dyDescent="0.25">
      <c r="A236" t="s">
        <v>373</v>
      </c>
      <c r="B236">
        <v>194524.26215508243</v>
      </c>
      <c r="C236">
        <v>499.9965820524568</v>
      </c>
      <c r="D236">
        <v>478.73093056741936</v>
      </c>
      <c r="E236">
        <v>-135.20574009895381</v>
      </c>
      <c r="F236">
        <v>116757.13680027815</v>
      </c>
      <c r="G236">
        <v>13118.435012437218</v>
      </c>
      <c r="H236">
        <v>36022.198304428908</v>
      </c>
      <c r="I236">
        <v>-3593.7898149802454</v>
      </c>
      <c r="J236">
        <v>1.2791224934365761E-4</v>
      </c>
      <c r="K236">
        <v>-1.2761290552496117E-5</v>
      </c>
      <c r="L236">
        <v>-9.9765977206849099E-2</v>
      </c>
      <c r="M236" t="s">
        <v>367</v>
      </c>
      <c r="N236" t="s">
        <v>79</v>
      </c>
      <c r="O236" t="s">
        <v>80</v>
      </c>
      <c r="Q236" t="s">
        <v>372</v>
      </c>
      <c r="R236">
        <v>904000</v>
      </c>
      <c r="S236" t="s">
        <v>341</v>
      </c>
      <c r="T236" t="s">
        <v>369</v>
      </c>
      <c r="U236" t="s">
        <v>80</v>
      </c>
      <c r="V236">
        <v>371500</v>
      </c>
      <c r="W236">
        <v>556501</v>
      </c>
      <c r="X236">
        <v>0</v>
      </c>
      <c r="Y236">
        <v>532500</v>
      </c>
      <c r="Z236">
        <v>4300000</v>
      </c>
      <c r="AA236">
        <v>904000</v>
      </c>
      <c r="AB236">
        <v>0</v>
      </c>
      <c r="AC236">
        <v>1</v>
      </c>
      <c r="AD236">
        <v>-904000</v>
      </c>
      <c r="AE236">
        <v>904000</v>
      </c>
      <c r="AF236">
        <v>904000</v>
      </c>
      <c r="AG236">
        <v>0</v>
      </c>
      <c r="AH236">
        <v>492148.67706453829</v>
      </c>
      <c r="AI236">
        <v>0</v>
      </c>
    </row>
    <row r="237" spans="1:35" x14ac:dyDescent="0.25">
      <c r="A237" t="s">
        <v>377</v>
      </c>
      <c r="B237">
        <v>-1303958.6616250449</v>
      </c>
      <c r="C237">
        <v>-4431.6057914796274</v>
      </c>
      <c r="D237">
        <v>-8605.5384210018019</v>
      </c>
      <c r="E237">
        <v>-534.50836694015675</v>
      </c>
      <c r="F237">
        <v>246426.93893338708</v>
      </c>
      <c r="G237">
        <v>67122.884255582539</v>
      </c>
      <c r="H237">
        <v>386663.99275242566</v>
      </c>
      <c r="I237">
        <v>-168070.03305925106</v>
      </c>
      <c r="J237">
        <v>1.3730161783902435E-3</v>
      </c>
      <c r="K237">
        <v>-5.9680466456230974E-4</v>
      </c>
      <c r="L237">
        <v>-0.43466688445143936</v>
      </c>
      <c r="M237" t="s">
        <v>367</v>
      </c>
      <c r="N237" t="s">
        <v>83</v>
      </c>
      <c r="O237" t="s">
        <v>80</v>
      </c>
      <c r="Q237" t="s">
        <v>373</v>
      </c>
      <c r="R237">
        <v>18750</v>
      </c>
      <c r="S237" t="s">
        <v>341</v>
      </c>
      <c r="T237" t="s">
        <v>367</v>
      </c>
      <c r="U237" t="s">
        <v>80</v>
      </c>
      <c r="V237">
        <v>1350</v>
      </c>
      <c r="W237">
        <v>-85480.5</v>
      </c>
      <c r="X237">
        <v>-718.59982487405023</v>
      </c>
      <c r="Y237">
        <v>12500</v>
      </c>
      <c r="Z237">
        <v>1260000</v>
      </c>
      <c r="AA237">
        <v>18750</v>
      </c>
      <c r="AB237">
        <v>0</v>
      </c>
      <c r="AC237">
        <v>1</v>
      </c>
      <c r="AD237">
        <v>-18750</v>
      </c>
      <c r="AE237">
        <v>104230.5</v>
      </c>
      <c r="AF237">
        <v>18750</v>
      </c>
      <c r="AG237">
        <v>-718.59982487405023</v>
      </c>
      <c r="AH237">
        <v>36022.198304428908</v>
      </c>
      <c r="AI237">
        <v>9.9000000000000005E-2</v>
      </c>
    </row>
    <row r="238" spans="1:35" x14ac:dyDescent="0.25">
      <c r="A238" t="s">
        <v>378</v>
      </c>
      <c r="B238">
        <v>-851723.76820647519</v>
      </c>
      <c r="C238">
        <v>-3465.299582018959</v>
      </c>
      <c r="D238">
        <v>-7373.5558259602567</v>
      </c>
      <c r="E238">
        <v>-946.34409811149055</v>
      </c>
      <c r="F238">
        <v>488653.04237859405</v>
      </c>
      <c r="G238">
        <v>118101.18486787622</v>
      </c>
      <c r="H238">
        <v>402974.62745184265</v>
      </c>
      <c r="I238">
        <v>-176911.90961734255</v>
      </c>
      <c r="J238">
        <v>1.4309340754323188E-3</v>
      </c>
      <c r="K238">
        <v>-6.282015357195424E-4</v>
      </c>
      <c r="L238">
        <v>-0.43901500880098021</v>
      </c>
      <c r="M238" t="s">
        <v>367</v>
      </c>
      <c r="N238" t="s">
        <v>83</v>
      </c>
      <c r="O238" t="s">
        <v>80</v>
      </c>
      <c r="Q238" t="s">
        <v>374</v>
      </c>
      <c r="R238">
        <v>136979.70130796541</v>
      </c>
      <c r="S238" t="s">
        <v>341</v>
      </c>
      <c r="T238" t="s">
        <v>375</v>
      </c>
      <c r="U238" t="s">
        <v>80</v>
      </c>
      <c r="V238">
        <v>56455.199567509808</v>
      </c>
      <c r="W238">
        <v>56455.199567509808</v>
      </c>
      <c r="X238">
        <v>3573.5426211951635</v>
      </c>
      <c r="Y238">
        <v>80515.313893557002</v>
      </c>
      <c r="Z238">
        <v>200000</v>
      </c>
      <c r="AA238">
        <v>136979.70130796541</v>
      </c>
      <c r="AB238">
        <v>0</v>
      </c>
      <c r="AC238">
        <v>1</v>
      </c>
      <c r="AD238">
        <v>-136979.70130796541</v>
      </c>
      <c r="AE238">
        <v>136979.70130796541</v>
      </c>
      <c r="AF238">
        <v>136979.70130796541</v>
      </c>
      <c r="AG238">
        <v>3573.5426211951635</v>
      </c>
      <c r="AH238">
        <v>14609.446680426829</v>
      </c>
      <c r="AI238">
        <v>0</v>
      </c>
    </row>
    <row r="239" spans="1:35" x14ac:dyDescent="0.25">
      <c r="A239" t="s">
        <v>379</v>
      </c>
      <c r="B239">
        <v>7817.311862866628</v>
      </c>
      <c r="C239">
        <v>15.025025316902081</v>
      </c>
      <c r="D239">
        <v>13.460949385165993</v>
      </c>
      <c r="E239">
        <v>-3.9997080185358733</v>
      </c>
      <c r="F239">
        <v>4506.3407024633143</v>
      </c>
      <c r="G239">
        <v>454.48194101683453</v>
      </c>
      <c r="H239">
        <v>1138.5361415647874</v>
      </c>
      <c r="I239">
        <v>-128.74490742056759</v>
      </c>
      <c r="J239">
        <v>4.0428603939114808E-6</v>
      </c>
      <c r="K239">
        <v>-4.5716395652846698E-7</v>
      </c>
      <c r="L239">
        <v>-0.11307933294381244</v>
      </c>
      <c r="M239" t="s">
        <v>367</v>
      </c>
      <c r="N239" t="s">
        <v>79</v>
      </c>
      <c r="O239" t="s">
        <v>80</v>
      </c>
      <c r="Q239" t="s">
        <v>376</v>
      </c>
      <c r="R239">
        <v>3484488.1568990899</v>
      </c>
      <c r="S239" t="s">
        <v>341</v>
      </c>
      <c r="T239" t="s">
        <v>355</v>
      </c>
      <c r="U239" t="s">
        <v>80</v>
      </c>
      <c r="V239">
        <v>129976.13263380001</v>
      </c>
      <c r="W239">
        <v>111571.13263380001</v>
      </c>
      <c r="X239">
        <v>46958.257193754602</v>
      </c>
      <c r="Y239">
        <v>60000000</v>
      </c>
      <c r="Z239">
        <v>4000000</v>
      </c>
      <c r="AA239">
        <v>3316885.0723349401</v>
      </c>
      <c r="AB239">
        <v>2500000</v>
      </c>
      <c r="AC239">
        <v>1</v>
      </c>
      <c r="AD239">
        <v>-816885.07233494008</v>
      </c>
      <c r="AE239">
        <v>816885.07233494008</v>
      </c>
      <c r="AF239">
        <v>816885.07233494008</v>
      </c>
      <c r="AG239">
        <v>-2283.6541694086482</v>
      </c>
      <c r="AH239">
        <v>366182.83699618682</v>
      </c>
      <c r="AI239">
        <v>0</v>
      </c>
    </row>
    <row r="240" spans="1:35" x14ac:dyDescent="0.25">
      <c r="A240" t="s">
        <v>381</v>
      </c>
      <c r="B240">
        <v>-1855140.9864511674</v>
      </c>
      <c r="C240">
        <v>-5545.0283278471334</v>
      </c>
      <c r="D240">
        <v>-11135.0462037329</v>
      </c>
      <c r="E240">
        <v>-964.80129192607762</v>
      </c>
      <c r="F240">
        <v>331241.67203339509</v>
      </c>
      <c r="G240">
        <v>139780.00019047735</v>
      </c>
      <c r="H240">
        <v>525054.31047849567</v>
      </c>
      <c r="I240">
        <v>-260944.66968186566</v>
      </c>
      <c r="J240">
        <v>1.8644302969324934E-3</v>
      </c>
      <c r="K240">
        <v>-9.2659585545453403E-4</v>
      </c>
      <c r="L240">
        <v>-0.49698605358378983</v>
      </c>
      <c r="M240" t="s">
        <v>367</v>
      </c>
      <c r="N240" t="s">
        <v>83</v>
      </c>
      <c r="O240" t="s">
        <v>80</v>
      </c>
      <c r="Q240" t="s">
        <v>274</v>
      </c>
      <c r="R240">
        <v>6107959.0932421843</v>
      </c>
      <c r="S240" t="s">
        <v>341</v>
      </c>
      <c r="T240" t="s">
        <v>355</v>
      </c>
      <c r="U240" t="s">
        <v>80</v>
      </c>
      <c r="V240">
        <v>-955263.66086473351</v>
      </c>
      <c r="W240">
        <v>-955263.66086473351</v>
      </c>
      <c r="X240">
        <v>81890.494153077991</v>
      </c>
      <c r="Y240">
        <v>7052000</v>
      </c>
      <c r="Z240">
        <v>8050000</v>
      </c>
      <c r="AA240">
        <v>6377002.6928550098</v>
      </c>
      <c r="AB240">
        <v>5550000</v>
      </c>
      <c r="AC240">
        <v>1</v>
      </c>
      <c r="AD240">
        <v>-827002.69285500981</v>
      </c>
      <c r="AE240">
        <v>1782266.3537197434</v>
      </c>
      <c r="AF240">
        <v>827002.69285500981</v>
      </c>
      <c r="AG240">
        <v>52221.405281136846</v>
      </c>
      <c r="AH240">
        <v>2712136.1794204311</v>
      </c>
      <c r="AI240">
        <v>0.253</v>
      </c>
    </row>
    <row r="241" spans="1:35" x14ac:dyDescent="0.25">
      <c r="A241" t="s">
        <v>382</v>
      </c>
      <c r="B241">
        <v>-1385215.2706822853</v>
      </c>
      <c r="C241">
        <v>-2756.8163116692112</v>
      </c>
      <c r="D241">
        <v>-4395.7305853009975</v>
      </c>
      <c r="E241">
        <v>-491.29580500582449</v>
      </c>
      <c r="F241">
        <v>81606.718830301543</v>
      </c>
      <c r="G241">
        <v>-10001.69206611441</v>
      </c>
      <c r="H241">
        <v>437978.11045937543</v>
      </c>
      <c r="I241">
        <v>-81351.306617866867</v>
      </c>
      <c r="J241">
        <v>1.5552289396301411E-3</v>
      </c>
      <c r="K241">
        <v>-2.8887267036275068E-4</v>
      </c>
      <c r="L241">
        <v>-0.18574285946058133</v>
      </c>
      <c r="M241" t="s">
        <v>367</v>
      </c>
      <c r="N241" t="s">
        <v>79</v>
      </c>
      <c r="O241" t="s">
        <v>80</v>
      </c>
      <c r="Q241" t="s">
        <v>275</v>
      </c>
      <c r="R241">
        <v>6383117.4643923314</v>
      </c>
      <c r="S241" t="s">
        <v>341</v>
      </c>
      <c r="T241" t="s">
        <v>355</v>
      </c>
      <c r="U241" t="s">
        <v>80</v>
      </c>
      <c r="V241">
        <v>228690.75846587092</v>
      </c>
      <c r="W241">
        <v>274307.16519709997</v>
      </c>
      <c r="X241">
        <v>86354.759056139097</v>
      </c>
      <c r="Y241">
        <v>60000000</v>
      </c>
      <c r="Z241">
        <v>30350000</v>
      </c>
      <c r="AA241">
        <v>6136053.9545262903</v>
      </c>
      <c r="AB241">
        <v>20000000</v>
      </c>
      <c r="AC241">
        <v>1</v>
      </c>
      <c r="AD241">
        <v>13863946.04547371</v>
      </c>
      <c r="AE241">
        <v>13863946.04547371</v>
      </c>
      <c r="AF241">
        <v>13863946.04547371</v>
      </c>
      <c r="AG241">
        <v>-43427.82624737118</v>
      </c>
      <c r="AH241">
        <v>2997365.7066791616</v>
      </c>
      <c r="AI241">
        <v>0</v>
      </c>
    </row>
    <row r="242" spans="1:35" x14ac:dyDescent="0.25">
      <c r="A242" t="s">
        <v>368</v>
      </c>
      <c r="B242">
        <v>4919005.9093620926</v>
      </c>
      <c r="C242">
        <v>29828.679940326201</v>
      </c>
      <c r="D242">
        <v>110751.89637643559</v>
      </c>
      <c r="E242">
        <v>15268.385885208627</v>
      </c>
      <c r="F242">
        <v>-15534174.851619363</v>
      </c>
      <c r="G242">
        <v>-1401947.568045239</v>
      </c>
      <c r="H242">
        <v>5860248.3322020052</v>
      </c>
      <c r="I242">
        <v>3802219.3565564044</v>
      </c>
      <c r="J242">
        <v>2.0809322616832462E-2</v>
      </c>
      <c r="K242">
        <v>1.3501408944698626E-2</v>
      </c>
      <c r="L242">
        <v>0.64881539843000335</v>
      </c>
      <c r="M242" t="s">
        <v>369</v>
      </c>
      <c r="N242" t="s">
        <v>83</v>
      </c>
      <c r="O242" t="s">
        <v>80</v>
      </c>
      <c r="Q242" t="s">
        <v>377</v>
      </c>
      <c r="R242">
        <v>419060.7845489743</v>
      </c>
      <c r="S242" t="s">
        <v>341</v>
      </c>
      <c r="T242" t="s">
        <v>367</v>
      </c>
      <c r="U242" t="s">
        <v>80</v>
      </c>
      <c r="V242">
        <v>30595.520313459216</v>
      </c>
      <c r="W242">
        <v>-44901.479686540784</v>
      </c>
      <c r="X242">
        <v>-816.18200957231602</v>
      </c>
      <c r="Y242">
        <v>392500</v>
      </c>
      <c r="Z242">
        <v>1278000</v>
      </c>
      <c r="AA242">
        <v>369268.32439121825</v>
      </c>
      <c r="AB242">
        <v>0</v>
      </c>
      <c r="AC242">
        <v>1</v>
      </c>
      <c r="AD242">
        <v>-369268.32439121825</v>
      </c>
      <c r="AE242">
        <v>414169.80407775904</v>
      </c>
      <c r="AF242">
        <v>369268.32439121825</v>
      </c>
      <c r="AG242">
        <v>-816.18200957231602</v>
      </c>
      <c r="AH242">
        <v>386663.99275242566</v>
      </c>
      <c r="AI242">
        <v>1.2E-2</v>
      </c>
    </row>
    <row r="243" spans="1:35" x14ac:dyDescent="0.25">
      <c r="A243" t="s">
        <v>372</v>
      </c>
      <c r="B243">
        <v>1763759.1132158744</v>
      </c>
      <c r="C243">
        <v>5706.6106614759901</v>
      </c>
      <c r="D243">
        <v>12343.535198463964</v>
      </c>
      <c r="E243">
        <v>367.21578957731589</v>
      </c>
      <c r="F243">
        <v>-469404.00479735306</v>
      </c>
      <c r="G243">
        <v>-56352.17806375146</v>
      </c>
      <c r="H243">
        <v>492148.67706453829</v>
      </c>
      <c r="I243">
        <v>294956.62382612564</v>
      </c>
      <c r="J243">
        <v>1.7475847465725197E-3</v>
      </c>
      <c r="K243">
        <v>1.0473698715875454E-3</v>
      </c>
      <c r="L243">
        <v>0.59932422369886063</v>
      </c>
      <c r="M243" t="s">
        <v>369</v>
      </c>
      <c r="N243" t="s">
        <v>83</v>
      </c>
      <c r="O243" t="s">
        <v>80</v>
      </c>
      <c r="Q243" t="s">
        <v>378</v>
      </c>
      <c r="R243">
        <v>584956.01275689388</v>
      </c>
      <c r="S243" t="s">
        <v>341</v>
      </c>
      <c r="T243" t="s">
        <v>367</v>
      </c>
      <c r="U243" t="s">
        <v>80</v>
      </c>
      <c r="V243">
        <v>-29793.563911574893</v>
      </c>
      <c r="W243">
        <v>49707.436088425107</v>
      </c>
      <c r="X243">
        <v>3802.7853045897791</v>
      </c>
      <c r="Y243">
        <v>612500</v>
      </c>
      <c r="Z243">
        <v>1666500</v>
      </c>
      <c r="AA243">
        <v>618800.31066108309</v>
      </c>
      <c r="AB243">
        <v>0</v>
      </c>
      <c r="AC243">
        <v>1</v>
      </c>
      <c r="AD243">
        <v>-618800.31066108309</v>
      </c>
      <c r="AE243">
        <v>618800.31066108309</v>
      </c>
      <c r="AF243">
        <v>618800.31066108309</v>
      </c>
      <c r="AG243">
        <v>3802.7853045897791</v>
      </c>
      <c r="AH243">
        <v>402974.62745184265</v>
      </c>
      <c r="AI243">
        <v>1E-3</v>
      </c>
    </row>
    <row r="244" spans="1:35" x14ac:dyDescent="0.25">
      <c r="A244" t="s">
        <v>370</v>
      </c>
      <c r="B244">
        <v>681368.78348934255</v>
      </c>
      <c r="C244">
        <v>3935.7722263845299</v>
      </c>
      <c r="D244">
        <v>11001.394695351963</v>
      </c>
      <c r="E244">
        <v>1529.6377109233954</v>
      </c>
      <c r="F244">
        <v>-627956.50284254248</v>
      </c>
      <c r="G244">
        <v>-278489.91814038518</v>
      </c>
      <c r="H244">
        <v>807020.54032767017</v>
      </c>
      <c r="I244">
        <v>181760.51942636419</v>
      </c>
      <c r="J244">
        <v>2.8656722087711797E-3</v>
      </c>
      <c r="K244">
        <v>6.4541860230776966E-4</v>
      </c>
      <c r="L244">
        <v>0.22522415520249936</v>
      </c>
      <c r="M244" t="s">
        <v>371</v>
      </c>
      <c r="N244" t="s">
        <v>83</v>
      </c>
      <c r="O244" t="s">
        <v>80</v>
      </c>
      <c r="Q244" t="s">
        <v>379</v>
      </c>
      <c r="R244">
        <v>-202114.86790611403</v>
      </c>
      <c r="S244" t="s">
        <v>380</v>
      </c>
      <c r="T244" t="s">
        <v>367</v>
      </c>
      <c r="U244" t="s">
        <v>80</v>
      </c>
      <c r="V244">
        <v>-202114.870906114</v>
      </c>
      <c r="W244">
        <v>-152775.68199445575</v>
      </c>
      <c r="X244">
        <v>0</v>
      </c>
      <c r="AC244">
        <v>1</v>
      </c>
      <c r="AD244">
        <v>0</v>
      </c>
      <c r="AE244">
        <v>152775.68199445575</v>
      </c>
      <c r="AF244">
        <v>0</v>
      </c>
      <c r="AG244">
        <v>0</v>
      </c>
      <c r="AH244">
        <v>1138.5361415647874</v>
      </c>
      <c r="AI244">
        <v>0</v>
      </c>
    </row>
    <row r="245" spans="1:35" x14ac:dyDescent="0.25">
      <c r="A245" t="s">
        <v>383</v>
      </c>
      <c r="B245">
        <v>-6982386.5557179563</v>
      </c>
      <c r="C245">
        <v>-29588.344458011063</v>
      </c>
      <c r="D245">
        <v>-64755.934717318705</v>
      </c>
      <c r="E245">
        <v>-54.170892773523519</v>
      </c>
      <c r="F245">
        <v>1922230.6350266477</v>
      </c>
      <c r="G245">
        <v>302362.70455722755</v>
      </c>
      <c r="H245">
        <v>2791756.7764904019</v>
      </c>
      <c r="I245">
        <v>-629197.88553237845</v>
      </c>
      <c r="J245">
        <v>9.9133286059718585E-3</v>
      </c>
      <c r="K245">
        <v>-2.2342366820745779E-3</v>
      </c>
      <c r="L245">
        <v>-0.22537704245258841</v>
      </c>
      <c r="M245" t="s">
        <v>384</v>
      </c>
      <c r="N245" t="s">
        <v>83</v>
      </c>
      <c r="O245" t="s">
        <v>80</v>
      </c>
      <c r="Q245" t="s">
        <v>381</v>
      </c>
      <c r="R245">
        <v>847199.01512582181</v>
      </c>
      <c r="S245" t="s">
        <v>341</v>
      </c>
      <c r="T245" t="s">
        <v>367</v>
      </c>
      <c r="U245" t="s">
        <v>80</v>
      </c>
      <c r="V245">
        <v>147199.01512582181</v>
      </c>
      <c r="W245">
        <v>147199.01512582181</v>
      </c>
      <c r="X245">
        <v>5039.322412125448</v>
      </c>
      <c r="Y245">
        <v>700000</v>
      </c>
      <c r="Z245">
        <v>1400000</v>
      </c>
      <c r="AA245">
        <v>847199.01512582181</v>
      </c>
      <c r="AB245">
        <v>0</v>
      </c>
      <c r="AC245">
        <v>1</v>
      </c>
      <c r="AD245">
        <v>-847199.01512582181</v>
      </c>
      <c r="AE245">
        <v>847199.01512582181</v>
      </c>
      <c r="AF245">
        <v>847199.01512582181</v>
      </c>
      <c r="AG245">
        <v>5039.322412125448</v>
      </c>
      <c r="AH245">
        <v>525054.31047849567</v>
      </c>
      <c r="AI245">
        <v>1E-3</v>
      </c>
    </row>
    <row r="246" spans="1:35" x14ac:dyDescent="0.25">
      <c r="A246" t="s">
        <v>376</v>
      </c>
      <c r="B246">
        <v>213312.07369792394</v>
      </c>
      <c r="C246">
        <v>2892.7074875307117</v>
      </c>
      <c r="D246">
        <v>6508.1344564028386</v>
      </c>
      <c r="E246">
        <v>712.55948779980622</v>
      </c>
      <c r="F246">
        <v>-407581.55380905891</v>
      </c>
      <c r="G246">
        <v>-111181.8111348505</v>
      </c>
      <c r="H246">
        <v>366182.83699618682</v>
      </c>
      <c r="I246">
        <v>188771.70457698964</v>
      </c>
      <c r="J246">
        <v>1.3002890594121601E-3</v>
      </c>
      <c r="K246">
        <v>6.7031481923496066E-4</v>
      </c>
      <c r="L246">
        <v>0.51551215814889573</v>
      </c>
      <c r="M246" t="s">
        <v>355</v>
      </c>
      <c r="N246" t="s">
        <v>88</v>
      </c>
      <c r="O246" t="s">
        <v>80</v>
      </c>
      <c r="Q246" t="s">
        <v>382</v>
      </c>
      <c r="R246">
        <v>712747.88076344004</v>
      </c>
      <c r="S246" t="s">
        <v>341</v>
      </c>
      <c r="T246" t="s">
        <v>367</v>
      </c>
      <c r="U246" t="s">
        <v>80</v>
      </c>
      <c r="V246">
        <v>-64828.482864945123</v>
      </c>
      <c r="W246">
        <v>280851.22651760018</v>
      </c>
      <c r="X246">
        <v>-931.83913179065712</v>
      </c>
      <c r="Y246">
        <v>685000</v>
      </c>
      <c r="Z246">
        <v>2670000</v>
      </c>
      <c r="AA246">
        <v>764665.36335956398</v>
      </c>
      <c r="AB246">
        <v>0</v>
      </c>
      <c r="AC246">
        <v>1</v>
      </c>
      <c r="AD246">
        <v>-764665.36335956398</v>
      </c>
      <c r="AE246">
        <v>764665.36335956398</v>
      </c>
      <c r="AF246">
        <v>764665.36335956398</v>
      </c>
      <c r="AG246">
        <v>-931.83913179065712</v>
      </c>
      <c r="AH246">
        <v>437978.11045937543</v>
      </c>
      <c r="AI246">
        <v>0</v>
      </c>
    </row>
    <row r="247" spans="1:35" x14ac:dyDescent="0.25">
      <c r="A247" t="s">
        <v>274</v>
      </c>
      <c r="B247">
        <v>-17686014.462798208</v>
      </c>
      <c r="C247">
        <v>-41505.507586312451</v>
      </c>
      <c r="D247">
        <v>-60862.115886468178</v>
      </c>
      <c r="E247">
        <v>7670.4354223050705</v>
      </c>
      <c r="F247">
        <v>-5782246.9416982615</v>
      </c>
      <c r="G247">
        <v>-528736.22831752687</v>
      </c>
      <c r="H247">
        <v>2712136.1794204311</v>
      </c>
      <c r="I247">
        <v>-508732.51213276316</v>
      </c>
      <c r="J247">
        <v>9.6306015614079834E-3</v>
      </c>
      <c r="K247">
        <v>-1.8064727585809391E-3</v>
      </c>
      <c r="L247">
        <v>-0.18757631567065197</v>
      </c>
      <c r="M247" t="s">
        <v>355</v>
      </c>
      <c r="N247" t="s">
        <v>88</v>
      </c>
      <c r="O247" t="s">
        <v>80</v>
      </c>
      <c r="Q247" t="s">
        <v>383</v>
      </c>
      <c r="R247">
        <v>4619120</v>
      </c>
      <c r="S247" t="s">
        <v>341</v>
      </c>
      <c r="T247" t="s">
        <v>384</v>
      </c>
      <c r="U247" t="s">
        <v>80</v>
      </c>
      <c r="V247">
        <v>321635.62674877793</v>
      </c>
      <c r="W247">
        <v>680386.06607014313</v>
      </c>
      <c r="X247">
        <v>0</v>
      </c>
      <c r="Y247">
        <v>1997767499.9999998</v>
      </c>
      <c r="Z247">
        <v>10500000</v>
      </c>
      <c r="AA247">
        <v>4619120</v>
      </c>
      <c r="AB247">
        <v>0</v>
      </c>
      <c r="AC247">
        <v>1</v>
      </c>
      <c r="AD247">
        <v>-4619120</v>
      </c>
      <c r="AE247">
        <v>4619120</v>
      </c>
      <c r="AF247">
        <v>4619120</v>
      </c>
      <c r="AG247">
        <v>0</v>
      </c>
      <c r="AH247">
        <v>2791756.7764904019</v>
      </c>
      <c r="AI247">
        <v>0</v>
      </c>
    </row>
    <row r="248" spans="1:35" x14ac:dyDescent="0.25">
      <c r="A248" t="s">
        <v>275</v>
      </c>
      <c r="B248">
        <v>15820930.920579838</v>
      </c>
      <c r="C248">
        <v>45606.109506395405</v>
      </c>
      <c r="D248">
        <v>77811.986353023647</v>
      </c>
      <c r="E248">
        <v>-1981.8250175245284</v>
      </c>
      <c r="F248">
        <v>2027639.0031035636</v>
      </c>
      <c r="G248">
        <v>-301519.55728285469</v>
      </c>
      <c r="H248">
        <v>2997365.7066791616</v>
      </c>
      <c r="I248">
        <v>1377996.5695990918</v>
      </c>
      <c r="J248">
        <v>1.0643431208909163E-2</v>
      </c>
      <c r="K248">
        <v>4.8931672441432442E-3</v>
      </c>
      <c r="L248">
        <v>0.45973588292160722</v>
      </c>
      <c r="M248" t="s">
        <v>355</v>
      </c>
      <c r="N248" t="s">
        <v>88</v>
      </c>
      <c r="O248" t="s">
        <v>80</v>
      </c>
      <c r="Q248" t="s">
        <v>385</v>
      </c>
      <c r="R248">
        <v>19888388.888888888</v>
      </c>
      <c r="S248" t="s">
        <v>380</v>
      </c>
      <c r="T248" t="s">
        <v>386</v>
      </c>
      <c r="U248" t="s">
        <v>87</v>
      </c>
      <c r="V248">
        <v>180055.88888888806</v>
      </c>
      <c r="W248">
        <v>405746.16666666418</v>
      </c>
      <c r="X248">
        <v>449.31506871961346</v>
      </c>
      <c r="AC248">
        <v>1</v>
      </c>
      <c r="AD248">
        <v>0</v>
      </c>
      <c r="AE248">
        <v>0</v>
      </c>
      <c r="AF248">
        <v>0</v>
      </c>
      <c r="AG248">
        <v>449.31506871961346</v>
      </c>
      <c r="AI248">
        <v>0</v>
      </c>
    </row>
    <row r="249" spans="1:35" x14ac:dyDescent="0.25">
      <c r="Q249" t="s">
        <v>263</v>
      </c>
      <c r="R249">
        <v>227799218.0730952</v>
      </c>
      <c r="S249" t="s">
        <v>380</v>
      </c>
      <c r="T249" t="s">
        <v>263</v>
      </c>
      <c r="U249" t="s">
        <v>87</v>
      </c>
      <c r="V249">
        <v>660103.08623785805</v>
      </c>
      <c r="W249">
        <v>2394257.270132497</v>
      </c>
      <c r="X249">
        <v>5145.5187126970341</v>
      </c>
      <c r="AC249">
        <v>1</v>
      </c>
      <c r="AD249">
        <v>0</v>
      </c>
      <c r="AE249">
        <v>0</v>
      </c>
      <c r="AF249">
        <v>0</v>
      </c>
      <c r="AG249">
        <v>5145.5187126970341</v>
      </c>
      <c r="AH249">
        <v>115153.59315876418</v>
      </c>
      <c r="AI249">
        <v>0</v>
      </c>
    </row>
    <row r="250" spans="1:35" x14ac:dyDescent="0.25">
      <c r="Q250" t="s">
        <v>387</v>
      </c>
      <c r="R250">
        <v>275513.83675291325</v>
      </c>
      <c r="S250" t="s">
        <v>380</v>
      </c>
      <c r="T250" t="s">
        <v>387</v>
      </c>
      <c r="U250" t="s">
        <v>388</v>
      </c>
      <c r="V250">
        <v>0</v>
      </c>
      <c r="W250">
        <v>0</v>
      </c>
      <c r="X250">
        <v>275513.83675291325</v>
      </c>
      <c r="AC250">
        <v>1</v>
      </c>
      <c r="AD250">
        <v>0</v>
      </c>
      <c r="AE250">
        <v>0</v>
      </c>
      <c r="AF250">
        <v>0</v>
      </c>
      <c r="AG250">
        <v>275513.83675291325</v>
      </c>
      <c r="AI250">
        <v>0</v>
      </c>
    </row>
    <row r="251" spans="1:35" x14ac:dyDescent="0.25">
      <c r="Q251" t="s">
        <v>389</v>
      </c>
      <c r="R251">
        <v>3982851.290356061</v>
      </c>
      <c r="S251" t="s">
        <v>380</v>
      </c>
      <c r="T251" t="s">
        <v>389</v>
      </c>
      <c r="U251" t="s">
        <v>388</v>
      </c>
      <c r="V251">
        <v>0</v>
      </c>
      <c r="W251">
        <v>0</v>
      </c>
      <c r="X251">
        <v>3982851.290356061</v>
      </c>
      <c r="AC251">
        <v>1</v>
      </c>
      <c r="AD251">
        <v>0</v>
      </c>
      <c r="AE251">
        <v>0</v>
      </c>
      <c r="AF251">
        <v>0</v>
      </c>
      <c r="AG251">
        <v>3982851.290356061</v>
      </c>
      <c r="AI251">
        <v>0</v>
      </c>
    </row>
    <row r="252" spans="1:35" x14ac:dyDescent="0.25">
      <c r="Q252" t="s">
        <v>390</v>
      </c>
      <c r="R252">
        <v>-80500.530149612896</v>
      </c>
      <c r="S252" t="s">
        <v>380</v>
      </c>
      <c r="T252" t="s">
        <v>390</v>
      </c>
      <c r="U252" t="s">
        <v>388</v>
      </c>
      <c r="V252">
        <v>0</v>
      </c>
      <c r="W252">
        <v>0</v>
      </c>
      <c r="X252">
        <v>-80500.530149612896</v>
      </c>
      <c r="AC252">
        <v>1</v>
      </c>
      <c r="AD252">
        <v>0</v>
      </c>
      <c r="AE252">
        <v>0</v>
      </c>
      <c r="AF252">
        <v>0</v>
      </c>
      <c r="AG252">
        <v>-80500.530149612896</v>
      </c>
      <c r="AI252">
        <v>0</v>
      </c>
    </row>
    <row r="253" spans="1:35" x14ac:dyDescent="0.25">
      <c r="Q253" t="s">
        <v>391</v>
      </c>
      <c r="R253">
        <v>1515680.067056651</v>
      </c>
      <c r="S253" t="s">
        <v>380</v>
      </c>
      <c r="T253" t="s">
        <v>391</v>
      </c>
      <c r="U253" t="s">
        <v>388</v>
      </c>
      <c r="V253">
        <v>0</v>
      </c>
      <c r="W253">
        <v>0</v>
      </c>
      <c r="X253">
        <v>1515680.067056651</v>
      </c>
      <c r="AC253">
        <v>1</v>
      </c>
      <c r="AD253">
        <v>0</v>
      </c>
      <c r="AE253">
        <v>0</v>
      </c>
      <c r="AF253">
        <v>0</v>
      </c>
      <c r="AG253">
        <v>1515680.067056651</v>
      </c>
      <c r="AI253">
        <v>0</v>
      </c>
    </row>
    <row r="308" spans="1:12" x14ac:dyDescent="0.25">
      <c r="A308" t="s">
        <v>221</v>
      </c>
    </row>
    <row r="309" spans="1:12" x14ac:dyDescent="0.25">
      <c r="A309" t="s">
        <v>397</v>
      </c>
      <c r="B309" t="s">
        <v>398</v>
      </c>
      <c r="C309" t="s">
        <v>399</v>
      </c>
      <c r="D309" t="s">
        <v>400</v>
      </c>
      <c r="E309" t="s">
        <v>401</v>
      </c>
      <c r="F309" t="s">
        <v>402</v>
      </c>
      <c r="G309" t="s">
        <v>403</v>
      </c>
      <c r="H309" t="s">
        <v>404</v>
      </c>
      <c r="I309" t="s">
        <v>405</v>
      </c>
      <c r="J309" t="s">
        <v>406</v>
      </c>
      <c r="K309" t="s">
        <v>407</v>
      </c>
      <c r="L309" t="s">
        <v>408</v>
      </c>
    </row>
    <row r="310" spans="1:12" x14ac:dyDescent="0.25">
      <c r="A310" t="s">
        <v>84</v>
      </c>
      <c r="B310">
        <v>1166522.7630990136</v>
      </c>
      <c r="C310">
        <v>-1693.3543274069132</v>
      </c>
      <c r="D310">
        <v>-3468.3488141195394</v>
      </c>
      <c r="E310">
        <v>-3147.9487965394692</v>
      </c>
      <c r="F310">
        <v>134035.4968729564</v>
      </c>
      <c r="G310">
        <v>-420958.31945575844</v>
      </c>
      <c r="H310">
        <v>1884309.890551134</v>
      </c>
      <c r="I310">
        <v>396999.84649383905</v>
      </c>
      <c r="J310">
        <v>6.691049627897439E-3</v>
      </c>
      <c r="K310">
        <v>1.4097180556543164E-3</v>
      </c>
      <c r="L310">
        <v>0.21068713192272309</v>
      </c>
    </row>
    <row r="311" spans="1:12" x14ac:dyDescent="0.25">
      <c r="A311" t="s">
        <v>85</v>
      </c>
      <c r="B311">
        <v>4219581.1893675188</v>
      </c>
      <c r="C311">
        <v>364.92258784270967</v>
      </c>
      <c r="D311">
        <v>5588.8736152597457</v>
      </c>
      <c r="E311">
        <v>4259.8989768323008</v>
      </c>
      <c r="F311">
        <v>240603.86016583929</v>
      </c>
      <c r="G311">
        <v>1711769.3318063149</v>
      </c>
      <c r="H311">
        <v>3336046.6249714359</v>
      </c>
      <c r="I311">
        <v>469023.29100288433</v>
      </c>
      <c r="J311">
        <v>1.1846062922343874E-2</v>
      </c>
      <c r="K311">
        <v>1.6654681549339986E-3</v>
      </c>
      <c r="L311">
        <v>0.90155043317331018</v>
      </c>
    </row>
    <row r="312" spans="1:12" x14ac:dyDescent="0.25">
      <c r="A312" t="s">
        <v>79</v>
      </c>
      <c r="B312">
        <v>34649644.919967584</v>
      </c>
      <c r="C312">
        <v>20363.164684551532</v>
      </c>
      <c r="D312">
        <v>17476.455541192947</v>
      </c>
      <c r="E312">
        <v>-1309.0846642682645</v>
      </c>
      <c r="F312">
        <v>712555.22690397361</v>
      </c>
      <c r="G312">
        <v>-917687.25955859746</v>
      </c>
      <c r="H312">
        <v>10775596.394255431</v>
      </c>
      <c r="I312">
        <v>2221439.9964403627</v>
      </c>
      <c r="J312">
        <v>3.8263371967477977E-2</v>
      </c>
      <c r="K312">
        <v>7.8881745174257598E-3</v>
      </c>
      <c r="L312">
        <v>0.88776733349883441</v>
      </c>
    </row>
    <row r="313" spans="1:12" x14ac:dyDescent="0.25">
      <c r="A313" t="s">
        <v>86</v>
      </c>
      <c r="B313">
        <v>-227176.77629394131</v>
      </c>
      <c r="C313">
        <v>-516.92181493487828</v>
      </c>
      <c r="D313">
        <v>-270.12885582794462</v>
      </c>
      <c r="E313">
        <v>93.290422673278911</v>
      </c>
      <c r="F313">
        <v>-111793.73998979172</v>
      </c>
      <c r="G313">
        <v>76554.099378502957</v>
      </c>
      <c r="H313">
        <v>115153.59315876418</v>
      </c>
      <c r="I313">
        <v>13681.183522294803</v>
      </c>
      <c r="J313">
        <v>4.0890217183471995E-4</v>
      </c>
      <c r="K313">
        <v>4.8580904008985819E-5</v>
      </c>
      <c r="L313">
        <v>0.1188081339627183</v>
      </c>
    </row>
    <row r="314" spans="1:12" x14ac:dyDescent="0.25">
      <c r="A314" t="s">
        <v>83</v>
      </c>
      <c r="B314">
        <v>-3256353.5117364051</v>
      </c>
      <c r="C314">
        <v>-2081.344351387499</v>
      </c>
      <c r="D314">
        <v>42623.8077690711</v>
      </c>
      <c r="E314">
        <v>13272.059463800641</v>
      </c>
      <c r="F314">
        <v>-10906250.148266599</v>
      </c>
      <c r="G314">
        <v>-903739.85582532862</v>
      </c>
      <c r="H314">
        <v>12128797.57440746</v>
      </c>
      <c r="I314">
        <v>3042242.643680986</v>
      </c>
      <c r="J314">
        <v>4.3068492557424232E-2</v>
      </c>
      <c r="K314">
        <v>1.0802786001946634E-2</v>
      </c>
      <c r="L314">
        <v>-0.1244998503862727</v>
      </c>
    </row>
    <row r="315" spans="1:12" x14ac:dyDescent="0.25">
      <c r="A315" t="s">
        <v>88</v>
      </c>
      <c r="B315">
        <v>23633033.452794187</v>
      </c>
      <c r="C315">
        <v>22061.62840880789</v>
      </c>
      <c r="D315">
        <v>55355.76951196148</v>
      </c>
      <c r="E315">
        <v>17599.408148802569</v>
      </c>
      <c r="F315">
        <v>-7419930.901061723</v>
      </c>
      <c r="G315">
        <v>-1684123.4006877705</v>
      </c>
      <c r="H315">
        <v>9149047.4211992174</v>
      </c>
      <c r="I315">
        <v>3015568.8167719482</v>
      </c>
      <c r="J315">
        <v>3.2487612918767839E-2</v>
      </c>
      <c r="K315">
        <v>1.0708069150695528E-2</v>
      </c>
      <c r="L315">
        <v>1.4246069806941952</v>
      </c>
    </row>
    <row r="327" spans="1:12" x14ac:dyDescent="0.25">
      <c r="A327" t="s">
        <v>222</v>
      </c>
      <c r="C327" t="s">
        <v>223</v>
      </c>
      <c r="F327" t="s">
        <v>224</v>
      </c>
      <c r="I327" t="s">
        <v>226</v>
      </c>
      <c r="L327" t="s">
        <v>246</v>
      </c>
    </row>
    <row r="328" spans="1:12" x14ac:dyDescent="0.25">
      <c r="A328">
        <v>1370647.2384858197</v>
      </c>
      <c r="C328">
        <v>43</v>
      </c>
      <c r="F328">
        <v>21</v>
      </c>
      <c r="I328">
        <v>-3615461.1433066148</v>
      </c>
      <c r="L328">
        <v>53041.017981041863</v>
      </c>
    </row>
    <row r="330" spans="1:12" x14ac:dyDescent="0.25">
      <c r="A330" t="s">
        <v>225</v>
      </c>
    </row>
    <row r="331" spans="1:12" x14ac:dyDescent="0.25">
      <c r="B331" t="s">
        <v>409</v>
      </c>
      <c r="C331" t="s">
        <v>410</v>
      </c>
    </row>
    <row r="332" spans="1:12" x14ac:dyDescent="0.25">
      <c r="A332">
        <v>0</v>
      </c>
      <c r="B332">
        <v>2008</v>
      </c>
      <c r="C332">
        <v>61548182.990496568</v>
      </c>
    </row>
    <row r="333" spans="1:12" x14ac:dyDescent="0.25">
      <c r="A333">
        <v>1</v>
      </c>
      <c r="B333" t="s">
        <v>411</v>
      </c>
      <c r="C333">
        <v>-3370139.7978204186</v>
      </c>
    </row>
    <row r="334" spans="1:12" x14ac:dyDescent="0.25">
      <c r="A334">
        <v>2</v>
      </c>
      <c r="B334" t="s">
        <v>412</v>
      </c>
      <c r="C334">
        <v>11913875.700892439</v>
      </c>
    </row>
    <row r="335" spans="1:12" x14ac:dyDescent="0.25">
      <c r="A335">
        <v>3</v>
      </c>
      <c r="B335" t="s">
        <v>413</v>
      </c>
      <c r="C335">
        <v>2531812.3920231927</v>
      </c>
    </row>
    <row r="336" spans="1:12" x14ac:dyDescent="0.25">
      <c r="A336">
        <v>4</v>
      </c>
      <c r="B336" t="s">
        <v>414</v>
      </c>
      <c r="C336">
        <v>115432.2504576286</v>
      </c>
    </row>
    <row r="337" spans="1:3" x14ac:dyDescent="0.25">
      <c r="A337">
        <v>5</v>
      </c>
      <c r="B337" t="s">
        <v>415</v>
      </c>
      <c r="C337">
        <v>10846.448222270774</v>
      </c>
    </row>
    <row r="346" spans="1:3" x14ac:dyDescent="0.25">
      <c r="A346" t="s">
        <v>227</v>
      </c>
    </row>
    <row r="347" spans="1:3" x14ac:dyDescent="0.25">
      <c r="A347" t="s">
        <v>397</v>
      </c>
      <c r="B347" t="s">
        <v>45</v>
      </c>
    </row>
    <row r="348" spans="1:3" x14ac:dyDescent="0.25">
      <c r="A348" t="s">
        <v>84</v>
      </c>
      <c r="B348">
        <v>1884309.890551134</v>
      </c>
    </row>
    <row r="349" spans="1:3" x14ac:dyDescent="0.25">
      <c r="A349" t="s">
        <v>85</v>
      </c>
      <c r="B349">
        <v>1500049.2338704774</v>
      </c>
    </row>
    <row r="350" spans="1:3" x14ac:dyDescent="0.25">
      <c r="A350" t="s">
        <v>79</v>
      </c>
      <c r="B350">
        <v>4577773.0400701929</v>
      </c>
    </row>
    <row r="351" spans="1:3" x14ac:dyDescent="0.25">
      <c r="A351" t="s">
        <v>86</v>
      </c>
      <c r="B351">
        <v>115153.59315876418</v>
      </c>
    </row>
    <row r="352" spans="1:3" x14ac:dyDescent="0.25">
      <c r="A352" t="s">
        <v>83</v>
      </c>
      <c r="B352">
        <v>4792178.0720643532</v>
      </c>
    </row>
    <row r="353" spans="1:2" x14ac:dyDescent="0.25">
      <c r="A353" t="s">
        <v>88</v>
      </c>
      <c r="B353">
        <v>4134094.3993027136</v>
      </c>
    </row>
    <row r="364" spans="1:2" x14ac:dyDescent="0.25">
      <c r="A364" t="s">
        <v>228</v>
      </c>
    </row>
    <row r="365" spans="1:2" x14ac:dyDescent="0.25">
      <c r="A365" t="s">
        <v>497</v>
      </c>
      <c r="B365" t="s">
        <v>45</v>
      </c>
    </row>
    <row r="366" spans="1:2" x14ac:dyDescent="0.25">
      <c r="A366" t="s">
        <v>81</v>
      </c>
      <c r="B366">
        <v>4651851.7079300843</v>
      </c>
    </row>
    <row r="367" spans="1:2" x14ac:dyDescent="0.25">
      <c r="A367" t="s">
        <v>82</v>
      </c>
      <c r="B367">
        <v>484683.4284593201</v>
      </c>
    </row>
    <row r="368" spans="1:2" x14ac:dyDescent="0.25">
      <c r="A368" t="s">
        <v>33</v>
      </c>
      <c r="B368">
        <v>5139178.3781218873</v>
      </c>
    </row>
    <row r="369" spans="1:33" x14ac:dyDescent="0.25">
      <c r="A369" t="s">
        <v>80</v>
      </c>
      <c r="B369">
        <v>6123122.6087974301</v>
      </c>
    </row>
    <row r="381" spans="1:33" x14ac:dyDescent="0.25">
      <c r="A381">
        <f>COUNTIF(A384:A443,"*")</f>
        <v>42</v>
      </c>
    </row>
    <row r="382" spans="1:33" x14ac:dyDescent="0.25">
      <c r="A382" t="s">
        <v>229</v>
      </c>
      <c r="W382" t="s">
        <v>253</v>
      </c>
      <c r="AF382" t="s">
        <v>254</v>
      </c>
    </row>
    <row r="383" spans="1:33" x14ac:dyDescent="0.25">
      <c r="A383" t="s">
        <v>548</v>
      </c>
      <c r="B383" t="s">
        <v>81</v>
      </c>
      <c r="C383" t="s">
        <v>82</v>
      </c>
      <c r="D383" t="s">
        <v>33</v>
      </c>
      <c r="E383" t="s">
        <v>80</v>
      </c>
      <c r="F383" t="s">
        <v>45</v>
      </c>
      <c r="G383" t="s">
        <v>397</v>
      </c>
      <c r="W383" t="s">
        <v>394</v>
      </c>
      <c r="X383" t="s">
        <v>318</v>
      </c>
      <c r="AF383" t="s">
        <v>317</v>
      </c>
      <c r="AG383" t="s">
        <v>318</v>
      </c>
    </row>
    <row r="384" spans="1:33" x14ac:dyDescent="0.25">
      <c r="A384" t="s">
        <v>270</v>
      </c>
      <c r="B384">
        <v>4576150.9955017427</v>
      </c>
      <c r="C384">
        <v>0</v>
      </c>
      <c r="D384">
        <v>0</v>
      </c>
      <c r="E384">
        <v>0</v>
      </c>
      <c r="F384">
        <v>0</v>
      </c>
      <c r="G384" t="s">
        <v>84</v>
      </c>
      <c r="W384" t="s">
        <v>84</v>
      </c>
      <c r="X384">
        <v>4576150.9955017427</v>
      </c>
      <c r="AF384" t="s">
        <v>81</v>
      </c>
      <c r="AG384">
        <v>12901176.757096473</v>
      </c>
    </row>
    <row r="385" spans="1:33" x14ac:dyDescent="0.25">
      <c r="A385" t="s">
        <v>332</v>
      </c>
      <c r="B385">
        <v>475344.49347438192</v>
      </c>
      <c r="C385">
        <v>0</v>
      </c>
      <c r="D385">
        <v>0</v>
      </c>
      <c r="E385">
        <v>0</v>
      </c>
      <c r="F385">
        <v>0</v>
      </c>
      <c r="G385" t="s">
        <v>83</v>
      </c>
      <c r="W385" t="s">
        <v>85</v>
      </c>
      <c r="X385">
        <v>4102614.6748644025</v>
      </c>
      <c r="AF385" t="s">
        <v>82</v>
      </c>
      <c r="AG385">
        <v>490277.44123607251</v>
      </c>
    </row>
    <row r="386" spans="1:33" x14ac:dyDescent="0.25">
      <c r="A386" t="s">
        <v>334</v>
      </c>
      <c r="B386">
        <v>172813.47292657552</v>
      </c>
      <c r="C386">
        <v>0</v>
      </c>
      <c r="D386">
        <v>0</v>
      </c>
      <c r="E386">
        <v>0</v>
      </c>
      <c r="F386">
        <v>0</v>
      </c>
      <c r="G386" t="s">
        <v>79</v>
      </c>
      <c r="W386" t="s">
        <v>79</v>
      </c>
      <c r="X386">
        <v>13229347.428184945</v>
      </c>
      <c r="AF386" t="s">
        <v>33</v>
      </c>
      <c r="AG386">
        <v>17145876.972965762</v>
      </c>
    </row>
    <row r="387" spans="1:33" x14ac:dyDescent="0.25">
      <c r="A387" t="s">
        <v>272</v>
      </c>
      <c r="B387">
        <v>63568.552552107933</v>
      </c>
      <c r="C387">
        <v>0</v>
      </c>
      <c r="D387">
        <v>0</v>
      </c>
      <c r="E387">
        <v>0</v>
      </c>
      <c r="F387">
        <v>0</v>
      </c>
      <c r="G387" t="s">
        <v>79</v>
      </c>
      <c r="W387" t="s">
        <v>86</v>
      </c>
      <c r="X387">
        <v>75178.404929691911</v>
      </c>
      <c r="AF387" t="s">
        <v>80</v>
      </c>
      <c r="AG387">
        <v>22674235.646786019</v>
      </c>
    </row>
    <row r="388" spans="1:33" x14ac:dyDescent="0.25">
      <c r="A388" t="s">
        <v>273</v>
      </c>
      <c r="B388">
        <v>7613299.242641665</v>
      </c>
      <c r="C388">
        <v>0</v>
      </c>
      <c r="D388">
        <v>0</v>
      </c>
      <c r="E388">
        <v>0</v>
      </c>
      <c r="F388">
        <v>0</v>
      </c>
      <c r="G388" t="s">
        <v>79</v>
      </c>
      <c r="W388" t="s">
        <v>83</v>
      </c>
      <c r="X388">
        <v>18687368.733967718</v>
      </c>
    </row>
    <row r="389" spans="1:33" x14ac:dyDescent="0.25">
      <c r="A389" t="s">
        <v>338</v>
      </c>
      <c r="B389">
        <v>0</v>
      </c>
      <c r="C389">
        <v>428048.31982173788</v>
      </c>
      <c r="D389">
        <v>0</v>
      </c>
      <c r="E389">
        <v>0</v>
      </c>
      <c r="F389">
        <v>0</v>
      </c>
      <c r="G389" t="s">
        <v>79</v>
      </c>
      <c r="W389" t="s">
        <v>88</v>
      </c>
      <c r="X389">
        <v>12540906.580635823</v>
      </c>
    </row>
    <row r="390" spans="1:33" x14ac:dyDescent="0.25">
      <c r="A390" t="s">
        <v>340</v>
      </c>
      <c r="B390">
        <v>0</v>
      </c>
      <c r="C390">
        <v>57698.630364358985</v>
      </c>
      <c r="D390">
        <v>0</v>
      </c>
      <c r="E390">
        <v>0</v>
      </c>
      <c r="F390">
        <v>4530.491049975627</v>
      </c>
      <c r="G390" t="s">
        <v>79</v>
      </c>
    </row>
    <row r="391" spans="1:33" x14ac:dyDescent="0.25">
      <c r="A391" t="s">
        <v>342</v>
      </c>
      <c r="B391">
        <v>0</v>
      </c>
      <c r="C391">
        <v>0</v>
      </c>
      <c r="D391">
        <v>-174655.09361416032</v>
      </c>
      <c r="E391">
        <v>0</v>
      </c>
      <c r="F391">
        <v>63182.680668032015</v>
      </c>
      <c r="G391" t="s">
        <v>79</v>
      </c>
    </row>
    <row r="392" spans="1:33" x14ac:dyDescent="0.25">
      <c r="A392" t="s">
        <v>344</v>
      </c>
      <c r="B392">
        <v>0</v>
      </c>
      <c r="C392">
        <v>0</v>
      </c>
      <c r="D392">
        <v>240964.50071833949</v>
      </c>
      <c r="E392">
        <v>0</v>
      </c>
      <c r="F392">
        <v>-85638.944177754354</v>
      </c>
      <c r="G392" t="s">
        <v>85</v>
      </c>
    </row>
    <row r="393" spans="1:33" x14ac:dyDescent="0.25">
      <c r="A393" t="s">
        <v>346</v>
      </c>
      <c r="B393">
        <v>0</v>
      </c>
      <c r="C393">
        <v>0</v>
      </c>
      <c r="D393">
        <v>542690.31454726565</v>
      </c>
      <c r="E393">
        <v>0</v>
      </c>
      <c r="F393">
        <v>0</v>
      </c>
      <c r="G393" t="s">
        <v>85</v>
      </c>
    </row>
    <row r="394" spans="1:33" x14ac:dyDescent="0.25">
      <c r="A394" t="s">
        <v>348</v>
      </c>
      <c r="B394">
        <v>0</v>
      </c>
      <c r="C394">
        <v>0</v>
      </c>
      <c r="D394">
        <v>1359007.08038302</v>
      </c>
      <c r="E394">
        <v>0</v>
      </c>
      <c r="F394">
        <v>-78998.13880047042</v>
      </c>
      <c r="G394" t="s">
        <v>85</v>
      </c>
    </row>
    <row r="395" spans="1:33" x14ac:dyDescent="0.25">
      <c r="A395" t="s">
        <v>349</v>
      </c>
      <c r="B395">
        <v>0</v>
      </c>
      <c r="C395">
        <v>0</v>
      </c>
      <c r="D395">
        <v>1199181.0550612351</v>
      </c>
      <c r="E395">
        <v>0</v>
      </c>
      <c r="F395">
        <v>93969.951914149307</v>
      </c>
      <c r="G395" t="s">
        <v>85</v>
      </c>
    </row>
    <row r="396" spans="1:33" x14ac:dyDescent="0.25">
      <c r="A396" t="s">
        <v>350</v>
      </c>
      <c r="B396">
        <v>0</v>
      </c>
      <c r="C396">
        <v>0</v>
      </c>
      <c r="D396">
        <v>583827.05537963519</v>
      </c>
      <c r="E396">
        <v>0</v>
      </c>
      <c r="F396">
        <v>-20926.062973417738</v>
      </c>
      <c r="G396" t="s">
        <v>85</v>
      </c>
    </row>
    <row r="397" spans="1:33" x14ac:dyDescent="0.25">
      <c r="A397" t="s">
        <v>264</v>
      </c>
      <c r="B397">
        <v>0</v>
      </c>
      <c r="C397">
        <v>0</v>
      </c>
      <c r="D397">
        <v>9.836289618439553E-11</v>
      </c>
      <c r="E397">
        <v>0</v>
      </c>
      <c r="F397">
        <v>0</v>
      </c>
      <c r="G397" t="s">
        <v>85</v>
      </c>
    </row>
    <row r="398" spans="1:33" x14ac:dyDescent="0.25">
      <c r="A398" t="s">
        <v>351</v>
      </c>
      <c r="B398">
        <v>0</v>
      </c>
      <c r="C398">
        <v>0</v>
      </c>
      <c r="D398">
        <v>578599.21417152893</v>
      </c>
      <c r="E398">
        <v>0</v>
      </c>
      <c r="F398">
        <v>-50516.235647964255</v>
      </c>
      <c r="G398" t="s">
        <v>79</v>
      </c>
    </row>
    <row r="399" spans="1:33" x14ac:dyDescent="0.25">
      <c r="A399" t="s">
        <v>353</v>
      </c>
      <c r="B399">
        <v>0</v>
      </c>
      <c r="C399">
        <v>0</v>
      </c>
      <c r="D399">
        <v>16535.964695671522</v>
      </c>
      <c r="E399">
        <v>0</v>
      </c>
      <c r="F399">
        <v>-10569.412086560113</v>
      </c>
      <c r="G399" t="s">
        <v>85</v>
      </c>
    </row>
    <row r="400" spans="1:33" x14ac:dyDescent="0.25">
      <c r="A400" t="s">
        <v>354</v>
      </c>
      <c r="B400">
        <v>0</v>
      </c>
      <c r="C400">
        <v>0</v>
      </c>
      <c r="D400">
        <v>255539.48488230864</v>
      </c>
      <c r="E400">
        <v>0</v>
      </c>
      <c r="F400">
        <v>9701.6521239608883</v>
      </c>
      <c r="G400" t="s">
        <v>85</v>
      </c>
    </row>
    <row r="401" spans="1:7" x14ac:dyDescent="0.25">
      <c r="A401" t="s">
        <v>265</v>
      </c>
      <c r="B401">
        <v>0</v>
      </c>
      <c r="C401">
        <v>0</v>
      </c>
      <c r="D401">
        <v>-1512.7690439582941</v>
      </c>
      <c r="E401">
        <v>0</v>
      </c>
      <c r="F401">
        <v>1225.6557417968088</v>
      </c>
      <c r="G401" t="s">
        <v>85</v>
      </c>
    </row>
    <row r="402" spans="1:7" x14ac:dyDescent="0.25">
      <c r="A402" t="s">
        <v>276</v>
      </c>
      <c r="B402">
        <v>0</v>
      </c>
      <c r="C402">
        <v>0</v>
      </c>
      <c r="D402">
        <v>3032313.9626496695</v>
      </c>
      <c r="E402">
        <v>0</v>
      </c>
      <c r="F402">
        <v>4772023.8144539082</v>
      </c>
      <c r="G402" t="s">
        <v>88</v>
      </c>
    </row>
    <row r="403" spans="1:7" x14ac:dyDescent="0.25">
      <c r="A403" t="s">
        <v>356</v>
      </c>
      <c r="B403">
        <v>0</v>
      </c>
      <c r="C403">
        <v>0</v>
      </c>
      <c r="D403">
        <v>64236.602491202277</v>
      </c>
      <c r="E403">
        <v>0</v>
      </c>
      <c r="F403">
        <v>35497.175468960952</v>
      </c>
      <c r="G403" t="s">
        <v>79</v>
      </c>
    </row>
    <row r="404" spans="1:7" x14ac:dyDescent="0.25">
      <c r="A404" t="s">
        <v>358</v>
      </c>
      <c r="B404">
        <v>0</v>
      </c>
      <c r="C404">
        <v>0</v>
      </c>
      <c r="D404">
        <v>-83852.81921899812</v>
      </c>
      <c r="E404">
        <v>0</v>
      </c>
      <c r="F404">
        <v>55012.922411901367</v>
      </c>
      <c r="G404" t="s">
        <v>79</v>
      </c>
    </row>
    <row r="405" spans="1:7" x14ac:dyDescent="0.25">
      <c r="A405" t="s">
        <v>269</v>
      </c>
      <c r="B405">
        <v>0</v>
      </c>
      <c r="C405">
        <v>0</v>
      </c>
      <c r="D405">
        <v>-2536.0827391090029</v>
      </c>
      <c r="E405">
        <v>0</v>
      </c>
      <c r="F405">
        <v>6255.4451445978302</v>
      </c>
      <c r="G405" t="s">
        <v>79</v>
      </c>
    </row>
    <row r="406" spans="1:7" x14ac:dyDescent="0.25">
      <c r="A406" t="s">
        <v>361</v>
      </c>
      <c r="B406">
        <v>0</v>
      </c>
      <c r="C406">
        <v>0</v>
      </c>
      <c r="D406">
        <v>-307174.71514495742</v>
      </c>
      <c r="E406">
        <v>0</v>
      </c>
      <c r="F406">
        <v>131194.69619990824</v>
      </c>
      <c r="G406" t="s">
        <v>79</v>
      </c>
    </row>
    <row r="407" spans="1:7" x14ac:dyDescent="0.25">
      <c r="A407" t="s">
        <v>363</v>
      </c>
      <c r="B407">
        <v>0</v>
      </c>
      <c r="C407">
        <v>0</v>
      </c>
      <c r="D407">
        <v>-4026.1873320873433</v>
      </c>
      <c r="E407">
        <v>0</v>
      </c>
      <c r="F407">
        <v>1643.4595123065876</v>
      </c>
      <c r="G407" t="s">
        <v>85</v>
      </c>
    </row>
    <row r="408" spans="1:7" x14ac:dyDescent="0.25">
      <c r="A408" t="s">
        <v>364</v>
      </c>
      <c r="B408">
        <v>0</v>
      </c>
      <c r="C408">
        <v>0</v>
      </c>
      <c r="D408">
        <v>2679520.6939245141</v>
      </c>
      <c r="E408">
        <v>0</v>
      </c>
      <c r="F408">
        <v>212612.05291515714</v>
      </c>
      <c r="G408" t="s">
        <v>79</v>
      </c>
    </row>
    <row r="409" spans="1:7" x14ac:dyDescent="0.25">
      <c r="A409" t="s">
        <v>365</v>
      </c>
      <c r="B409">
        <v>0</v>
      </c>
      <c r="C409">
        <v>0</v>
      </c>
      <c r="D409">
        <v>1977700.9715327874</v>
      </c>
      <c r="E409">
        <v>0</v>
      </c>
      <c r="F409">
        <v>53847.026753345592</v>
      </c>
      <c r="G409" t="s">
        <v>79</v>
      </c>
    </row>
    <row r="410" spans="1:7" x14ac:dyDescent="0.25">
      <c r="A410" t="s">
        <v>366</v>
      </c>
      <c r="B410">
        <v>0</v>
      </c>
      <c r="C410">
        <v>0</v>
      </c>
      <c r="D410">
        <v>0</v>
      </c>
      <c r="E410">
        <v>-0.30964414657732309</v>
      </c>
      <c r="F410">
        <v>-2.5478319058788972</v>
      </c>
      <c r="G410" t="s">
        <v>79</v>
      </c>
    </row>
    <row r="411" spans="1:7" x14ac:dyDescent="0.25">
      <c r="A411" t="s">
        <v>368</v>
      </c>
      <c r="B411">
        <v>0</v>
      </c>
      <c r="C411">
        <v>0</v>
      </c>
      <c r="D411">
        <v>0</v>
      </c>
      <c r="E411">
        <v>10763372.393749749</v>
      </c>
      <c r="F411">
        <v>1717027.9121118672</v>
      </c>
      <c r="G411" t="s">
        <v>83</v>
      </c>
    </row>
    <row r="412" spans="1:7" x14ac:dyDescent="0.25">
      <c r="A412" t="s">
        <v>370</v>
      </c>
      <c r="B412">
        <v>0</v>
      </c>
      <c r="C412">
        <v>0</v>
      </c>
      <c r="D412">
        <v>0</v>
      </c>
      <c r="E412">
        <v>261226.11121699901</v>
      </c>
      <c r="F412">
        <v>23266.975128036906</v>
      </c>
      <c r="G412" t="s">
        <v>83</v>
      </c>
    </row>
    <row r="413" spans="1:7" x14ac:dyDescent="0.25">
      <c r="A413" t="s">
        <v>372</v>
      </c>
      <c r="B413">
        <v>0</v>
      </c>
      <c r="C413">
        <v>0</v>
      </c>
      <c r="D413">
        <v>0</v>
      </c>
      <c r="E413">
        <v>592766.08298551838</v>
      </c>
      <c r="F413">
        <v>0</v>
      </c>
      <c r="G413" t="s">
        <v>83</v>
      </c>
    </row>
    <row r="414" spans="1:7" x14ac:dyDescent="0.25">
      <c r="A414" t="s">
        <v>373</v>
      </c>
      <c r="B414">
        <v>0</v>
      </c>
      <c r="C414">
        <v>0</v>
      </c>
      <c r="D414">
        <v>0</v>
      </c>
      <c r="E414">
        <v>-42203.268852479152</v>
      </c>
      <c r="F414">
        <v>2467.2970141779883</v>
      </c>
      <c r="G414" t="s">
        <v>79</v>
      </c>
    </row>
    <row r="415" spans="1:7" x14ac:dyDescent="0.25">
      <c r="A415" t="s">
        <v>374</v>
      </c>
      <c r="B415">
        <v>0</v>
      </c>
      <c r="C415">
        <v>0</v>
      </c>
      <c r="D415">
        <v>0</v>
      </c>
      <c r="E415">
        <v>2.1229565985898698E-2</v>
      </c>
      <c r="F415">
        <v>-6.9106045532058768E-3</v>
      </c>
      <c r="G415" t="s">
        <v>85</v>
      </c>
    </row>
    <row r="416" spans="1:7" x14ac:dyDescent="0.25">
      <c r="A416" t="s">
        <v>376</v>
      </c>
      <c r="B416">
        <v>0</v>
      </c>
      <c r="C416">
        <v>0</v>
      </c>
      <c r="D416">
        <v>0</v>
      </c>
      <c r="E416">
        <v>221630.95872982507</v>
      </c>
      <c r="F416">
        <v>479158.26670301228</v>
      </c>
      <c r="G416" t="s">
        <v>88</v>
      </c>
    </row>
    <row r="417" spans="1:7" x14ac:dyDescent="0.25">
      <c r="A417" t="s">
        <v>274</v>
      </c>
      <c r="B417">
        <v>0</v>
      </c>
      <c r="C417">
        <v>0</v>
      </c>
      <c r="D417">
        <v>0</v>
      </c>
      <c r="E417">
        <v>-472417.69139975432</v>
      </c>
      <c r="F417">
        <v>2015898.4517899123</v>
      </c>
      <c r="G417" t="s">
        <v>88</v>
      </c>
    </row>
    <row r="418" spans="1:7" x14ac:dyDescent="0.25">
      <c r="A418" t="s">
        <v>275</v>
      </c>
      <c r="B418">
        <v>0</v>
      </c>
      <c r="C418">
        <v>0</v>
      </c>
      <c r="D418">
        <v>0</v>
      </c>
      <c r="E418">
        <v>1071089.2534018403</v>
      </c>
      <c r="F418">
        <v>1421209.5643074091</v>
      </c>
      <c r="G418" t="s">
        <v>88</v>
      </c>
    </row>
    <row r="419" spans="1:7" x14ac:dyDescent="0.25">
      <c r="A419" t="s">
        <v>377</v>
      </c>
      <c r="B419">
        <v>0</v>
      </c>
      <c r="C419">
        <v>0</v>
      </c>
      <c r="D419">
        <v>0</v>
      </c>
      <c r="E419">
        <v>-73114.062015255302</v>
      </c>
      <c r="F419">
        <v>-146965.52929857804</v>
      </c>
      <c r="G419" t="s">
        <v>83</v>
      </c>
    </row>
    <row r="420" spans="1:7" x14ac:dyDescent="0.25">
      <c r="A420" t="s">
        <v>378</v>
      </c>
      <c r="B420">
        <v>0</v>
      </c>
      <c r="C420">
        <v>0</v>
      </c>
      <c r="D420">
        <v>0</v>
      </c>
      <c r="E420">
        <v>-79705.711924286661</v>
      </c>
      <c r="F420">
        <v>-245346.3548652039</v>
      </c>
      <c r="G420" t="s">
        <v>83</v>
      </c>
    </row>
    <row r="421" spans="1:7" x14ac:dyDescent="0.25">
      <c r="A421" t="s">
        <v>379</v>
      </c>
      <c r="B421">
        <v>0</v>
      </c>
      <c r="C421">
        <v>0</v>
      </c>
      <c r="D421">
        <v>0</v>
      </c>
      <c r="E421">
        <v>-1422.298550658983</v>
      </c>
      <c r="F421">
        <v>0</v>
      </c>
      <c r="G421" t="s">
        <v>79</v>
      </c>
    </row>
    <row r="422" spans="1:7" x14ac:dyDescent="0.25">
      <c r="A422" t="s">
        <v>381</v>
      </c>
      <c r="B422">
        <v>0</v>
      </c>
      <c r="C422">
        <v>0</v>
      </c>
      <c r="D422">
        <v>0</v>
      </c>
      <c r="E422">
        <v>-123589.12780816636</v>
      </c>
      <c r="F422">
        <v>-285394.61225449655</v>
      </c>
      <c r="G422" t="s">
        <v>83</v>
      </c>
    </row>
    <row r="423" spans="1:7" x14ac:dyDescent="0.25">
      <c r="A423" t="s">
        <v>382</v>
      </c>
      <c r="B423">
        <v>0</v>
      </c>
      <c r="C423">
        <v>0</v>
      </c>
      <c r="D423">
        <v>0</v>
      </c>
      <c r="E423">
        <v>190805.3688124991</v>
      </c>
      <c r="F423">
        <v>-499180.05743570899</v>
      </c>
      <c r="G423" t="s">
        <v>79</v>
      </c>
    </row>
    <row r="424" spans="1:7" x14ac:dyDescent="0.25">
      <c r="A424" t="s">
        <v>383</v>
      </c>
      <c r="B424">
        <v>0</v>
      </c>
      <c r="C424">
        <v>0</v>
      </c>
      <c r="D424">
        <v>0</v>
      </c>
      <c r="E424">
        <v>909298.44947083236</v>
      </c>
      <c r="F424">
        <v>4899181.713996321</v>
      </c>
      <c r="G424" t="s">
        <v>83</v>
      </c>
    </row>
    <row r="425" spans="1:7" x14ac:dyDescent="0.25">
      <c r="A425" t="s">
        <v>263</v>
      </c>
      <c r="B425">
        <v>0</v>
      </c>
      <c r="C425">
        <v>0</v>
      </c>
      <c r="D425">
        <v>0</v>
      </c>
      <c r="E425">
        <v>75178.404929691911</v>
      </c>
      <c r="F425">
        <v>0</v>
      </c>
      <c r="G425" t="s">
        <v>86</v>
      </c>
    </row>
    <row r="459" spans="1:19" x14ac:dyDescent="0.25">
      <c r="A459" t="s">
        <v>247</v>
      </c>
      <c r="H459" t="s">
        <v>249</v>
      </c>
      <c r="R459" t="s">
        <v>308</v>
      </c>
    </row>
    <row r="460" spans="1:19" x14ac:dyDescent="0.25">
      <c r="A460" t="s">
        <v>498</v>
      </c>
      <c r="B460" t="s">
        <v>488</v>
      </c>
      <c r="H460" t="s">
        <v>317</v>
      </c>
      <c r="I460">
        <v>1</v>
      </c>
      <c r="J460">
        <v>2</v>
      </c>
      <c r="K460">
        <v>3</v>
      </c>
      <c r="R460" t="s">
        <v>425</v>
      </c>
      <c r="S460" t="s">
        <v>488</v>
      </c>
    </row>
    <row r="461" spans="1:19" x14ac:dyDescent="0.25">
      <c r="A461" t="s">
        <v>499</v>
      </c>
      <c r="B461">
        <v>-8.7472374887315496</v>
      </c>
      <c r="H461" t="s">
        <v>81</v>
      </c>
      <c r="I461">
        <v>1203437.1315915848</v>
      </c>
      <c r="J461">
        <v>1221268.6345753446</v>
      </c>
      <c r="K461">
        <v>1582705.4607341418</v>
      </c>
      <c r="R461" t="s">
        <v>129</v>
      </c>
      <c r="S461">
        <v>378016.19478996797</v>
      </c>
    </row>
    <row r="462" spans="1:19" x14ac:dyDescent="0.25">
      <c r="A462" t="s">
        <v>500</v>
      </c>
      <c r="B462">
        <v>0</v>
      </c>
      <c r="H462" t="s">
        <v>82</v>
      </c>
      <c r="I462">
        <v>427.91209892999996</v>
      </c>
      <c r="J462">
        <v>0</v>
      </c>
      <c r="K462">
        <v>0</v>
      </c>
      <c r="R462" t="s">
        <v>428</v>
      </c>
      <c r="S462">
        <v>0</v>
      </c>
    </row>
    <row r="463" spans="1:19" x14ac:dyDescent="0.25">
      <c r="A463" t="s">
        <v>501</v>
      </c>
      <c r="B463">
        <v>378024.94202745671</v>
      </c>
      <c r="H463" t="s">
        <v>33</v>
      </c>
      <c r="I463">
        <v>516357.8616930584</v>
      </c>
      <c r="J463">
        <v>0</v>
      </c>
      <c r="K463">
        <v>0</v>
      </c>
    </row>
    <row r="464" spans="1:19" x14ac:dyDescent="0.25">
      <c r="H464" t="s">
        <v>80</v>
      </c>
      <c r="I464">
        <v>953561.65919215977</v>
      </c>
      <c r="J464">
        <v>0</v>
      </c>
      <c r="K464">
        <v>0</v>
      </c>
    </row>
    <row r="501" spans="1:4" x14ac:dyDescent="0.25">
      <c r="A501" t="s">
        <v>255</v>
      </c>
      <c r="B501" t="s">
        <v>256</v>
      </c>
      <c r="C501" t="s">
        <v>257</v>
      </c>
      <c r="D501" t="s">
        <v>258</v>
      </c>
    </row>
    <row r="502" spans="1:4" x14ac:dyDescent="0.25">
      <c r="A502">
        <v>2206625.2181162667</v>
      </c>
      <c r="B502">
        <v>2662277.192834469</v>
      </c>
      <c r="C502">
        <v>2720517.4544051127</v>
      </c>
      <c r="D502">
        <v>3170449.073008718</v>
      </c>
    </row>
    <row r="627" spans="1:2" x14ac:dyDescent="0.25">
      <c r="A627" t="s">
        <v>307</v>
      </c>
    </row>
    <row r="628" spans="1:2" x14ac:dyDescent="0.25">
      <c r="A628">
        <v>43</v>
      </c>
    </row>
    <row r="631" spans="1:2" x14ac:dyDescent="0.25">
      <c r="A631" t="s">
        <v>260</v>
      </c>
    </row>
    <row r="632" spans="1:2" x14ac:dyDescent="0.25">
      <c r="A632" t="s">
        <v>553</v>
      </c>
      <c r="B632" t="s">
        <v>280</v>
      </c>
    </row>
    <row r="633" spans="1:2" x14ac:dyDescent="0.25">
      <c r="A633" t="s">
        <v>368</v>
      </c>
      <c r="B633" t="s">
        <v>554</v>
      </c>
    </row>
    <row r="634" spans="1:2" x14ac:dyDescent="0.25">
      <c r="A634" t="s">
        <v>383</v>
      </c>
      <c r="B634" t="s">
        <v>554</v>
      </c>
    </row>
    <row r="635" spans="1:2" x14ac:dyDescent="0.25">
      <c r="A635" t="s">
        <v>372</v>
      </c>
      <c r="B635" t="s">
        <v>554</v>
      </c>
    </row>
    <row r="636" spans="1:2" x14ac:dyDescent="0.25">
      <c r="A636" t="s">
        <v>382</v>
      </c>
      <c r="B636" t="s">
        <v>555</v>
      </c>
    </row>
    <row r="637" spans="1:2" x14ac:dyDescent="0.25">
      <c r="A637" t="s">
        <v>373</v>
      </c>
      <c r="B637" t="s">
        <v>555</v>
      </c>
    </row>
    <row r="638" spans="1:2" x14ac:dyDescent="0.25">
      <c r="A638" t="s">
        <v>370</v>
      </c>
      <c r="B638" t="s">
        <v>555</v>
      </c>
    </row>
    <row r="639" spans="1:2" x14ac:dyDescent="0.25">
      <c r="A639" t="s">
        <v>381</v>
      </c>
      <c r="B639" t="s">
        <v>555</v>
      </c>
    </row>
    <row r="640" spans="1:2" x14ac:dyDescent="0.25">
      <c r="A640" t="s">
        <v>377</v>
      </c>
      <c r="B640" t="s">
        <v>555</v>
      </c>
    </row>
    <row r="641" spans="1:2" x14ac:dyDescent="0.25">
      <c r="A641" t="s">
        <v>378</v>
      </c>
      <c r="B641" t="s">
        <v>555</v>
      </c>
    </row>
    <row r="642" spans="1:2" x14ac:dyDescent="0.25">
      <c r="A642" t="s">
        <v>379</v>
      </c>
      <c r="B642" t="s">
        <v>555</v>
      </c>
    </row>
    <row r="643" spans="1:2" x14ac:dyDescent="0.25">
      <c r="A643" t="s">
        <v>366</v>
      </c>
      <c r="B643" t="s">
        <v>555</v>
      </c>
    </row>
    <row r="644" spans="1:2" x14ac:dyDescent="0.25">
      <c r="A644" t="s">
        <v>269</v>
      </c>
      <c r="B644" t="s">
        <v>556</v>
      </c>
    </row>
    <row r="645" spans="1:2" x14ac:dyDescent="0.25">
      <c r="A645" t="s">
        <v>365</v>
      </c>
      <c r="B645" t="s">
        <v>556</v>
      </c>
    </row>
    <row r="646" spans="1:2" x14ac:dyDescent="0.25">
      <c r="A646" t="s">
        <v>364</v>
      </c>
      <c r="B646" t="s">
        <v>556</v>
      </c>
    </row>
    <row r="647" spans="1:2" x14ac:dyDescent="0.25">
      <c r="A647" t="s">
        <v>358</v>
      </c>
      <c r="B647" t="s">
        <v>556</v>
      </c>
    </row>
    <row r="648" spans="1:2" x14ac:dyDescent="0.25">
      <c r="A648" t="s">
        <v>356</v>
      </c>
      <c r="B648" t="s">
        <v>556</v>
      </c>
    </row>
    <row r="649" spans="1:2" x14ac:dyDescent="0.25">
      <c r="A649" t="s">
        <v>276</v>
      </c>
      <c r="B649" t="s">
        <v>557</v>
      </c>
    </row>
    <row r="650" spans="1:2" x14ac:dyDescent="0.25">
      <c r="A650" t="s">
        <v>265</v>
      </c>
      <c r="B650" t="s">
        <v>558</v>
      </c>
    </row>
    <row r="651" spans="1:2" x14ac:dyDescent="0.25">
      <c r="A651" t="s">
        <v>264</v>
      </c>
      <c r="B651" t="s">
        <v>558</v>
      </c>
    </row>
    <row r="652" spans="1:2" x14ac:dyDescent="0.25">
      <c r="A652" t="s">
        <v>363</v>
      </c>
      <c r="B652" t="s">
        <v>558</v>
      </c>
    </row>
    <row r="653" spans="1:2" x14ac:dyDescent="0.25">
      <c r="A653" t="s">
        <v>354</v>
      </c>
      <c r="B653" t="s">
        <v>559</v>
      </c>
    </row>
    <row r="654" spans="1:2" x14ac:dyDescent="0.25">
      <c r="A654" t="s">
        <v>342</v>
      </c>
      <c r="B654" t="s">
        <v>559</v>
      </c>
    </row>
    <row r="655" spans="1:2" x14ac:dyDescent="0.25">
      <c r="A655" t="s">
        <v>353</v>
      </c>
      <c r="B655" t="s">
        <v>559</v>
      </c>
    </row>
    <row r="656" spans="1:2" x14ac:dyDescent="0.25">
      <c r="A656" t="s">
        <v>346</v>
      </c>
      <c r="B656" t="s">
        <v>559</v>
      </c>
    </row>
    <row r="657" spans="1:2" x14ac:dyDescent="0.25">
      <c r="A657" t="s">
        <v>349</v>
      </c>
      <c r="B657" t="s">
        <v>559</v>
      </c>
    </row>
    <row r="658" spans="1:2" x14ac:dyDescent="0.25">
      <c r="A658" t="s">
        <v>350</v>
      </c>
      <c r="B658" t="s">
        <v>559</v>
      </c>
    </row>
    <row r="659" spans="1:2" x14ac:dyDescent="0.25">
      <c r="A659" t="s">
        <v>344</v>
      </c>
      <c r="B659" t="s">
        <v>559</v>
      </c>
    </row>
    <row r="660" spans="1:2" x14ac:dyDescent="0.25">
      <c r="A660" t="s">
        <v>348</v>
      </c>
      <c r="B660" t="s">
        <v>559</v>
      </c>
    </row>
    <row r="661" spans="1:2" x14ac:dyDescent="0.25">
      <c r="A661" t="s">
        <v>361</v>
      </c>
      <c r="B661" t="s">
        <v>559</v>
      </c>
    </row>
    <row r="662" spans="1:2" x14ac:dyDescent="0.25">
      <c r="A662" t="s">
        <v>374</v>
      </c>
      <c r="B662" t="s">
        <v>560</v>
      </c>
    </row>
    <row r="663" spans="1:2" x14ac:dyDescent="0.25">
      <c r="A663" t="s">
        <v>376</v>
      </c>
      <c r="B663" t="s">
        <v>561</v>
      </c>
    </row>
    <row r="664" spans="1:2" x14ac:dyDescent="0.25">
      <c r="A664" t="s">
        <v>275</v>
      </c>
      <c r="B664" t="s">
        <v>561</v>
      </c>
    </row>
    <row r="665" spans="1:2" x14ac:dyDescent="0.25">
      <c r="A665" t="s">
        <v>274</v>
      </c>
      <c r="B665" t="s">
        <v>561</v>
      </c>
    </row>
    <row r="666" spans="1:2" x14ac:dyDescent="0.25">
      <c r="A666" t="s">
        <v>338</v>
      </c>
      <c r="B666" t="s">
        <v>562</v>
      </c>
    </row>
    <row r="667" spans="1:2" x14ac:dyDescent="0.25">
      <c r="A667" t="s">
        <v>351</v>
      </c>
      <c r="B667" t="s">
        <v>562</v>
      </c>
    </row>
    <row r="668" spans="1:2" x14ac:dyDescent="0.25">
      <c r="A668" t="s">
        <v>272</v>
      </c>
      <c r="B668" t="s">
        <v>563</v>
      </c>
    </row>
    <row r="669" spans="1:2" x14ac:dyDescent="0.25">
      <c r="A669" t="s">
        <v>340</v>
      </c>
      <c r="B669" t="s">
        <v>564</v>
      </c>
    </row>
    <row r="670" spans="1:2" x14ac:dyDescent="0.25">
      <c r="A670" t="s">
        <v>332</v>
      </c>
      <c r="B670" t="s">
        <v>564</v>
      </c>
    </row>
    <row r="671" spans="1:2" x14ac:dyDescent="0.25">
      <c r="A671" t="s">
        <v>334</v>
      </c>
      <c r="B671" t="s">
        <v>565</v>
      </c>
    </row>
    <row r="672" spans="1:2" x14ac:dyDescent="0.25">
      <c r="A672" t="s">
        <v>270</v>
      </c>
      <c r="B672" t="s">
        <v>565</v>
      </c>
    </row>
    <row r="673" spans="1:2" x14ac:dyDescent="0.25">
      <c r="A673" t="s">
        <v>273</v>
      </c>
      <c r="B673" t="s">
        <v>566</v>
      </c>
    </row>
    <row r="674" spans="1:2" x14ac:dyDescent="0.25">
      <c r="A674" t="s">
        <v>385</v>
      </c>
      <c r="B674" t="s">
        <v>262</v>
      </c>
    </row>
    <row r="675" spans="1:2" x14ac:dyDescent="0.25">
      <c r="A675" t="s">
        <v>263</v>
      </c>
      <c r="B675" t="s">
        <v>262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67</vt:i4>
      </vt:variant>
    </vt:vector>
  </HeadingPairs>
  <TitlesOfParts>
    <vt:vector size="71" baseType="lpstr">
      <vt:lpstr>Report</vt:lpstr>
      <vt:lpstr>Inv Theme</vt:lpstr>
      <vt:lpstr>Disclosures</vt:lpstr>
      <vt:lpstr>Data</vt:lpstr>
      <vt:lpstr>_95_cvar_weekly</vt:lpstr>
      <vt:lpstr>_95_var_weekly</vt:lpstr>
      <vt:lpstr>_99_cvar_weekly</vt:lpstr>
      <vt:lpstr>_99_var_weekly</vt:lpstr>
      <vt:lpstr>asof2</vt:lpstr>
      <vt:lpstr>bot_5_month</vt:lpstr>
      <vt:lpstr>bot_5_year</vt:lpstr>
      <vt:lpstr>cash</vt:lpstr>
      <vt:lpstr>counterparty_exposures</vt:lpstr>
      <vt:lpstr>cr01_by_issuer</vt:lpstr>
      <vt:lpstr>cr01_by_issuer_check</vt:lpstr>
      <vt:lpstr>daily_pnl</vt:lpstr>
      <vt:lpstr>extreme_loss</vt:lpstr>
      <vt:lpstr>extreme_loss_check</vt:lpstr>
      <vt:lpstr>extreme_loss_tag4</vt:lpstr>
      <vt:lpstr>extreme_loss_tag5</vt:lpstr>
      <vt:lpstr>fx_delta_ccy</vt:lpstr>
      <vt:lpstr>fx_delta_ccy_check</vt:lpstr>
      <vt:lpstr>fx_delta_market</vt:lpstr>
      <vt:lpstr>fx_delta_region</vt:lpstr>
      <vt:lpstr>fx_vega</vt:lpstr>
      <vt:lpstr>investment_themes</vt:lpstr>
      <vt:lpstr>investment_themes_count</vt:lpstr>
      <vt:lpstr>jtd_by_issuer</vt:lpstr>
      <vt:lpstr>liquidity_by_tag_5</vt:lpstr>
      <vt:lpstr>macro_factor_exposures</vt:lpstr>
      <vt:lpstr>macro_factor_exposures_check</vt:lpstr>
      <vt:lpstr>macro_factors_by_tag_4</vt:lpstr>
      <vt:lpstr>margin</vt:lpstr>
      <vt:lpstr>market_value_by_side</vt:lpstr>
      <vt:lpstr>mcr_tag_3</vt:lpstr>
      <vt:lpstr>mcr_tag_4</vt:lpstr>
      <vt:lpstr>mcr_tag_5</vt:lpstr>
      <vt:lpstr>mtd_ytd_pnl_by_tag_level_4</vt:lpstr>
      <vt:lpstr>mtd_ytd_pnl_by_tag_level_5</vt:lpstr>
      <vt:lpstr>Nav</vt:lpstr>
      <vt:lpstr>no_risk_themes</vt:lpstr>
      <vt:lpstr>no_strategies</vt:lpstr>
      <vt:lpstr>portfolio_name</vt:lpstr>
      <vt:lpstr>portfolio_pnl_by_scenarios</vt:lpstr>
      <vt:lpstr>portfolio_volatility</vt:lpstr>
      <vt:lpstr>'Inv Theme'!Print_Area</vt:lpstr>
      <vt:lpstr>Report!Print_Area</vt:lpstr>
      <vt:lpstr>rates_dv01_by_ccy</vt:lpstr>
      <vt:lpstr>rates_dv01_by_ccy_check</vt:lpstr>
      <vt:lpstr>rates_dv01_by_region</vt:lpstr>
      <vt:lpstr>rates_vega_by_ccy</vt:lpstr>
      <vt:lpstr>rates_vega_by_region</vt:lpstr>
      <vt:lpstr>strategy_level_concentrations</vt:lpstr>
      <vt:lpstr>strategy_level_concentrations_check</vt:lpstr>
      <vt:lpstr>stressed_liquidity_by_tag_5</vt:lpstr>
      <vt:lpstr>stressed_liquidity_impact</vt:lpstr>
      <vt:lpstr>t_bill</vt:lpstr>
      <vt:lpstr>theme_level_concentrations</vt:lpstr>
      <vt:lpstr>theme_level_concentrations_check</vt:lpstr>
      <vt:lpstr>theta_gamma_by_fx_pair</vt:lpstr>
      <vt:lpstr>theta_gamma_by_fx_pair_check</vt:lpstr>
      <vt:lpstr>theta_gamma_by_rate_ccy</vt:lpstr>
      <vt:lpstr>theta_gamma_by_rate_region</vt:lpstr>
      <vt:lpstr>top_5_month</vt:lpstr>
      <vt:lpstr>top_5_year</vt:lpstr>
      <vt:lpstr>vol_adj_cr01</vt:lpstr>
      <vt:lpstr>volatility_by_tag_4</vt:lpstr>
      <vt:lpstr>volatility_by_tag_5</vt:lpstr>
      <vt:lpstr>worst_week_in_rv</vt:lpstr>
      <vt:lpstr>wtd_pnl</vt:lpstr>
      <vt:lpstr>ytd_pnl_bps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Wencis</dc:creator>
  <cp:lastModifiedBy>Suhas Anjaria</cp:lastModifiedBy>
  <cp:lastPrinted>2018-08-24T16:50:38Z</cp:lastPrinted>
  <dcterms:created xsi:type="dcterms:W3CDTF">2017-09-05T19:37:45Z</dcterms:created>
  <dcterms:modified xsi:type="dcterms:W3CDTF">2018-10-25T02:03:18Z</dcterms:modified>
</cp:coreProperties>
</file>