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angularApp\priceqoute\"/>
    </mc:Choice>
  </mc:AlternateContent>
  <xr:revisionPtr revIDLastSave="0" documentId="13_ncr:1_{7C63F75D-D2BC-4D4B-86C0-699E3BB223D8}" xr6:coauthVersionLast="47" xr6:coauthVersionMax="47" xr10:uidLastSave="{00000000-0000-0000-0000-000000000000}"/>
  <bookViews>
    <workbookView xWindow="-108" yWindow="-108" windowWidth="23256" windowHeight="12456" tabRatio="849" activeTab="4" xr2:uid="{00000000-000D-0000-FFFF-FFFF00000000}"/>
  </bookViews>
  <sheets>
    <sheet name="Sheet1" sheetId="99" r:id="rId1"/>
    <sheet name="Individual" sheetId="97" r:id="rId2"/>
    <sheet name="1 to 10 HP Dealer Price" sheetId="150" r:id="rId3"/>
    <sheet name="1 to 10 HP Sub Dealer Price" sheetId="149" r:id="rId4"/>
    <sheet name="1HP -10M (3 pv)" sheetId="136" r:id="rId5"/>
    <sheet name="1HP -10M" sheetId="1" r:id="rId6"/>
    <sheet name="1HP -30 M" sheetId="98" r:id="rId7"/>
    <sheet name="1HP -40M " sheetId="101" r:id="rId8"/>
    <sheet name="1HP -90M  " sheetId="104" r:id="rId9"/>
    <sheet name="2 HP -15M   " sheetId="106" r:id="rId10"/>
    <sheet name="2 HP -20 M " sheetId="137" r:id="rId11"/>
    <sheet name="2 HP -30 M " sheetId="108" r:id="rId12"/>
    <sheet name="2 HP -50 M " sheetId="109" r:id="rId13"/>
    <sheet name="2 HP -90M " sheetId="110" r:id="rId14"/>
    <sheet name="2 HP -150 M" sheetId="138" r:id="rId15"/>
    <sheet name="3 HP -20 M" sheetId="111" r:id="rId16"/>
    <sheet name="3 HP -30M" sheetId="112" r:id="rId17"/>
    <sheet name="3 HP -70M " sheetId="113" r:id="rId18"/>
    <sheet name="3 HP -140M" sheetId="114" r:id="rId19"/>
    <sheet name="3HP -180M " sheetId="100" r:id="rId20"/>
    <sheet name="5HP -40M" sheetId="120" r:id="rId21"/>
    <sheet name="5 HP -65 M" sheetId="121" r:id="rId22"/>
    <sheet name="5 HP -100 M" sheetId="122" r:id="rId23"/>
    <sheet name="5 HP - 200 M" sheetId="123" r:id="rId24"/>
    <sheet name="5 HP -305 " sheetId="139" r:id="rId25"/>
    <sheet name="7.5 HP -30 M" sheetId="126" r:id="rId26"/>
    <sheet name="7.5 HP -80 M" sheetId="140" r:id="rId27"/>
    <sheet name="7.5 HP -150 M " sheetId="141" r:id="rId28"/>
    <sheet name="7.5 HP -200 M" sheetId="142" r:id="rId29"/>
    <sheet name="7.5 HP -300 M " sheetId="143" r:id="rId30"/>
    <sheet name="1 to 10 HP Customer Price" sheetId="148" r:id="rId31"/>
    <sheet name="10 HP - 50 M " sheetId="131" r:id="rId32"/>
    <sheet name="10 HP - 100 M" sheetId="144" r:id="rId33"/>
    <sheet name="10 HP - 200 M" sheetId="145" r:id="rId34"/>
    <sheet name="10 HP - 300 M" sheetId="146" r:id="rId35"/>
    <sheet name="1 HP TO 10HP PRICE" sheetId="70" r:id="rId36"/>
    <sheet name="1.5HP - 1PHASE" sheetId="135" r:id="rId37"/>
    <sheet name="Individual (2)" sheetId="147" state="hidden" r:id="rId38"/>
    <sheet name="Sheet2" sheetId="151" r:id="rId39"/>
  </sheets>
  <externalReferences>
    <externalReference r:id="rId40"/>
  </externalReferences>
  <definedNames>
    <definedName name="_xlnm.Print_Area" localSheetId="35">'1 HP TO 10HP PRICE'!$B$23:$AD$62</definedName>
    <definedName name="_xlnm.Print_Area" localSheetId="30">'1 to 10 HP Customer Price'!$B$23:$AB$61</definedName>
    <definedName name="_xlnm.Print_Area" localSheetId="36">'1.5HP - 1PHASE'!$A$1:$H$49</definedName>
    <definedName name="_xlnm.Print_Area" localSheetId="32">'10 HP - 100 M'!$A$1:$H$58</definedName>
    <definedName name="_xlnm.Print_Area" localSheetId="33">'10 HP - 200 M'!$A$1:$H$58</definedName>
    <definedName name="_xlnm.Print_Area" localSheetId="34">'10 HP - 300 M'!$A$1:$H$58</definedName>
    <definedName name="_xlnm.Print_Area" localSheetId="31">'10 HP - 50 M '!$A$1:$H$58</definedName>
    <definedName name="_xlnm.Print_Area" localSheetId="5">'1HP -10M'!$A$1:$H$61</definedName>
    <definedName name="_xlnm.Print_Area" localSheetId="4">'1HP -10M (3 pv)'!$A$1:$H$61</definedName>
    <definedName name="_xlnm.Print_Area" localSheetId="6">'1HP -30 M'!$A$1:$H$61</definedName>
    <definedName name="_xlnm.Print_Area" localSheetId="7">'1HP -40M '!$A$1:$H$61</definedName>
    <definedName name="_xlnm.Print_Area" localSheetId="8">'1HP -90M  '!$A$1:$H$61</definedName>
    <definedName name="_xlnm.Print_Area" localSheetId="14">'2 HP -150 M'!$A$1:$H$61</definedName>
    <definedName name="_xlnm.Print_Area" localSheetId="9">'2 HP -15M   '!$A$1:$H$59</definedName>
    <definedName name="_xlnm.Print_Area" localSheetId="10">'2 HP -20 M '!$A$1:$H$57</definedName>
    <definedName name="_xlnm.Print_Area" localSheetId="11">'2 HP -30 M '!$A$1:$H$61</definedName>
    <definedName name="_xlnm.Print_Area" localSheetId="12">'2 HP -50 M '!$A$1:$H$61</definedName>
    <definedName name="_xlnm.Print_Area" localSheetId="13">'2 HP -90M '!$A$1:$H$61</definedName>
    <definedName name="_xlnm.Print_Area" localSheetId="18">'3 HP -140M'!$A$1:$H$61</definedName>
    <definedName name="_xlnm.Print_Area" localSheetId="15">'3 HP -20 M'!$A$1:$H$61</definedName>
    <definedName name="_xlnm.Print_Area" localSheetId="16">'3 HP -30M'!$A$1:$H$61</definedName>
    <definedName name="_xlnm.Print_Area" localSheetId="17">'3 HP -70M '!$A$1:$H$61</definedName>
    <definedName name="_xlnm.Print_Area" localSheetId="19">'3HP -180M '!$A$1:$H$61</definedName>
    <definedName name="_xlnm.Print_Area" localSheetId="23">'5 HP - 200 M'!$A$1:$H$61</definedName>
    <definedName name="_xlnm.Print_Area" localSheetId="22">'5 HP -100 M'!$A$1:$H$61</definedName>
    <definedName name="_xlnm.Print_Area" localSheetId="24">'5 HP -305 '!$A$1:$H$61</definedName>
    <definedName name="_xlnm.Print_Area" localSheetId="21">'5 HP -65 M'!$A$1:$H$61</definedName>
    <definedName name="_xlnm.Print_Area" localSheetId="20">'5HP -40M'!$A$1:$H$61</definedName>
    <definedName name="_xlnm.Print_Area" localSheetId="27">'7.5 HP -150 M '!$A$1:$H$61</definedName>
    <definedName name="_xlnm.Print_Area" localSheetId="28">'7.5 HP -200 M'!$A$1:$H$61</definedName>
    <definedName name="_xlnm.Print_Area" localSheetId="25">'7.5 HP -30 M'!$A$1:$H$61</definedName>
    <definedName name="_xlnm.Print_Area" localSheetId="29">'7.5 HP -300 M '!$A$1:$H$61</definedName>
    <definedName name="_xlnm.Print_Area" localSheetId="26">'7.5 HP -80 M'!$A$1:$H$61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5" i="97" l="1"/>
  <c r="E32" i="100" s="1"/>
  <c r="E43" i="100"/>
  <c r="C70" i="97"/>
  <c r="C69" i="97"/>
  <c r="E42" i="100" s="1"/>
  <c r="C71" i="97"/>
  <c r="C7" i="97"/>
  <c r="D7" i="97" s="1"/>
  <c r="G7" i="97" l="1"/>
  <c r="E7" i="97"/>
  <c r="F7" i="97"/>
  <c r="D15" i="151" l="1"/>
  <c r="E15" i="151" s="1"/>
  <c r="D68" i="151"/>
  <c r="G68" i="151" s="1"/>
  <c r="D67" i="151"/>
  <c r="H67" i="151" s="1"/>
  <c r="D66" i="151"/>
  <c r="G66" i="151" s="1"/>
  <c r="D65" i="151"/>
  <c r="H65" i="151" s="1"/>
  <c r="D64" i="151"/>
  <c r="G64" i="151" s="1"/>
  <c r="D63" i="151"/>
  <c r="H63" i="151" s="1"/>
  <c r="D62" i="151"/>
  <c r="G62" i="151" s="1"/>
  <c r="D61" i="151"/>
  <c r="H61" i="151" s="1"/>
  <c r="D60" i="151"/>
  <c r="G60" i="151" s="1"/>
  <c r="D59" i="151"/>
  <c r="H59" i="151" s="1"/>
  <c r="D58" i="151"/>
  <c r="G58" i="151" s="1"/>
  <c r="D57" i="151"/>
  <c r="H57" i="151" s="1"/>
  <c r="D56" i="151"/>
  <c r="G56" i="151" s="1"/>
  <c r="D55" i="151"/>
  <c r="H55" i="151" s="1"/>
  <c r="D54" i="151"/>
  <c r="G54" i="151" s="1"/>
  <c r="D53" i="151"/>
  <c r="H53" i="151" s="1"/>
  <c r="D52" i="151"/>
  <c r="G52" i="151" s="1"/>
  <c r="D51" i="151"/>
  <c r="H51" i="151" s="1"/>
  <c r="D50" i="151"/>
  <c r="G50" i="151" s="1"/>
  <c r="D49" i="151"/>
  <c r="H49" i="151" s="1"/>
  <c r="D48" i="151"/>
  <c r="G48" i="151" s="1"/>
  <c r="D47" i="151"/>
  <c r="H47" i="151" s="1"/>
  <c r="D46" i="151"/>
  <c r="G46" i="151" s="1"/>
  <c r="D45" i="151"/>
  <c r="H45" i="151" s="1"/>
  <c r="D44" i="151"/>
  <c r="G44" i="151" s="1"/>
  <c r="D43" i="151"/>
  <c r="H43" i="151" s="1"/>
  <c r="D42" i="151"/>
  <c r="G42" i="151" s="1"/>
  <c r="D41" i="151"/>
  <c r="H41" i="151" s="1"/>
  <c r="D40" i="151"/>
  <c r="G40" i="151" s="1"/>
  <c r="D39" i="151"/>
  <c r="H39" i="151" s="1"/>
  <c r="D38" i="151"/>
  <c r="G38" i="151" s="1"/>
  <c r="D37" i="151"/>
  <c r="H37" i="151" s="1"/>
  <c r="D36" i="151"/>
  <c r="G36" i="151" s="1"/>
  <c r="D35" i="151"/>
  <c r="H35" i="151" s="1"/>
  <c r="D30" i="151"/>
  <c r="H30" i="151" s="1"/>
  <c r="D29" i="151"/>
  <c r="G29" i="151" s="1"/>
  <c r="D28" i="151"/>
  <c r="H28" i="151" s="1"/>
  <c r="D27" i="151"/>
  <c r="G27" i="151" s="1"/>
  <c r="D26" i="151"/>
  <c r="H26" i="151" s="1"/>
  <c r="D25" i="151"/>
  <c r="G25" i="151" s="1"/>
  <c r="D24" i="151"/>
  <c r="H24" i="151" s="1"/>
  <c r="D23" i="151"/>
  <c r="G23" i="151" s="1"/>
  <c r="D22" i="151"/>
  <c r="H22" i="151" s="1"/>
  <c r="D21" i="151"/>
  <c r="G21" i="151" s="1"/>
  <c r="D20" i="151"/>
  <c r="H20" i="151" s="1"/>
  <c r="D19" i="151"/>
  <c r="G19" i="151" s="1"/>
  <c r="D18" i="151"/>
  <c r="H18" i="151" s="1"/>
  <c r="D17" i="151"/>
  <c r="G17" i="151" s="1"/>
  <c r="D16" i="151"/>
  <c r="H16" i="151" s="1"/>
  <c r="D14" i="151"/>
  <c r="G14" i="151" s="1"/>
  <c r="D13" i="151"/>
  <c r="H13" i="151" s="1"/>
  <c r="D12" i="151"/>
  <c r="G12" i="151" s="1"/>
  <c r="H10" i="151"/>
  <c r="G10" i="151"/>
  <c r="F10" i="151"/>
  <c r="E10" i="151"/>
  <c r="H9" i="151"/>
  <c r="G9" i="151"/>
  <c r="F9" i="151"/>
  <c r="E9" i="151"/>
  <c r="H8" i="151"/>
  <c r="G8" i="151"/>
  <c r="F8" i="151"/>
  <c r="E8" i="151"/>
  <c r="H6" i="151"/>
  <c r="G6" i="151"/>
  <c r="F6" i="151"/>
  <c r="E6" i="151"/>
  <c r="H5" i="151"/>
  <c r="G5" i="151"/>
  <c r="F5" i="151"/>
  <c r="E5" i="151"/>
  <c r="H4" i="151"/>
  <c r="G4" i="151"/>
  <c r="F4" i="151"/>
  <c r="E4" i="151"/>
  <c r="E43" i="108"/>
  <c r="E42" i="108"/>
  <c r="E16" i="151" l="1"/>
  <c r="E28" i="151"/>
  <c r="H15" i="151"/>
  <c r="E24" i="151"/>
  <c r="E20" i="151"/>
  <c r="F15" i="151"/>
  <c r="E13" i="151"/>
  <c r="E18" i="151"/>
  <c r="E22" i="151"/>
  <c r="E26" i="151"/>
  <c r="E30" i="151"/>
  <c r="G35" i="151"/>
  <c r="G37" i="151"/>
  <c r="G39" i="151"/>
  <c r="G41" i="151"/>
  <c r="G43" i="151"/>
  <c r="G45" i="151"/>
  <c r="G47" i="151"/>
  <c r="G49" i="151"/>
  <c r="G51" i="151"/>
  <c r="G53" i="151"/>
  <c r="G55" i="151"/>
  <c r="G57" i="151"/>
  <c r="G59" i="151"/>
  <c r="G61" i="151"/>
  <c r="G63" i="151"/>
  <c r="G65" i="151"/>
  <c r="G67" i="151"/>
  <c r="G13" i="151"/>
  <c r="G16" i="151"/>
  <c r="G18" i="151"/>
  <c r="G20" i="151"/>
  <c r="G22" i="151"/>
  <c r="G24" i="151"/>
  <c r="G26" i="151"/>
  <c r="G28" i="151"/>
  <c r="G30" i="151"/>
  <c r="E35" i="151"/>
  <c r="E37" i="151"/>
  <c r="E39" i="151"/>
  <c r="E41" i="151"/>
  <c r="E43" i="151"/>
  <c r="E45" i="151"/>
  <c r="E47" i="151"/>
  <c r="E49" i="151"/>
  <c r="E51" i="151"/>
  <c r="E53" i="151"/>
  <c r="E55" i="151"/>
  <c r="E57" i="151"/>
  <c r="E59" i="151"/>
  <c r="E61" i="151"/>
  <c r="E63" i="151"/>
  <c r="E65" i="151"/>
  <c r="E67" i="151"/>
  <c r="G15" i="151"/>
  <c r="F36" i="151"/>
  <c r="H36" i="151"/>
  <c r="F38" i="151"/>
  <c r="H38" i="151"/>
  <c r="F40" i="151"/>
  <c r="H40" i="151"/>
  <c r="F42" i="151"/>
  <c r="H42" i="151"/>
  <c r="F44" i="151"/>
  <c r="H44" i="151"/>
  <c r="F46" i="151"/>
  <c r="H46" i="151"/>
  <c r="F48" i="151"/>
  <c r="H48" i="151"/>
  <c r="F50" i="151"/>
  <c r="H50" i="151"/>
  <c r="F52" i="151"/>
  <c r="H52" i="151"/>
  <c r="F54" i="151"/>
  <c r="H54" i="151"/>
  <c r="F56" i="151"/>
  <c r="H56" i="151"/>
  <c r="F58" i="151"/>
  <c r="H58" i="151"/>
  <c r="F60" i="151"/>
  <c r="H60" i="151"/>
  <c r="F62" i="151"/>
  <c r="H62" i="151"/>
  <c r="F64" i="151"/>
  <c r="H64" i="151"/>
  <c r="F66" i="151"/>
  <c r="H66" i="151"/>
  <c r="F68" i="151"/>
  <c r="H68" i="151"/>
  <c r="F35" i="151"/>
  <c r="E36" i="151"/>
  <c r="F37" i="151"/>
  <c r="E38" i="151"/>
  <c r="F39" i="151"/>
  <c r="E40" i="151"/>
  <c r="F41" i="151"/>
  <c r="E42" i="151"/>
  <c r="F43" i="151"/>
  <c r="E44" i="151"/>
  <c r="F45" i="151"/>
  <c r="E46" i="151"/>
  <c r="F47" i="151"/>
  <c r="E48" i="151"/>
  <c r="F49" i="151"/>
  <c r="E50" i="151"/>
  <c r="F51" i="151"/>
  <c r="E52" i="151"/>
  <c r="F53" i="151"/>
  <c r="E54" i="151"/>
  <c r="F55" i="151"/>
  <c r="E56" i="151"/>
  <c r="F57" i="151"/>
  <c r="E58" i="151"/>
  <c r="F59" i="151"/>
  <c r="E60" i="151"/>
  <c r="F61" i="151"/>
  <c r="E62" i="151"/>
  <c r="F63" i="151"/>
  <c r="E64" i="151"/>
  <c r="F65" i="151"/>
  <c r="E66" i="151"/>
  <c r="F67" i="151"/>
  <c r="E68" i="151"/>
  <c r="F12" i="151"/>
  <c r="H12" i="151"/>
  <c r="F14" i="151"/>
  <c r="H14" i="151"/>
  <c r="F17" i="151"/>
  <c r="H17" i="151"/>
  <c r="F19" i="151"/>
  <c r="H19" i="151"/>
  <c r="F21" i="151"/>
  <c r="H21" i="151"/>
  <c r="F23" i="151"/>
  <c r="H23" i="151"/>
  <c r="F25" i="151"/>
  <c r="H25" i="151"/>
  <c r="F27" i="151"/>
  <c r="H27" i="151"/>
  <c r="F29" i="151"/>
  <c r="H29" i="151"/>
  <c r="E12" i="151"/>
  <c r="F13" i="151"/>
  <c r="E14" i="151"/>
  <c r="F16" i="151"/>
  <c r="E17" i="151"/>
  <c r="F18" i="151"/>
  <c r="E19" i="151"/>
  <c r="F20" i="151"/>
  <c r="E21" i="151"/>
  <c r="F22" i="151"/>
  <c r="E23" i="151"/>
  <c r="F24" i="151"/>
  <c r="E25" i="151"/>
  <c r="F26" i="151"/>
  <c r="E27" i="151"/>
  <c r="F28" i="151"/>
  <c r="E29" i="151"/>
  <c r="F30" i="151"/>
  <c r="C154" i="97"/>
  <c r="C153" i="97"/>
  <c r="C152" i="97"/>
  <c r="C151" i="97"/>
  <c r="C150" i="97"/>
  <c r="C149" i="97"/>
  <c r="C148" i="97"/>
  <c r="C147" i="97"/>
  <c r="AB39" i="148"/>
  <c r="Z39" i="148"/>
  <c r="X39" i="148"/>
  <c r="V39" i="148"/>
  <c r="H40" i="148"/>
  <c r="T39" i="148" s="1"/>
  <c r="AB33" i="148"/>
  <c r="Z33" i="148"/>
  <c r="X33" i="148"/>
  <c r="V33" i="148"/>
  <c r="T33" i="148"/>
  <c r="AB32" i="148"/>
  <c r="Z32" i="148"/>
  <c r="X32" i="148"/>
  <c r="V32" i="148"/>
  <c r="T32" i="148"/>
  <c r="T58" i="148"/>
  <c r="T52" i="148"/>
  <c r="T46" i="148"/>
  <c r="H43" i="148"/>
  <c r="T43" i="148" s="1"/>
  <c r="H41" i="148"/>
  <c r="T41" i="148" s="1"/>
  <c r="J43" i="148" l="1"/>
  <c r="V43" i="148" s="1"/>
  <c r="L43" i="148"/>
  <c r="X43" i="148" s="1"/>
  <c r="N43" i="148"/>
  <c r="Z43" i="148" s="1"/>
  <c r="P43" i="148"/>
  <c r="AB43" i="148" s="1"/>
  <c r="J41" i="148"/>
  <c r="V41" i="148" s="1"/>
  <c r="L41" i="148"/>
  <c r="X41" i="148" s="1"/>
  <c r="N41" i="148"/>
  <c r="Z41" i="148" s="1"/>
  <c r="P41" i="148"/>
  <c r="AB41" i="148" s="1"/>
  <c r="Z58" i="148"/>
  <c r="V58" i="148"/>
  <c r="X58" i="148"/>
  <c r="AB58" i="148"/>
  <c r="V46" i="148"/>
  <c r="X46" i="148"/>
  <c r="Z46" i="148"/>
  <c r="AB46" i="148"/>
  <c r="V52" i="148"/>
  <c r="X52" i="148"/>
  <c r="Z52" i="148"/>
  <c r="AB52" i="148"/>
  <c r="C145" i="147" l="1"/>
  <c r="C144" i="147"/>
  <c r="C135" i="147"/>
  <c r="G135" i="147" s="1"/>
  <c r="C134" i="147"/>
  <c r="G134" i="147" s="1"/>
  <c r="C133" i="147"/>
  <c r="G133" i="147" s="1"/>
  <c r="C132" i="147"/>
  <c r="G132" i="147" s="1"/>
  <c r="C131" i="147"/>
  <c r="G131" i="147" s="1"/>
  <c r="C130" i="147"/>
  <c r="G130" i="147" s="1"/>
  <c r="C129" i="147"/>
  <c r="G129" i="147" s="1"/>
  <c r="C128" i="147"/>
  <c r="G128" i="147" s="1"/>
  <c r="C127" i="147"/>
  <c r="G127" i="147" s="1"/>
  <c r="C126" i="147"/>
  <c r="G126" i="147" s="1"/>
  <c r="C125" i="147"/>
  <c r="G125" i="147" s="1"/>
  <c r="C124" i="147"/>
  <c r="G124" i="147" s="1"/>
  <c r="C123" i="147"/>
  <c r="G123" i="147" s="1"/>
  <c r="C122" i="147"/>
  <c r="G122" i="147" s="1"/>
  <c r="C121" i="147"/>
  <c r="G121" i="147" s="1"/>
  <c r="C120" i="147"/>
  <c r="G120" i="147" s="1"/>
  <c r="O119" i="147"/>
  <c r="N119" i="147"/>
  <c r="M119" i="147"/>
  <c r="L119" i="147"/>
  <c r="C119" i="147"/>
  <c r="G119" i="147" s="1"/>
  <c r="O118" i="147"/>
  <c r="N118" i="147"/>
  <c r="M118" i="147"/>
  <c r="L118" i="147"/>
  <c r="C118" i="147"/>
  <c r="G118" i="147" s="1"/>
  <c r="O117" i="147"/>
  <c r="N117" i="147"/>
  <c r="M117" i="147"/>
  <c r="L117" i="147"/>
  <c r="C117" i="147"/>
  <c r="G117" i="147" s="1"/>
  <c r="O116" i="147"/>
  <c r="N116" i="147"/>
  <c r="M116" i="147"/>
  <c r="L116" i="147"/>
  <c r="C116" i="147"/>
  <c r="G116" i="147" s="1"/>
  <c r="O115" i="147"/>
  <c r="N115" i="147"/>
  <c r="M115" i="147"/>
  <c r="L115" i="147"/>
  <c r="C115" i="147"/>
  <c r="G115" i="147" s="1"/>
  <c r="O114" i="147"/>
  <c r="N114" i="147"/>
  <c r="M114" i="147"/>
  <c r="L114" i="147"/>
  <c r="C114" i="147"/>
  <c r="G114" i="147" s="1"/>
  <c r="C113" i="147"/>
  <c r="G113" i="147" s="1"/>
  <c r="O112" i="147"/>
  <c r="N112" i="147"/>
  <c r="M112" i="147"/>
  <c r="L112" i="147"/>
  <c r="C112" i="147"/>
  <c r="G112" i="147" s="1"/>
  <c r="O111" i="147"/>
  <c r="N111" i="147"/>
  <c r="M111" i="147"/>
  <c r="L111" i="147"/>
  <c r="C111" i="147"/>
  <c r="G111" i="147" s="1"/>
  <c r="O110" i="147"/>
  <c r="N110" i="147"/>
  <c r="M110" i="147"/>
  <c r="L110" i="147"/>
  <c r="C110" i="147"/>
  <c r="G110" i="147" s="1"/>
  <c r="O109" i="147"/>
  <c r="N109" i="147"/>
  <c r="M109" i="147"/>
  <c r="L109" i="147"/>
  <c r="C109" i="147"/>
  <c r="G109" i="147" s="1"/>
  <c r="O108" i="147"/>
  <c r="N108" i="147"/>
  <c r="M108" i="147"/>
  <c r="L108" i="147"/>
  <c r="C108" i="147"/>
  <c r="G108" i="147" s="1"/>
  <c r="O107" i="147"/>
  <c r="N107" i="147"/>
  <c r="M107" i="147"/>
  <c r="L107" i="147"/>
  <c r="C107" i="147"/>
  <c r="G107" i="147" s="1"/>
  <c r="O106" i="147"/>
  <c r="N106" i="147"/>
  <c r="M106" i="147"/>
  <c r="L106" i="147"/>
  <c r="C106" i="147"/>
  <c r="G106" i="147" s="1"/>
  <c r="O105" i="147"/>
  <c r="N105" i="147"/>
  <c r="M105" i="147"/>
  <c r="L105" i="147"/>
  <c r="C105" i="147"/>
  <c r="G105" i="147" s="1"/>
  <c r="O104" i="147"/>
  <c r="N104" i="147"/>
  <c r="M104" i="147"/>
  <c r="L104" i="147"/>
  <c r="C104" i="147"/>
  <c r="G104" i="147" s="1"/>
  <c r="C103" i="147"/>
  <c r="O102" i="147"/>
  <c r="N102" i="147"/>
  <c r="M102" i="147"/>
  <c r="L102" i="147"/>
  <c r="C102" i="147"/>
  <c r="G102" i="147" s="1"/>
  <c r="O101" i="147"/>
  <c r="N101" i="147"/>
  <c r="M101" i="147"/>
  <c r="L101" i="147"/>
  <c r="O100" i="147"/>
  <c r="N100" i="147"/>
  <c r="M100" i="147"/>
  <c r="L100" i="147"/>
  <c r="F100" i="147"/>
  <c r="C100" i="147"/>
  <c r="O99" i="147"/>
  <c r="N99" i="147"/>
  <c r="M99" i="147"/>
  <c r="L99" i="147"/>
  <c r="C99" i="147"/>
  <c r="G99" i="147" s="1"/>
  <c r="O98" i="147"/>
  <c r="N98" i="147"/>
  <c r="M98" i="147"/>
  <c r="L98" i="147"/>
  <c r="C98" i="147"/>
  <c r="O97" i="147"/>
  <c r="N97" i="147"/>
  <c r="M97" i="147"/>
  <c r="L97" i="147"/>
  <c r="C97" i="147"/>
  <c r="G97" i="147" s="1"/>
  <c r="O96" i="147"/>
  <c r="N96" i="147"/>
  <c r="M96" i="147"/>
  <c r="L96" i="147"/>
  <c r="C96" i="147"/>
  <c r="F96" i="147" s="1"/>
  <c r="O95" i="147"/>
  <c r="N95" i="147"/>
  <c r="M95" i="147"/>
  <c r="L95" i="147"/>
  <c r="C95" i="147"/>
  <c r="G95" i="147" s="1"/>
  <c r="O94" i="147"/>
  <c r="N94" i="147"/>
  <c r="M94" i="147"/>
  <c r="L94" i="147"/>
  <c r="C94" i="147"/>
  <c r="O93" i="147"/>
  <c r="N93" i="147"/>
  <c r="M93" i="147"/>
  <c r="L93" i="147"/>
  <c r="C93" i="147"/>
  <c r="G93" i="147" s="1"/>
  <c r="K92" i="147"/>
  <c r="N92" i="147" s="1"/>
  <c r="C92" i="147"/>
  <c r="G92" i="147" s="1"/>
  <c r="K91" i="147"/>
  <c r="N91" i="147" s="1"/>
  <c r="D91" i="147"/>
  <c r="C91" i="147"/>
  <c r="G91" i="147" s="1"/>
  <c r="K90" i="147"/>
  <c r="N90" i="147" s="1"/>
  <c r="D90" i="147"/>
  <c r="C90" i="147"/>
  <c r="G90" i="147" s="1"/>
  <c r="K89" i="147"/>
  <c r="N89" i="147" s="1"/>
  <c r="D89" i="147"/>
  <c r="C89" i="147"/>
  <c r="G89" i="147" s="1"/>
  <c r="K88" i="147"/>
  <c r="N88" i="147" s="1"/>
  <c r="D88" i="147"/>
  <c r="C88" i="147"/>
  <c r="G88" i="147" s="1"/>
  <c r="O87" i="147"/>
  <c r="N87" i="147"/>
  <c r="M87" i="147"/>
  <c r="L87" i="147"/>
  <c r="C87" i="147"/>
  <c r="F87" i="147" s="1"/>
  <c r="K86" i="147"/>
  <c r="O86" i="147" s="1"/>
  <c r="C86" i="147"/>
  <c r="F86" i="147" s="1"/>
  <c r="O85" i="147"/>
  <c r="N85" i="147"/>
  <c r="M85" i="147"/>
  <c r="L85" i="147"/>
  <c r="D85" i="147"/>
  <c r="C85" i="147"/>
  <c r="G85" i="147" s="1"/>
  <c r="O84" i="147"/>
  <c r="N84" i="147"/>
  <c r="M84" i="147"/>
  <c r="L84" i="147"/>
  <c r="C84" i="147"/>
  <c r="F84" i="147" s="1"/>
  <c r="L83" i="147"/>
  <c r="K83" i="147"/>
  <c r="O83" i="147" s="1"/>
  <c r="C83" i="147"/>
  <c r="F83" i="147" s="1"/>
  <c r="O82" i="147"/>
  <c r="N82" i="147"/>
  <c r="M82" i="147"/>
  <c r="L82" i="147"/>
  <c r="K81" i="147"/>
  <c r="O81" i="147" s="1"/>
  <c r="C81" i="147"/>
  <c r="F81" i="147" s="1"/>
  <c r="O80" i="147"/>
  <c r="N80" i="147"/>
  <c r="M80" i="147"/>
  <c r="L80" i="147"/>
  <c r="D80" i="147"/>
  <c r="C80" i="147"/>
  <c r="G80" i="147" s="1"/>
  <c r="K79" i="147"/>
  <c r="N79" i="147" s="1"/>
  <c r="C79" i="147"/>
  <c r="G79" i="147" s="1"/>
  <c r="K78" i="147"/>
  <c r="N78" i="147" s="1"/>
  <c r="C78" i="147"/>
  <c r="G78" i="147" s="1"/>
  <c r="K77" i="147"/>
  <c r="N77" i="147" s="1"/>
  <c r="D77" i="147"/>
  <c r="C77" i="147"/>
  <c r="G77" i="147" s="1"/>
  <c r="K76" i="147"/>
  <c r="N76" i="147" s="1"/>
  <c r="D76" i="147"/>
  <c r="C76" i="147"/>
  <c r="G76" i="147" s="1"/>
  <c r="K75" i="147"/>
  <c r="N75" i="147" s="1"/>
  <c r="O74" i="147"/>
  <c r="N74" i="147"/>
  <c r="M74" i="147"/>
  <c r="L74" i="147"/>
  <c r="G74" i="147"/>
  <c r="F74" i="147"/>
  <c r="E74" i="147"/>
  <c r="D74" i="147"/>
  <c r="O73" i="147"/>
  <c r="N73" i="147"/>
  <c r="M73" i="147"/>
  <c r="L73" i="147"/>
  <c r="G73" i="147"/>
  <c r="F73" i="147"/>
  <c r="E73" i="147"/>
  <c r="D73" i="147"/>
  <c r="L72" i="147"/>
  <c r="K72" i="147"/>
  <c r="O72" i="147" s="1"/>
  <c r="G72" i="147"/>
  <c r="F72" i="147"/>
  <c r="E72" i="147"/>
  <c r="D72" i="147"/>
  <c r="O71" i="147"/>
  <c r="N71" i="147"/>
  <c r="M71" i="147"/>
  <c r="L71" i="147"/>
  <c r="K70" i="147"/>
  <c r="N70" i="147" s="1"/>
  <c r="G70" i="147"/>
  <c r="F70" i="147"/>
  <c r="E70" i="147"/>
  <c r="D70" i="147"/>
  <c r="L69" i="147"/>
  <c r="K69" i="147"/>
  <c r="O69" i="147" s="1"/>
  <c r="G69" i="147"/>
  <c r="F69" i="147"/>
  <c r="E69" i="147"/>
  <c r="D69" i="147"/>
  <c r="O68" i="147"/>
  <c r="N68" i="147"/>
  <c r="M68" i="147"/>
  <c r="L68" i="147"/>
  <c r="G68" i="147"/>
  <c r="F68" i="147"/>
  <c r="E68" i="147"/>
  <c r="D68" i="147"/>
  <c r="K67" i="147"/>
  <c r="N67" i="147" s="1"/>
  <c r="L66" i="147"/>
  <c r="K66" i="147"/>
  <c r="O66" i="147" s="1"/>
  <c r="G66" i="147"/>
  <c r="F66" i="147"/>
  <c r="E66" i="147"/>
  <c r="D66" i="147"/>
  <c r="K65" i="147"/>
  <c r="N65" i="147" s="1"/>
  <c r="L64" i="147"/>
  <c r="K64" i="147"/>
  <c r="O64" i="147" s="1"/>
  <c r="G64" i="147"/>
  <c r="F64" i="147"/>
  <c r="E64" i="147"/>
  <c r="D64" i="147"/>
  <c r="O63" i="147"/>
  <c r="N63" i="147"/>
  <c r="M63" i="147"/>
  <c r="L63" i="147"/>
  <c r="G63" i="147"/>
  <c r="F63" i="147"/>
  <c r="E63" i="147"/>
  <c r="D63" i="147"/>
  <c r="O62" i="147"/>
  <c r="N62" i="147"/>
  <c r="M62" i="147"/>
  <c r="L62" i="147"/>
  <c r="K61" i="147"/>
  <c r="N61" i="147" s="1"/>
  <c r="G61" i="147"/>
  <c r="F61" i="147"/>
  <c r="E61" i="147"/>
  <c r="D61" i="147"/>
  <c r="L60" i="147"/>
  <c r="K60" i="147"/>
  <c r="O60" i="147" s="1"/>
  <c r="O59" i="147"/>
  <c r="N59" i="147"/>
  <c r="M59" i="147"/>
  <c r="L59" i="147"/>
  <c r="G59" i="147"/>
  <c r="F59" i="147"/>
  <c r="E59" i="147"/>
  <c r="D59" i="147"/>
  <c r="K58" i="147"/>
  <c r="N58" i="147" s="1"/>
  <c r="G58" i="147"/>
  <c r="F58" i="147"/>
  <c r="E58" i="147"/>
  <c r="D58" i="147"/>
  <c r="O57" i="147"/>
  <c r="N57" i="147"/>
  <c r="M57" i="147"/>
  <c r="L57" i="147"/>
  <c r="K56" i="147"/>
  <c r="O56" i="147" s="1"/>
  <c r="O55" i="147"/>
  <c r="N55" i="147"/>
  <c r="M55" i="147"/>
  <c r="L55" i="147"/>
  <c r="K54" i="147"/>
  <c r="N54" i="147" s="1"/>
  <c r="L53" i="147"/>
  <c r="K53" i="147"/>
  <c r="O53" i="147" s="1"/>
  <c r="O52" i="147"/>
  <c r="N52" i="147"/>
  <c r="M52" i="147"/>
  <c r="L52" i="147"/>
  <c r="K51" i="147"/>
  <c r="N51" i="147" s="1"/>
  <c r="O50" i="147"/>
  <c r="N50" i="147"/>
  <c r="M50" i="147"/>
  <c r="L50" i="147"/>
  <c r="O49" i="147"/>
  <c r="N49" i="147"/>
  <c r="M49" i="147"/>
  <c r="L49" i="147"/>
  <c r="G49" i="147"/>
  <c r="F49" i="147"/>
  <c r="E49" i="147"/>
  <c r="D49" i="147"/>
  <c r="K48" i="147"/>
  <c r="O48" i="147" s="1"/>
  <c r="G48" i="147"/>
  <c r="F48" i="147"/>
  <c r="E48" i="147"/>
  <c r="D48" i="147"/>
  <c r="K47" i="147"/>
  <c r="N47" i="147" s="1"/>
  <c r="G47" i="147"/>
  <c r="F47" i="147"/>
  <c r="E47" i="147"/>
  <c r="D47" i="147"/>
  <c r="O46" i="147"/>
  <c r="N46" i="147"/>
  <c r="M46" i="147"/>
  <c r="L46" i="147"/>
  <c r="G46" i="147"/>
  <c r="F46" i="147"/>
  <c r="E46" i="147"/>
  <c r="D46" i="147"/>
  <c r="O45" i="147"/>
  <c r="N45" i="147"/>
  <c r="M45" i="147"/>
  <c r="L45" i="147"/>
  <c r="G45" i="147"/>
  <c r="F45" i="147"/>
  <c r="E45" i="147"/>
  <c r="D45" i="147"/>
  <c r="O44" i="147"/>
  <c r="N44" i="147"/>
  <c r="M44" i="147"/>
  <c r="L44" i="147"/>
  <c r="G44" i="147"/>
  <c r="F44" i="147"/>
  <c r="E44" i="147"/>
  <c r="D44" i="147"/>
  <c r="L43" i="147"/>
  <c r="K43" i="147"/>
  <c r="O43" i="147" s="1"/>
  <c r="G43" i="147"/>
  <c r="F43" i="147"/>
  <c r="E43" i="147"/>
  <c r="D43" i="147"/>
  <c r="K42" i="147"/>
  <c r="N42" i="147" s="1"/>
  <c r="G42" i="147"/>
  <c r="F42" i="147"/>
  <c r="E42" i="147"/>
  <c r="D42" i="147"/>
  <c r="O41" i="147"/>
  <c r="N41" i="147"/>
  <c r="M41" i="147"/>
  <c r="L41" i="147"/>
  <c r="G41" i="147"/>
  <c r="F41" i="147"/>
  <c r="E41" i="147"/>
  <c r="D41" i="147"/>
  <c r="L40" i="147"/>
  <c r="K40" i="147"/>
  <c r="O40" i="147" s="1"/>
  <c r="G40" i="147"/>
  <c r="F40" i="147"/>
  <c r="E40" i="147"/>
  <c r="D40" i="147"/>
  <c r="K39" i="147"/>
  <c r="N39" i="147" s="1"/>
  <c r="G39" i="147"/>
  <c r="F39" i="147"/>
  <c r="E39" i="147"/>
  <c r="D39" i="147"/>
  <c r="O38" i="147"/>
  <c r="N38" i="147"/>
  <c r="M38" i="147"/>
  <c r="L38" i="147"/>
  <c r="G38" i="147"/>
  <c r="F38" i="147"/>
  <c r="E38" i="147"/>
  <c r="D38" i="147"/>
  <c r="O37" i="147"/>
  <c r="N37" i="147"/>
  <c r="M37" i="147"/>
  <c r="L37" i="147"/>
  <c r="G37" i="147"/>
  <c r="F37" i="147"/>
  <c r="E37" i="147"/>
  <c r="D37" i="147"/>
  <c r="K36" i="147"/>
  <c r="O36" i="147" s="1"/>
  <c r="G36" i="147"/>
  <c r="F36" i="147"/>
  <c r="E36" i="147"/>
  <c r="D36" i="147"/>
  <c r="K35" i="147"/>
  <c r="N35" i="147" s="1"/>
  <c r="G35" i="147"/>
  <c r="F35" i="147"/>
  <c r="E35" i="147"/>
  <c r="D35" i="147"/>
  <c r="O34" i="147"/>
  <c r="N34" i="147"/>
  <c r="M34" i="147"/>
  <c r="L34" i="147"/>
  <c r="G34" i="147"/>
  <c r="F34" i="147"/>
  <c r="E34" i="147"/>
  <c r="D34" i="147"/>
  <c r="O33" i="147"/>
  <c r="N33" i="147"/>
  <c r="M33" i="147"/>
  <c r="L33" i="147"/>
  <c r="G33" i="147"/>
  <c r="F33" i="147"/>
  <c r="E33" i="147"/>
  <c r="D33" i="147"/>
  <c r="K32" i="147"/>
  <c r="O32" i="147" s="1"/>
  <c r="G32" i="147"/>
  <c r="F32" i="147"/>
  <c r="E32" i="147"/>
  <c r="D32" i="147"/>
  <c r="K31" i="147"/>
  <c r="N31" i="147" s="1"/>
  <c r="G31" i="147"/>
  <c r="F31" i="147"/>
  <c r="E31" i="147"/>
  <c r="D31" i="147"/>
  <c r="O30" i="147"/>
  <c r="N30" i="147"/>
  <c r="M30" i="147"/>
  <c r="L30" i="147"/>
  <c r="G30" i="147"/>
  <c r="F30" i="147"/>
  <c r="E30" i="147"/>
  <c r="D30" i="147"/>
  <c r="O29" i="147"/>
  <c r="N29" i="147"/>
  <c r="M29" i="147"/>
  <c r="L29" i="147"/>
  <c r="G29" i="147"/>
  <c r="F29" i="147"/>
  <c r="E29" i="147"/>
  <c r="D29" i="147"/>
  <c r="G28" i="147"/>
  <c r="F28" i="147"/>
  <c r="E28" i="147"/>
  <c r="D28" i="147"/>
  <c r="G27" i="147"/>
  <c r="F27" i="147"/>
  <c r="E27" i="147"/>
  <c r="D27" i="147"/>
  <c r="G26" i="147"/>
  <c r="F26" i="147"/>
  <c r="E26" i="147"/>
  <c r="D26" i="147"/>
  <c r="G25" i="147"/>
  <c r="F25" i="147"/>
  <c r="E25" i="147"/>
  <c r="D25" i="147"/>
  <c r="K24" i="147"/>
  <c r="O24" i="147" s="1"/>
  <c r="G24" i="147"/>
  <c r="F24" i="147"/>
  <c r="E24" i="147"/>
  <c r="D24" i="147"/>
  <c r="K23" i="147"/>
  <c r="N23" i="147" s="1"/>
  <c r="G23" i="147"/>
  <c r="F23" i="147"/>
  <c r="E23" i="147"/>
  <c r="D23" i="147"/>
  <c r="K22" i="147"/>
  <c r="O22" i="147" s="1"/>
  <c r="G22" i="147"/>
  <c r="F22" i="147"/>
  <c r="E22" i="147"/>
  <c r="D22" i="147"/>
  <c r="K21" i="147"/>
  <c r="N21" i="147" s="1"/>
  <c r="G21" i="147"/>
  <c r="F21" i="147"/>
  <c r="E21" i="147"/>
  <c r="D21" i="147"/>
  <c r="K20" i="147"/>
  <c r="O20" i="147" s="1"/>
  <c r="G20" i="147"/>
  <c r="F20" i="147"/>
  <c r="E20" i="147"/>
  <c r="D20" i="147"/>
  <c r="K19" i="147"/>
  <c r="N19" i="147" s="1"/>
  <c r="G19" i="147"/>
  <c r="F19" i="147"/>
  <c r="E19" i="147"/>
  <c r="D19" i="147"/>
  <c r="L18" i="147"/>
  <c r="K18" i="147"/>
  <c r="O18" i="147" s="1"/>
  <c r="G18" i="147"/>
  <c r="F18" i="147"/>
  <c r="E18" i="147"/>
  <c r="D18" i="147"/>
  <c r="K17" i="147"/>
  <c r="N17" i="147" s="1"/>
  <c r="G17" i="147"/>
  <c r="F17" i="147"/>
  <c r="E17" i="147"/>
  <c r="D17" i="147"/>
  <c r="L16" i="147"/>
  <c r="K16" i="147"/>
  <c r="O16" i="147" s="1"/>
  <c r="G16" i="147"/>
  <c r="F16" i="147"/>
  <c r="E16" i="147"/>
  <c r="D16" i="147"/>
  <c r="K15" i="147"/>
  <c r="N15" i="147" s="1"/>
  <c r="G15" i="147"/>
  <c r="F15" i="147"/>
  <c r="E15" i="147"/>
  <c r="D15" i="147"/>
  <c r="K14" i="147"/>
  <c r="O14" i="147" s="1"/>
  <c r="G14" i="147"/>
  <c r="F14" i="147"/>
  <c r="E14" i="147"/>
  <c r="D14" i="147"/>
  <c r="K13" i="147"/>
  <c r="N13" i="147" s="1"/>
  <c r="G13" i="147"/>
  <c r="F13" i="147"/>
  <c r="E13" i="147"/>
  <c r="D13" i="147"/>
  <c r="L12" i="147"/>
  <c r="K12" i="147"/>
  <c r="O12" i="147" s="1"/>
  <c r="G12" i="147"/>
  <c r="F12" i="147"/>
  <c r="E12" i="147"/>
  <c r="D12" i="147"/>
  <c r="K11" i="147"/>
  <c r="N11" i="147" s="1"/>
  <c r="G11" i="147"/>
  <c r="F11" i="147"/>
  <c r="E11" i="147"/>
  <c r="D11" i="147"/>
  <c r="K10" i="147"/>
  <c r="O10" i="147" s="1"/>
  <c r="K9" i="147"/>
  <c r="N9" i="147" s="1"/>
  <c r="L8" i="147"/>
  <c r="K8" i="147"/>
  <c r="O8" i="147" s="1"/>
  <c r="K7" i="147"/>
  <c r="N7" i="147" s="1"/>
  <c r="D7" i="147"/>
  <c r="C7" i="147"/>
  <c r="G7" i="147" s="1"/>
  <c r="K6" i="147"/>
  <c r="N6" i="147" s="1"/>
  <c r="C6" i="147"/>
  <c r="G6" i="147" s="1"/>
  <c r="K5" i="147"/>
  <c r="N5" i="147" s="1"/>
  <c r="C5" i="147"/>
  <c r="G5" i="147" s="1"/>
  <c r="K4" i="147"/>
  <c r="N4" i="147" s="1"/>
  <c r="D4" i="147"/>
  <c r="C4" i="147"/>
  <c r="G4" i="147" s="1"/>
  <c r="E43" i="146"/>
  <c r="E42" i="146"/>
  <c r="H42" i="146" s="1"/>
  <c r="E35" i="146"/>
  <c r="G42" i="146"/>
  <c r="E38" i="146"/>
  <c r="F38" i="146" s="1"/>
  <c r="G35" i="146"/>
  <c r="E31" i="146"/>
  <c r="F31" i="146" s="1"/>
  <c r="E30" i="146"/>
  <c r="E29" i="146"/>
  <c r="F29" i="146" s="1"/>
  <c r="E28" i="146"/>
  <c r="F28" i="146" s="1"/>
  <c r="G26" i="146"/>
  <c r="E26" i="146"/>
  <c r="F26" i="146" s="1"/>
  <c r="E43" i="145"/>
  <c r="H43" i="145" s="1"/>
  <c r="E42" i="145"/>
  <c r="F42" i="145" s="1"/>
  <c r="E35" i="145"/>
  <c r="G35" i="145" s="1"/>
  <c r="E38" i="145"/>
  <c r="F38" i="145" s="1"/>
  <c r="E31" i="145"/>
  <c r="F31" i="145" s="1"/>
  <c r="E30" i="145"/>
  <c r="E29" i="145"/>
  <c r="F29" i="145" s="1"/>
  <c r="E28" i="145"/>
  <c r="F28" i="145" s="1"/>
  <c r="G26" i="145"/>
  <c r="E26" i="145"/>
  <c r="F26" i="145" s="1"/>
  <c r="E43" i="144"/>
  <c r="E42" i="144"/>
  <c r="G42" i="144" s="1"/>
  <c r="E35" i="144"/>
  <c r="F35" i="144" s="1"/>
  <c r="H42" i="144"/>
  <c r="E38" i="144"/>
  <c r="H38" i="144" s="1"/>
  <c r="E31" i="144"/>
  <c r="H31" i="144" s="1"/>
  <c r="E30" i="144"/>
  <c r="H30" i="144" s="1"/>
  <c r="E29" i="144"/>
  <c r="H29" i="144" s="1"/>
  <c r="E28" i="144"/>
  <c r="H28" i="144" s="1"/>
  <c r="E26" i="144"/>
  <c r="H26" i="144" s="1"/>
  <c r="E43" i="131"/>
  <c r="E42" i="131"/>
  <c r="E31" i="131"/>
  <c r="H31" i="131" s="1"/>
  <c r="E28" i="131"/>
  <c r="E26" i="131"/>
  <c r="H26" i="131" s="1"/>
  <c r="O119" i="97"/>
  <c r="N119" i="97"/>
  <c r="M119" i="97"/>
  <c r="L119" i="97"/>
  <c r="O118" i="97"/>
  <c r="N118" i="97"/>
  <c r="M118" i="97"/>
  <c r="L118" i="97"/>
  <c r="O117" i="97"/>
  <c r="N117" i="97"/>
  <c r="M117" i="97"/>
  <c r="L117" i="97"/>
  <c r="O114" i="97"/>
  <c r="N114" i="97"/>
  <c r="M114" i="97"/>
  <c r="L114" i="97"/>
  <c r="O112" i="97"/>
  <c r="N112" i="97"/>
  <c r="M112" i="97"/>
  <c r="L112" i="97"/>
  <c r="O111" i="97"/>
  <c r="N111" i="97"/>
  <c r="M111" i="97"/>
  <c r="L111" i="97"/>
  <c r="O110" i="97"/>
  <c r="N110" i="97"/>
  <c r="M110" i="97"/>
  <c r="L110" i="97"/>
  <c r="O109" i="97"/>
  <c r="N109" i="97"/>
  <c r="M109" i="97"/>
  <c r="L109" i="97"/>
  <c r="O108" i="97"/>
  <c r="N108" i="97"/>
  <c r="M108" i="97"/>
  <c r="L108" i="97"/>
  <c r="O107" i="97"/>
  <c r="N107" i="97"/>
  <c r="M107" i="97"/>
  <c r="L107" i="97"/>
  <c r="O106" i="97"/>
  <c r="N106" i="97"/>
  <c r="M106" i="97"/>
  <c r="L106" i="97"/>
  <c r="O105" i="97"/>
  <c r="N105" i="97"/>
  <c r="M105" i="97"/>
  <c r="L105" i="97"/>
  <c r="O104" i="97"/>
  <c r="N104" i="97"/>
  <c r="M104" i="97"/>
  <c r="L104" i="97"/>
  <c r="O102" i="97"/>
  <c r="N102" i="97"/>
  <c r="M102" i="97"/>
  <c r="L102" i="97"/>
  <c r="O101" i="97"/>
  <c r="N101" i="97"/>
  <c r="M101" i="97"/>
  <c r="L101" i="97"/>
  <c r="O98" i="97"/>
  <c r="N98" i="97"/>
  <c r="M98" i="97"/>
  <c r="L98" i="97"/>
  <c r="O97" i="97"/>
  <c r="N97" i="97"/>
  <c r="M97" i="97"/>
  <c r="L97" i="97"/>
  <c r="O96" i="97"/>
  <c r="N96" i="97"/>
  <c r="M96" i="97"/>
  <c r="L96" i="97"/>
  <c r="O93" i="97"/>
  <c r="N93" i="97"/>
  <c r="M93" i="97"/>
  <c r="L93" i="97"/>
  <c r="K13" i="97"/>
  <c r="K12" i="97"/>
  <c r="K11" i="97"/>
  <c r="K10" i="97"/>
  <c r="E27" i="146" s="1"/>
  <c r="K9" i="97"/>
  <c r="K8" i="97"/>
  <c r="K7" i="97"/>
  <c r="K6" i="97"/>
  <c r="E27" i="108" s="1"/>
  <c r="K5" i="97"/>
  <c r="K4" i="97"/>
  <c r="G75" i="97"/>
  <c r="F75" i="97"/>
  <c r="E75" i="97"/>
  <c r="D75" i="97"/>
  <c r="G74" i="97"/>
  <c r="F74" i="97"/>
  <c r="E74" i="97"/>
  <c r="D74" i="97"/>
  <c r="G73" i="97"/>
  <c r="F73" i="97"/>
  <c r="E73" i="97"/>
  <c r="D73" i="97"/>
  <c r="G71" i="97"/>
  <c r="G70" i="97"/>
  <c r="G69" i="97"/>
  <c r="F71" i="97"/>
  <c r="F70" i="97"/>
  <c r="F69" i="97"/>
  <c r="E71" i="97"/>
  <c r="E70" i="97"/>
  <c r="E69" i="97"/>
  <c r="D71" i="97"/>
  <c r="D70" i="97"/>
  <c r="D69" i="97"/>
  <c r="G50" i="97"/>
  <c r="F50" i="97"/>
  <c r="E50" i="97"/>
  <c r="D50" i="97"/>
  <c r="G49" i="97"/>
  <c r="F49" i="97"/>
  <c r="E49" i="97"/>
  <c r="D49" i="97"/>
  <c r="G47" i="97"/>
  <c r="F47" i="97"/>
  <c r="E47" i="97"/>
  <c r="D47" i="97"/>
  <c r="G45" i="97"/>
  <c r="F45" i="97"/>
  <c r="E45" i="97"/>
  <c r="D45" i="97"/>
  <c r="G43" i="97"/>
  <c r="F43" i="97"/>
  <c r="G41" i="97"/>
  <c r="F41" i="97"/>
  <c r="G39" i="97"/>
  <c r="F39" i="97"/>
  <c r="G37" i="97"/>
  <c r="F37" i="97"/>
  <c r="G35" i="97"/>
  <c r="F35" i="97"/>
  <c r="G33" i="97"/>
  <c r="F33" i="97"/>
  <c r="G31" i="97"/>
  <c r="F31" i="97"/>
  <c r="E43" i="97"/>
  <c r="D43" i="97"/>
  <c r="E41" i="97"/>
  <c r="D41" i="97"/>
  <c r="E39" i="97"/>
  <c r="D39" i="97"/>
  <c r="E37" i="97"/>
  <c r="D37" i="97"/>
  <c r="E33" i="97"/>
  <c r="D33" i="97"/>
  <c r="D35" i="97"/>
  <c r="E35" i="97"/>
  <c r="D31" i="97"/>
  <c r="E31" i="97"/>
  <c r="O95" i="97"/>
  <c r="N95" i="97"/>
  <c r="M95" i="97"/>
  <c r="L95" i="97"/>
  <c r="C136" i="97"/>
  <c r="E47" i="144" s="1"/>
  <c r="C135" i="97"/>
  <c r="E47" i="121" s="1"/>
  <c r="H47" i="121" s="1"/>
  <c r="C134" i="97"/>
  <c r="E47" i="136" s="1"/>
  <c r="C133" i="97"/>
  <c r="F133" i="97" s="1"/>
  <c r="C132" i="97"/>
  <c r="F132" i="97" s="1"/>
  <c r="C131" i="97"/>
  <c r="E48" i="141" s="1"/>
  <c r="C130" i="97"/>
  <c r="E47" i="122" s="1"/>
  <c r="H47" i="122" s="1"/>
  <c r="C129" i="97"/>
  <c r="E47" i="98" s="1"/>
  <c r="C128" i="97"/>
  <c r="F128" i="97" s="1"/>
  <c r="C127" i="97"/>
  <c r="E41" i="143" s="1"/>
  <c r="H41" i="143" s="1"/>
  <c r="C126" i="97"/>
  <c r="F126" i="97" s="1"/>
  <c r="C125" i="97"/>
  <c r="E48" i="142" s="1"/>
  <c r="C124" i="97"/>
  <c r="F124" i="97" s="1"/>
  <c r="C123" i="97"/>
  <c r="E47" i="101" s="1"/>
  <c r="C122" i="97"/>
  <c r="F122" i="97" s="1"/>
  <c r="C121" i="97"/>
  <c r="F121" i="97" s="1"/>
  <c r="C120" i="97"/>
  <c r="F120" i="97" s="1"/>
  <c r="C119" i="97"/>
  <c r="E41" i="139" s="1"/>
  <c r="H41" i="139" s="1"/>
  <c r="C118" i="97"/>
  <c r="E47" i="100" s="1"/>
  <c r="C117" i="97"/>
  <c r="F117" i="97" s="1"/>
  <c r="C116" i="97"/>
  <c r="E47" i="104" s="1"/>
  <c r="C115" i="97"/>
  <c r="F115" i="97" s="1"/>
  <c r="C114" i="97"/>
  <c r="F114" i="97" s="1"/>
  <c r="C113" i="97"/>
  <c r="F113" i="97" s="1"/>
  <c r="C112" i="97"/>
  <c r="F112" i="97" s="1"/>
  <c r="C111" i="97"/>
  <c r="F111" i="97" s="1"/>
  <c r="C110" i="97"/>
  <c r="F110" i="97" s="1"/>
  <c r="C109" i="97"/>
  <c r="F109" i="97" s="1"/>
  <c r="C108" i="97"/>
  <c r="F108" i="97" s="1"/>
  <c r="C107" i="97"/>
  <c r="F107" i="97" s="1"/>
  <c r="C106" i="97"/>
  <c r="F106" i="97" s="1"/>
  <c r="C105" i="97"/>
  <c r="F105" i="97" s="1"/>
  <c r="C103" i="97"/>
  <c r="F103" i="97" s="1"/>
  <c r="C104" i="97"/>
  <c r="F104" i="97" s="1"/>
  <c r="C101" i="97"/>
  <c r="E41" i="137" s="1"/>
  <c r="G41" i="137" s="1"/>
  <c r="C100" i="97"/>
  <c r="E41" i="140" s="1"/>
  <c r="H41" i="140" s="1"/>
  <c r="C99" i="97"/>
  <c r="F99" i="97" s="1"/>
  <c r="C98" i="97"/>
  <c r="E41" i="122" s="1"/>
  <c r="H41" i="122" s="1"/>
  <c r="C97" i="97"/>
  <c r="C96" i="97"/>
  <c r="F96" i="97" s="1"/>
  <c r="C95" i="97"/>
  <c r="F95" i="97" s="1"/>
  <c r="C94" i="97"/>
  <c r="E41" i="110" s="1"/>
  <c r="C93" i="97"/>
  <c r="E41" i="109" s="1"/>
  <c r="C92" i="97"/>
  <c r="F92" i="97" s="1"/>
  <c r="C91" i="97"/>
  <c r="F91" i="97" s="1"/>
  <c r="C90" i="97"/>
  <c r="E41" i="100" s="1"/>
  <c r="C88" i="97"/>
  <c r="F88" i="97" s="1"/>
  <c r="C87" i="97"/>
  <c r="F87" i="97" s="1"/>
  <c r="C86" i="97"/>
  <c r="F86" i="97" s="1"/>
  <c r="C85" i="97"/>
  <c r="F85" i="97" s="1"/>
  <c r="C84" i="97"/>
  <c r="F84" i="97" s="1"/>
  <c r="E43" i="143"/>
  <c r="H43" i="143" s="1"/>
  <c r="E42" i="143"/>
  <c r="H42" i="143" s="1"/>
  <c r="E38" i="143"/>
  <c r="H38" i="143" s="1"/>
  <c r="E31" i="143"/>
  <c r="H31" i="143" s="1"/>
  <c r="E30" i="143"/>
  <c r="H30" i="143" s="1"/>
  <c r="E29" i="143"/>
  <c r="H29" i="143" s="1"/>
  <c r="E28" i="143"/>
  <c r="H28" i="143" s="1"/>
  <c r="E26" i="143"/>
  <c r="H26" i="143" s="1"/>
  <c r="E43" i="142"/>
  <c r="H43" i="142" s="1"/>
  <c r="E42" i="142"/>
  <c r="H42" i="142" s="1"/>
  <c r="E38" i="142"/>
  <c r="G38" i="142" s="1"/>
  <c r="E31" i="142"/>
  <c r="G31" i="142" s="1"/>
  <c r="E30" i="142"/>
  <c r="G30" i="142" s="1"/>
  <c r="E29" i="142"/>
  <c r="G29" i="142" s="1"/>
  <c r="E28" i="142"/>
  <c r="G28" i="142" s="1"/>
  <c r="E26" i="142"/>
  <c r="G26" i="142" s="1"/>
  <c r="E43" i="141"/>
  <c r="H43" i="141" s="1"/>
  <c r="E42" i="141"/>
  <c r="H42" i="141" s="1"/>
  <c r="E38" i="141"/>
  <c r="G38" i="141" s="1"/>
  <c r="E31" i="141"/>
  <c r="G31" i="141" s="1"/>
  <c r="E30" i="141"/>
  <c r="G30" i="141" s="1"/>
  <c r="E29" i="141"/>
  <c r="G29" i="141" s="1"/>
  <c r="E28" i="141"/>
  <c r="G28" i="141" s="1"/>
  <c r="E26" i="141"/>
  <c r="G26" i="141" s="1"/>
  <c r="E43" i="140"/>
  <c r="H43" i="140" s="1"/>
  <c r="E42" i="140"/>
  <c r="H42" i="140" s="1"/>
  <c r="E38" i="140"/>
  <c r="H38" i="140" s="1"/>
  <c r="E31" i="140"/>
  <c r="H31" i="140" s="1"/>
  <c r="E30" i="140"/>
  <c r="H30" i="140" s="1"/>
  <c r="E29" i="140"/>
  <c r="H29" i="140" s="1"/>
  <c r="E28" i="140"/>
  <c r="H28" i="140" s="1"/>
  <c r="E26" i="140"/>
  <c r="H26" i="140" s="1"/>
  <c r="E43" i="126"/>
  <c r="H43" i="126" s="1"/>
  <c r="E42" i="126"/>
  <c r="H42" i="126" s="1"/>
  <c r="E31" i="126"/>
  <c r="H31" i="126" s="1"/>
  <c r="E28" i="126"/>
  <c r="H28" i="126" s="1"/>
  <c r="E26" i="126"/>
  <c r="H26" i="126" s="1"/>
  <c r="E43" i="139"/>
  <c r="H43" i="139" s="1"/>
  <c r="E42" i="139"/>
  <c r="G42" i="139" s="1"/>
  <c r="E38" i="139"/>
  <c r="G38" i="139" s="1"/>
  <c r="E31" i="139"/>
  <c r="G31" i="139" s="1"/>
  <c r="E30" i="139"/>
  <c r="G30" i="139" s="1"/>
  <c r="E29" i="139"/>
  <c r="G29" i="139" s="1"/>
  <c r="E28" i="139"/>
  <c r="G28" i="139" s="1"/>
  <c r="E26" i="139"/>
  <c r="G26" i="139" s="1"/>
  <c r="E43" i="123"/>
  <c r="H43" i="123" s="1"/>
  <c r="E42" i="123"/>
  <c r="H42" i="123" s="1"/>
  <c r="E35" i="123"/>
  <c r="H35" i="123" s="1"/>
  <c r="E43" i="122"/>
  <c r="H43" i="122" s="1"/>
  <c r="E42" i="122"/>
  <c r="H42" i="122" s="1"/>
  <c r="E35" i="122"/>
  <c r="H35" i="122" s="1"/>
  <c r="E43" i="121"/>
  <c r="H43" i="121" s="1"/>
  <c r="E42" i="121"/>
  <c r="H42" i="121" s="1"/>
  <c r="E35" i="121"/>
  <c r="H35" i="121" s="1"/>
  <c r="E31" i="123"/>
  <c r="H31" i="123" s="1"/>
  <c r="E31" i="122"/>
  <c r="H31" i="122" s="1"/>
  <c r="E31" i="121"/>
  <c r="H31" i="121" s="1"/>
  <c r="E26" i="123"/>
  <c r="H26" i="123" s="1"/>
  <c r="E26" i="121"/>
  <c r="H26" i="121" s="1"/>
  <c r="E43" i="120"/>
  <c r="H43" i="120" s="1"/>
  <c r="E42" i="120"/>
  <c r="H42" i="120" s="1"/>
  <c r="E35" i="120"/>
  <c r="H35" i="120" s="1"/>
  <c r="E31" i="120"/>
  <c r="H31" i="120" s="1"/>
  <c r="E35" i="100"/>
  <c r="E31" i="100"/>
  <c r="E43" i="114"/>
  <c r="E42" i="114"/>
  <c r="E35" i="114"/>
  <c r="E31" i="114"/>
  <c r="E43" i="113"/>
  <c r="E42" i="113"/>
  <c r="E35" i="113"/>
  <c r="E31" i="113"/>
  <c r="E43" i="112"/>
  <c r="E42" i="112"/>
  <c r="E35" i="112"/>
  <c r="E31" i="112"/>
  <c r="E43" i="111"/>
  <c r="E42" i="111"/>
  <c r="E35" i="111"/>
  <c r="E31" i="111"/>
  <c r="E31" i="138"/>
  <c r="G31" i="138" s="1"/>
  <c r="E31" i="110"/>
  <c r="E31" i="109"/>
  <c r="E31" i="108"/>
  <c r="E31" i="137"/>
  <c r="G31" i="137" s="1"/>
  <c r="E43" i="138"/>
  <c r="G43" i="138" s="1"/>
  <c r="E42" i="138"/>
  <c r="G42" i="138" s="1"/>
  <c r="E35" i="138"/>
  <c r="G35" i="138" s="1"/>
  <c r="E38" i="138"/>
  <c r="G38" i="138" s="1"/>
  <c r="E30" i="138"/>
  <c r="G30" i="138" s="1"/>
  <c r="E29" i="138"/>
  <c r="G29" i="138" s="1"/>
  <c r="E28" i="138"/>
  <c r="G28" i="138" s="1"/>
  <c r="H27" i="138"/>
  <c r="G27" i="138"/>
  <c r="F27" i="138"/>
  <c r="E26" i="138"/>
  <c r="H26" i="138" s="1"/>
  <c r="E35" i="110"/>
  <c r="E43" i="98"/>
  <c r="E42" i="98"/>
  <c r="E35" i="109"/>
  <c r="E43" i="137"/>
  <c r="G43" i="137" s="1"/>
  <c r="E42" i="137"/>
  <c r="G42" i="137" s="1"/>
  <c r="E35" i="137"/>
  <c r="G35" i="137" s="1"/>
  <c r="E38" i="137"/>
  <c r="G38" i="137" s="1"/>
  <c r="E30" i="137"/>
  <c r="G30" i="137" s="1"/>
  <c r="E29" i="137"/>
  <c r="G29" i="137" s="1"/>
  <c r="E28" i="137"/>
  <c r="G28" i="137" s="1"/>
  <c r="H27" i="137"/>
  <c r="G27" i="137"/>
  <c r="F27" i="137"/>
  <c r="H26" i="137"/>
  <c r="G26" i="137"/>
  <c r="F26" i="137"/>
  <c r="E35" i="108"/>
  <c r="E35" i="101"/>
  <c r="O33" i="97"/>
  <c r="N33" i="97"/>
  <c r="M33" i="97"/>
  <c r="L33" i="97"/>
  <c r="L20" i="147" l="1"/>
  <c r="L86" i="147"/>
  <c r="G28" i="145"/>
  <c r="G28" i="146"/>
  <c r="L14" i="147"/>
  <c r="D78" i="147"/>
  <c r="L81" i="147"/>
  <c r="D5" i="147"/>
  <c r="L10" i="147"/>
  <c r="L32" i="147"/>
  <c r="L48" i="147"/>
  <c r="G35" i="144"/>
  <c r="D79" i="147"/>
  <c r="L56" i="147"/>
  <c r="D6" i="147"/>
  <c r="L36" i="147"/>
  <c r="L24" i="147"/>
  <c r="L22" i="147"/>
  <c r="G43" i="144"/>
  <c r="H43" i="144"/>
  <c r="F30" i="145"/>
  <c r="G30" i="145"/>
  <c r="H35" i="145"/>
  <c r="F35" i="145"/>
  <c r="F30" i="146"/>
  <c r="G30" i="146"/>
  <c r="G94" i="147"/>
  <c r="D94" i="147"/>
  <c r="G98" i="147"/>
  <c r="D98" i="147"/>
  <c r="G103" i="147"/>
  <c r="D103" i="147"/>
  <c r="F103" i="147"/>
  <c r="H35" i="144"/>
  <c r="F43" i="144"/>
  <c r="H35" i="146"/>
  <c r="F35" i="146"/>
  <c r="G43" i="146"/>
  <c r="F43" i="146"/>
  <c r="O92" i="147"/>
  <c r="L92" i="147"/>
  <c r="F94" i="147"/>
  <c r="G96" i="147"/>
  <c r="D96" i="147"/>
  <c r="F98" i="147"/>
  <c r="G100" i="147"/>
  <c r="D100" i="147"/>
  <c r="F105" i="147"/>
  <c r="F107" i="147"/>
  <c r="F109" i="147"/>
  <c r="F111" i="147"/>
  <c r="F113" i="147"/>
  <c r="F115" i="147"/>
  <c r="F117" i="147"/>
  <c r="F119" i="147"/>
  <c r="F121" i="147"/>
  <c r="F123" i="147"/>
  <c r="F125" i="147"/>
  <c r="F127" i="147"/>
  <c r="F129" i="147"/>
  <c r="F131" i="147"/>
  <c r="F133" i="147"/>
  <c r="F135" i="147"/>
  <c r="F4" i="147"/>
  <c r="F5" i="147"/>
  <c r="F6" i="147"/>
  <c r="F7" i="147"/>
  <c r="N8" i="147"/>
  <c r="N10" i="147"/>
  <c r="N12" i="147"/>
  <c r="N14" i="147"/>
  <c r="N16" i="147"/>
  <c r="N18" i="147"/>
  <c r="N20" i="147"/>
  <c r="N22" i="147"/>
  <c r="N24" i="147"/>
  <c r="N32" i="147"/>
  <c r="N36" i="147"/>
  <c r="N40" i="147"/>
  <c r="N43" i="147"/>
  <c r="N48" i="147"/>
  <c r="N53" i="147"/>
  <c r="N56" i="147"/>
  <c r="N60" i="147"/>
  <c r="N64" i="147"/>
  <c r="N66" i="147"/>
  <c r="N69" i="147"/>
  <c r="N72" i="147"/>
  <c r="F76" i="147"/>
  <c r="F77" i="147"/>
  <c r="F78" i="147"/>
  <c r="F79" i="147"/>
  <c r="F80" i="147"/>
  <c r="N81" i="147"/>
  <c r="N83" i="147"/>
  <c r="F85" i="147"/>
  <c r="N86" i="147"/>
  <c r="F88" i="147"/>
  <c r="F89" i="147"/>
  <c r="F90" i="147"/>
  <c r="F91" i="147"/>
  <c r="D105" i="147"/>
  <c r="D107" i="147"/>
  <c r="D109" i="147"/>
  <c r="D111" i="147"/>
  <c r="D113" i="147"/>
  <c r="D115" i="147"/>
  <c r="D117" i="147"/>
  <c r="D119" i="147"/>
  <c r="D121" i="147"/>
  <c r="D123" i="147"/>
  <c r="D125" i="147"/>
  <c r="D127" i="147"/>
  <c r="D129" i="147"/>
  <c r="D131" i="147"/>
  <c r="D133" i="147"/>
  <c r="D135" i="147"/>
  <c r="F42" i="144"/>
  <c r="F42" i="146"/>
  <c r="F47" i="144"/>
  <c r="G47" i="144"/>
  <c r="F27" i="146"/>
  <c r="H27" i="146"/>
  <c r="G27" i="146"/>
  <c r="E41" i="98"/>
  <c r="E41" i="108"/>
  <c r="F47" i="136"/>
  <c r="G47" i="136"/>
  <c r="H47" i="136"/>
  <c r="E84" i="97"/>
  <c r="G84" i="97"/>
  <c r="E85" i="97"/>
  <c r="G85" i="97"/>
  <c r="E86" i="97"/>
  <c r="G86" i="97"/>
  <c r="E87" i="97"/>
  <c r="G87" i="97"/>
  <c r="E88" i="97"/>
  <c r="G88" i="97"/>
  <c r="E90" i="97"/>
  <c r="G90" i="97"/>
  <c r="E91" i="97"/>
  <c r="G91" i="97"/>
  <c r="E92" i="97"/>
  <c r="G92" i="97"/>
  <c r="E93" i="97"/>
  <c r="G93" i="97"/>
  <c r="E94" i="97"/>
  <c r="G94" i="97"/>
  <c r="E95" i="97"/>
  <c r="G95" i="97"/>
  <c r="E96" i="97"/>
  <c r="G96" i="97"/>
  <c r="E97" i="97"/>
  <c r="G97" i="97"/>
  <c r="E98" i="97"/>
  <c r="G98" i="97"/>
  <c r="E99" i="97"/>
  <c r="G99" i="97"/>
  <c r="E100" i="97"/>
  <c r="G100" i="97"/>
  <c r="E101" i="97"/>
  <c r="G101" i="97"/>
  <c r="E103" i="97"/>
  <c r="G103" i="97"/>
  <c r="E104" i="97"/>
  <c r="G104" i="97"/>
  <c r="E105" i="97"/>
  <c r="G105" i="97"/>
  <c r="E106" i="97"/>
  <c r="G106" i="97"/>
  <c r="E107" i="97"/>
  <c r="G107" i="97"/>
  <c r="E108" i="97"/>
  <c r="G108" i="97"/>
  <c r="E109" i="97"/>
  <c r="G109" i="97"/>
  <c r="E110" i="97"/>
  <c r="G110" i="97"/>
  <c r="E111" i="97"/>
  <c r="G111" i="97"/>
  <c r="E112" i="97"/>
  <c r="G112" i="97"/>
  <c r="E113" i="97"/>
  <c r="G113" i="97"/>
  <c r="E114" i="97"/>
  <c r="G114" i="97"/>
  <c r="E115" i="97"/>
  <c r="G115" i="97"/>
  <c r="E116" i="97"/>
  <c r="G116" i="97"/>
  <c r="E117" i="97"/>
  <c r="G117" i="97"/>
  <c r="E118" i="97"/>
  <c r="G118" i="97"/>
  <c r="E119" i="97"/>
  <c r="G119" i="97"/>
  <c r="E120" i="97"/>
  <c r="G120" i="97"/>
  <c r="E121" i="97"/>
  <c r="G121" i="97"/>
  <c r="E122" i="97"/>
  <c r="G122" i="97"/>
  <c r="E123" i="97"/>
  <c r="G123" i="97"/>
  <c r="E124" i="97"/>
  <c r="G124" i="97"/>
  <c r="E125" i="97"/>
  <c r="G125" i="97"/>
  <c r="E126" i="97"/>
  <c r="G126" i="97"/>
  <c r="E127" i="97"/>
  <c r="G127" i="97"/>
  <c r="E128" i="97"/>
  <c r="G128" i="97"/>
  <c r="E129" i="97"/>
  <c r="G129" i="97"/>
  <c r="E130" i="97"/>
  <c r="G130" i="97"/>
  <c r="E131" i="97"/>
  <c r="G131" i="97"/>
  <c r="E132" i="97"/>
  <c r="G132" i="97"/>
  <c r="E133" i="97"/>
  <c r="G133" i="97"/>
  <c r="E134" i="97"/>
  <c r="G134" i="97"/>
  <c r="E135" i="97"/>
  <c r="G135" i="97"/>
  <c r="E136" i="97"/>
  <c r="G136" i="97"/>
  <c r="F26" i="144"/>
  <c r="E27" i="144"/>
  <c r="F28" i="144"/>
  <c r="G29" i="144"/>
  <c r="F30" i="144"/>
  <c r="G31" i="144"/>
  <c r="F38" i="144"/>
  <c r="E41" i="144"/>
  <c r="G41" i="144" s="1"/>
  <c r="E27" i="145"/>
  <c r="H29" i="145"/>
  <c r="H31" i="145"/>
  <c r="H38" i="145"/>
  <c r="E41" i="145"/>
  <c r="E47" i="145"/>
  <c r="H47" i="145" s="1"/>
  <c r="H26" i="146"/>
  <c r="H28" i="146"/>
  <c r="G29" i="146"/>
  <c r="H30" i="146"/>
  <c r="G31" i="146"/>
  <c r="G38" i="146"/>
  <c r="E47" i="146"/>
  <c r="E41" i="146"/>
  <c r="H41" i="146" s="1"/>
  <c r="D84" i="97"/>
  <c r="D85" i="97"/>
  <c r="D86" i="97"/>
  <c r="D87" i="97"/>
  <c r="D88" i="97"/>
  <c r="D90" i="97"/>
  <c r="F90" i="97"/>
  <c r="D91" i="97"/>
  <c r="D92" i="97"/>
  <c r="D93" i="97"/>
  <c r="F93" i="97"/>
  <c r="D94" i="97"/>
  <c r="F94" i="97"/>
  <c r="D95" i="97"/>
  <c r="D96" i="97"/>
  <c r="D97" i="97"/>
  <c r="F97" i="97"/>
  <c r="D98" i="97"/>
  <c r="F98" i="97"/>
  <c r="D99" i="97"/>
  <c r="D100" i="97"/>
  <c r="F100" i="97"/>
  <c r="D101" i="97"/>
  <c r="F101" i="97"/>
  <c r="D103" i="97"/>
  <c r="D104" i="97"/>
  <c r="D105" i="97"/>
  <c r="D106" i="97"/>
  <c r="D107" i="97"/>
  <c r="D108" i="97"/>
  <c r="D109" i="97"/>
  <c r="D110" i="97"/>
  <c r="D111" i="97"/>
  <c r="D112" i="97"/>
  <c r="D113" i="97"/>
  <c r="D114" i="97"/>
  <c r="D115" i="97"/>
  <c r="D116" i="97"/>
  <c r="F116" i="97"/>
  <c r="D117" i="97"/>
  <c r="D118" i="97"/>
  <c r="F118" i="97"/>
  <c r="D119" i="97"/>
  <c r="F119" i="97"/>
  <c r="D120" i="97"/>
  <c r="D121" i="97"/>
  <c r="D122" i="97"/>
  <c r="D123" i="97"/>
  <c r="F123" i="97"/>
  <c r="D124" i="97"/>
  <c r="D125" i="97"/>
  <c r="F125" i="97"/>
  <c r="D126" i="97"/>
  <c r="D127" i="97"/>
  <c r="F127" i="97"/>
  <c r="D128" i="97"/>
  <c r="D129" i="97"/>
  <c r="F129" i="97"/>
  <c r="D130" i="97"/>
  <c r="F130" i="97"/>
  <c r="D131" i="97"/>
  <c r="F131" i="97"/>
  <c r="D132" i="97"/>
  <c r="D133" i="97"/>
  <c r="D134" i="97"/>
  <c r="F134" i="97"/>
  <c r="D135" i="97"/>
  <c r="F135" i="97"/>
  <c r="D136" i="97"/>
  <c r="F136" i="97"/>
  <c r="E27" i="131"/>
  <c r="H27" i="131" s="1"/>
  <c r="E41" i="131"/>
  <c r="G26" i="144"/>
  <c r="G28" i="144"/>
  <c r="F29" i="144"/>
  <c r="G30" i="144"/>
  <c r="F31" i="144"/>
  <c r="G38" i="144"/>
  <c r="H26" i="145"/>
  <c r="H28" i="145"/>
  <c r="G29" i="145"/>
  <c r="H30" i="145"/>
  <c r="G31" i="145"/>
  <c r="G38" i="145"/>
  <c r="H29" i="146"/>
  <c r="H31" i="146"/>
  <c r="H38" i="146"/>
  <c r="M4" i="147"/>
  <c r="O4" i="147"/>
  <c r="M5" i="147"/>
  <c r="O5" i="147"/>
  <c r="M6" i="147"/>
  <c r="O6" i="147"/>
  <c r="M7" i="147"/>
  <c r="O7" i="147"/>
  <c r="M9" i="147"/>
  <c r="O9" i="147"/>
  <c r="M11" i="147"/>
  <c r="O11" i="147"/>
  <c r="M13" i="147"/>
  <c r="O13" i="147"/>
  <c r="M15" i="147"/>
  <c r="O15" i="147"/>
  <c r="M17" i="147"/>
  <c r="O17" i="147"/>
  <c r="M19" i="147"/>
  <c r="O19" i="147"/>
  <c r="M21" i="147"/>
  <c r="O21" i="147"/>
  <c r="M23" i="147"/>
  <c r="O23" i="147"/>
  <c r="M31" i="147"/>
  <c r="O31" i="147"/>
  <c r="M35" i="147"/>
  <c r="O35" i="147"/>
  <c r="M39" i="147"/>
  <c r="O39" i="147"/>
  <c r="M42" i="147"/>
  <c r="O42" i="147"/>
  <c r="M47" i="147"/>
  <c r="O47" i="147"/>
  <c r="M51" i="147"/>
  <c r="O51" i="147"/>
  <c r="M54" i="147"/>
  <c r="O54" i="147"/>
  <c r="M58" i="147"/>
  <c r="O58" i="147"/>
  <c r="M61" i="147"/>
  <c r="O61" i="147"/>
  <c r="M65" i="147"/>
  <c r="O65" i="147"/>
  <c r="M67" i="147"/>
  <c r="O67" i="147"/>
  <c r="M70" i="147"/>
  <c r="O70" i="147"/>
  <c r="M75" i="147"/>
  <c r="O75" i="147"/>
  <c r="M76" i="147"/>
  <c r="O76" i="147"/>
  <c r="M77" i="147"/>
  <c r="O77" i="147"/>
  <c r="M78" i="147"/>
  <c r="O78" i="147"/>
  <c r="M79" i="147"/>
  <c r="O79" i="147"/>
  <c r="E81" i="147"/>
  <c r="G81" i="147"/>
  <c r="E83" i="147"/>
  <c r="G83" i="147"/>
  <c r="E84" i="147"/>
  <c r="G84" i="147"/>
  <c r="E86" i="147"/>
  <c r="G86" i="147"/>
  <c r="E87" i="147"/>
  <c r="G87" i="147"/>
  <c r="M88" i="147"/>
  <c r="O88" i="147"/>
  <c r="M89" i="147"/>
  <c r="O89" i="147"/>
  <c r="M90" i="147"/>
  <c r="O90" i="147"/>
  <c r="M91" i="147"/>
  <c r="O91" i="147"/>
  <c r="D92" i="147"/>
  <c r="F92" i="147"/>
  <c r="M92" i="147"/>
  <c r="D93" i="147"/>
  <c r="F93" i="147"/>
  <c r="E94" i="147"/>
  <c r="D95" i="147"/>
  <c r="F95" i="147"/>
  <c r="E96" i="147"/>
  <c r="D97" i="147"/>
  <c r="F97" i="147"/>
  <c r="E98" i="147"/>
  <c r="D99" i="147"/>
  <c r="F99" i="147"/>
  <c r="E100" i="147"/>
  <c r="D102" i="147"/>
  <c r="F102" i="147"/>
  <c r="E103" i="147"/>
  <c r="D104" i="147"/>
  <c r="F104" i="147"/>
  <c r="E105" i="147"/>
  <c r="D106" i="147"/>
  <c r="F106" i="147"/>
  <c r="E107" i="147"/>
  <c r="D108" i="147"/>
  <c r="F108" i="147"/>
  <c r="E109" i="147"/>
  <c r="D110" i="147"/>
  <c r="F110" i="147"/>
  <c r="E111" i="147"/>
  <c r="D112" i="147"/>
  <c r="F112" i="147"/>
  <c r="E113" i="147"/>
  <c r="D114" i="147"/>
  <c r="F114" i="147"/>
  <c r="E115" i="147"/>
  <c r="D116" i="147"/>
  <c r="F116" i="147"/>
  <c r="E117" i="147"/>
  <c r="D118" i="147"/>
  <c r="F118" i="147"/>
  <c r="E119" i="147"/>
  <c r="D120" i="147"/>
  <c r="F120" i="147"/>
  <c r="E121" i="147"/>
  <c r="D122" i="147"/>
  <c r="F122" i="147"/>
  <c r="E123" i="147"/>
  <c r="D124" i="147"/>
  <c r="F124" i="147"/>
  <c r="E125" i="147"/>
  <c r="D126" i="147"/>
  <c r="F126" i="147"/>
  <c r="E127" i="147"/>
  <c r="D128" i="147"/>
  <c r="F128" i="147"/>
  <c r="E129" i="147"/>
  <c r="D130" i="147"/>
  <c r="F130" i="147"/>
  <c r="E131" i="147"/>
  <c r="D132" i="147"/>
  <c r="F132" i="147"/>
  <c r="E133" i="147"/>
  <c r="D134" i="147"/>
  <c r="F134" i="147"/>
  <c r="E135" i="147"/>
  <c r="E4" i="147"/>
  <c r="L4" i="147"/>
  <c r="E5" i="147"/>
  <c r="L5" i="147"/>
  <c r="E6" i="147"/>
  <c r="L6" i="147"/>
  <c r="E7" i="147"/>
  <c r="L7" i="147"/>
  <c r="M8" i="147"/>
  <c r="L9" i="147"/>
  <c r="M10" i="147"/>
  <c r="L11" i="147"/>
  <c r="M12" i="147"/>
  <c r="L13" i="147"/>
  <c r="M14" i="147"/>
  <c r="L15" i="147"/>
  <c r="M16" i="147"/>
  <c r="L17" i="147"/>
  <c r="M18" i="147"/>
  <c r="L19" i="147"/>
  <c r="M20" i="147"/>
  <c r="L21" i="147"/>
  <c r="M22" i="147"/>
  <c r="L23" i="147"/>
  <c r="M24" i="147"/>
  <c r="L31" i="147"/>
  <c r="M32" i="147"/>
  <c r="L35" i="147"/>
  <c r="M36" i="147"/>
  <c r="L39" i="147"/>
  <c r="M40" i="147"/>
  <c r="L42" i="147"/>
  <c r="M43" i="147"/>
  <c r="L47" i="147"/>
  <c r="M48" i="147"/>
  <c r="L51" i="147"/>
  <c r="M53" i="147"/>
  <c r="L54" i="147"/>
  <c r="M56" i="147"/>
  <c r="L58" i="147"/>
  <c r="M60" i="147"/>
  <c r="L61" i="147"/>
  <c r="M64" i="147"/>
  <c r="L65" i="147"/>
  <c r="M66" i="147"/>
  <c r="L67" i="147"/>
  <c r="M69" i="147"/>
  <c r="L70" i="147"/>
  <c r="M72" i="147"/>
  <c r="L75" i="147"/>
  <c r="E76" i="147"/>
  <c r="L76" i="147"/>
  <c r="E77" i="147"/>
  <c r="L77" i="147"/>
  <c r="E78" i="147"/>
  <c r="L78" i="147"/>
  <c r="E79" i="147"/>
  <c r="L79" i="147"/>
  <c r="E80" i="147"/>
  <c r="D81" i="147"/>
  <c r="M81" i="147"/>
  <c r="D83" i="147"/>
  <c r="M83" i="147"/>
  <c r="D84" i="147"/>
  <c r="E85" i="147"/>
  <c r="D86" i="147"/>
  <c r="M86" i="147"/>
  <c r="D87" i="147"/>
  <c r="E88" i="147"/>
  <c r="L88" i="147"/>
  <c r="E89" i="147"/>
  <c r="L89" i="147"/>
  <c r="E90" i="147"/>
  <c r="L90" i="147"/>
  <c r="E91" i="147"/>
  <c r="L91" i="147"/>
  <c r="E92" i="147"/>
  <c r="E93" i="147"/>
  <c r="E95" i="147"/>
  <c r="E97" i="147"/>
  <c r="E99" i="147"/>
  <c r="E102" i="147"/>
  <c r="E104" i="147"/>
  <c r="E106" i="147"/>
  <c r="E108" i="147"/>
  <c r="E110" i="147"/>
  <c r="E112" i="147"/>
  <c r="E114" i="147"/>
  <c r="E116" i="147"/>
  <c r="E118" i="147"/>
  <c r="E120" i="147"/>
  <c r="E122" i="147"/>
  <c r="E124" i="147"/>
  <c r="E126" i="147"/>
  <c r="E128" i="147"/>
  <c r="E130" i="147"/>
  <c r="E132" i="147"/>
  <c r="E134" i="147"/>
  <c r="H43" i="146"/>
  <c r="F47" i="145"/>
  <c r="G43" i="145"/>
  <c r="F43" i="145"/>
  <c r="H42" i="145"/>
  <c r="G42" i="145"/>
  <c r="H47" i="144"/>
  <c r="H41" i="144"/>
  <c r="E41" i="120"/>
  <c r="H41" i="120" s="1"/>
  <c r="E47" i="123"/>
  <c r="H47" i="123" s="1"/>
  <c r="E41" i="126"/>
  <c r="H41" i="126" s="1"/>
  <c r="E47" i="138"/>
  <c r="G47" i="138" s="1"/>
  <c r="H28" i="142"/>
  <c r="G42" i="142"/>
  <c r="H31" i="139"/>
  <c r="E41" i="138"/>
  <c r="G41" i="138" s="1"/>
  <c r="E41" i="111"/>
  <c r="E47" i="109"/>
  <c r="E41" i="123"/>
  <c r="H41" i="123" s="1"/>
  <c r="E48" i="140"/>
  <c r="H48" i="140" s="1"/>
  <c r="H42" i="139"/>
  <c r="E41" i="114"/>
  <c r="H29" i="139"/>
  <c r="H38" i="142"/>
  <c r="E41" i="104"/>
  <c r="E41" i="141"/>
  <c r="H41" i="141" s="1"/>
  <c r="H31" i="141"/>
  <c r="E47" i="112"/>
  <c r="G43" i="139"/>
  <c r="G42" i="141"/>
  <c r="H38" i="139"/>
  <c r="E47" i="110"/>
  <c r="E41" i="121"/>
  <c r="H41" i="121" s="1"/>
  <c r="H28" i="139"/>
  <c r="H26" i="141"/>
  <c r="H30" i="141"/>
  <c r="H38" i="141"/>
  <c r="H29" i="142"/>
  <c r="H29" i="141"/>
  <c r="H30" i="142"/>
  <c r="H26" i="142"/>
  <c r="E41" i="101"/>
  <c r="H30" i="139"/>
  <c r="H26" i="139"/>
  <c r="H28" i="141"/>
  <c r="H31" i="142"/>
  <c r="H48" i="141"/>
  <c r="G48" i="141"/>
  <c r="E47" i="113"/>
  <c r="E47" i="108"/>
  <c r="H48" i="142"/>
  <c r="G48" i="142"/>
  <c r="E47" i="114"/>
  <c r="G41" i="141"/>
  <c r="E41" i="142"/>
  <c r="E41" i="113"/>
  <c r="G41" i="139"/>
  <c r="G26" i="143"/>
  <c r="G28" i="143"/>
  <c r="G29" i="143"/>
  <c r="G30" i="143"/>
  <c r="G31" i="143"/>
  <c r="G38" i="143"/>
  <c r="G42" i="143"/>
  <c r="G43" i="143"/>
  <c r="G41" i="143"/>
  <c r="F26" i="143"/>
  <c r="F28" i="143"/>
  <c r="F29" i="143"/>
  <c r="F30" i="143"/>
  <c r="F31" i="143"/>
  <c r="F38" i="143"/>
  <c r="F42" i="143"/>
  <c r="F43" i="143"/>
  <c r="F41" i="143"/>
  <c r="F26" i="142"/>
  <c r="F28" i="142"/>
  <c r="F29" i="142"/>
  <c r="F30" i="142"/>
  <c r="F31" i="142"/>
  <c r="F38" i="142"/>
  <c r="F42" i="142"/>
  <c r="F43" i="142"/>
  <c r="F48" i="142"/>
  <c r="G43" i="142"/>
  <c r="F26" i="141"/>
  <c r="F28" i="141"/>
  <c r="F29" i="141"/>
  <c r="F30" i="141"/>
  <c r="F31" i="141"/>
  <c r="F38" i="141"/>
  <c r="F42" i="141"/>
  <c r="F43" i="141"/>
  <c r="F48" i="141"/>
  <c r="G43" i="141"/>
  <c r="G26" i="140"/>
  <c r="G28" i="140"/>
  <c r="G29" i="140"/>
  <c r="G30" i="140"/>
  <c r="G31" i="140"/>
  <c r="G38" i="140"/>
  <c r="G41" i="140"/>
  <c r="G42" i="140"/>
  <c r="G43" i="140"/>
  <c r="F26" i="140"/>
  <c r="F28" i="140"/>
  <c r="F29" i="140"/>
  <c r="F30" i="140"/>
  <c r="F31" i="140"/>
  <c r="F38" i="140"/>
  <c r="F41" i="140"/>
  <c r="F42" i="140"/>
  <c r="F43" i="140"/>
  <c r="F26" i="139"/>
  <c r="F28" i="139"/>
  <c r="F29" i="139"/>
  <c r="F30" i="139"/>
  <c r="F31" i="139"/>
  <c r="F38" i="139"/>
  <c r="F42" i="139"/>
  <c r="F43" i="139"/>
  <c r="F41" i="139"/>
  <c r="G26" i="138"/>
  <c r="F28" i="138"/>
  <c r="H28" i="138"/>
  <c r="F29" i="138"/>
  <c r="H29" i="138"/>
  <c r="F30" i="138"/>
  <c r="H30" i="138"/>
  <c r="F31" i="138"/>
  <c r="H31" i="138"/>
  <c r="F35" i="138"/>
  <c r="H35" i="138"/>
  <c r="F38" i="138"/>
  <c r="H38" i="138"/>
  <c r="F42" i="138"/>
  <c r="H42" i="138"/>
  <c r="F43" i="138"/>
  <c r="H43" i="138"/>
  <c r="F26" i="138"/>
  <c r="F28" i="137"/>
  <c r="H28" i="137"/>
  <c r="F29" i="137"/>
  <c r="H29" i="137"/>
  <c r="F30" i="137"/>
  <c r="H30" i="137"/>
  <c r="F31" i="137"/>
  <c r="H31" i="137"/>
  <c r="F35" i="137"/>
  <c r="H35" i="137"/>
  <c r="F38" i="137"/>
  <c r="H38" i="137"/>
  <c r="F41" i="137"/>
  <c r="H41" i="137"/>
  <c r="F42" i="137"/>
  <c r="H42" i="137"/>
  <c r="F43" i="137"/>
  <c r="H43" i="137"/>
  <c r="E43" i="136"/>
  <c r="H43" i="136" s="1"/>
  <c r="E42" i="136"/>
  <c r="H42" i="136" s="1"/>
  <c r="E38" i="136"/>
  <c r="H38" i="136" s="1"/>
  <c r="E35" i="136"/>
  <c r="H35" i="136" s="1"/>
  <c r="E31" i="136"/>
  <c r="H31" i="136" s="1"/>
  <c r="E30" i="136"/>
  <c r="H30" i="136" s="1"/>
  <c r="E29" i="136"/>
  <c r="H29" i="136" s="1"/>
  <c r="E28" i="136"/>
  <c r="H28" i="136" s="1"/>
  <c r="E26" i="136"/>
  <c r="H26" i="136" s="1"/>
  <c r="F41" i="144" l="1"/>
  <c r="G47" i="145"/>
  <c r="F47" i="146"/>
  <c r="G47" i="146"/>
  <c r="H47" i="146"/>
  <c r="H41" i="145"/>
  <c r="F41" i="145"/>
  <c r="G41" i="145"/>
  <c r="F27" i="145"/>
  <c r="G27" i="145"/>
  <c r="H27" i="145"/>
  <c r="G41" i="146"/>
  <c r="F41" i="146"/>
  <c r="H27" i="144"/>
  <c r="F27" i="144"/>
  <c r="G27" i="144"/>
  <c r="H41" i="138"/>
  <c r="F47" i="138"/>
  <c r="H47" i="138"/>
  <c r="F41" i="141"/>
  <c r="G48" i="140"/>
  <c r="F41" i="138"/>
  <c r="F48" i="140"/>
  <c r="G41" i="142"/>
  <c r="H41" i="142"/>
  <c r="F41" i="142"/>
  <c r="G26" i="136"/>
  <c r="G28" i="136"/>
  <c r="G29" i="136"/>
  <c r="G30" i="136"/>
  <c r="G31" i="136"/>
  <c r="G35" i="136"/>
  <c r="G38" i="136"/>
  <c r="G42" i="136"/>
  <c r="G43" i="136"/>
  <c r="F26" i="136"/>
  <c r="F28" i="136"/>
  <c r="F29" i="136"/>
  <c r="F30" i="136"/>
  <c r="F31" i="136"/>
  <c r="F35" i="136"/>
  <c r="F38" i="136"/>
  <c r="F42" i="136"/>
  <c r="F43" i="136"/>
  <c r="E31" i="104" l="1"/>
  <c r="E43" i="101"/>
  <c r="H43" i="101" s="1"/>
  <c r="E42" i="101"/>
  <c r="H42" i="101" s="1"/>
  <c r="E31" i="101"/>
  <c r="H31" i="101" s="1"/>
  <c r="E31" i="98" l="1"/>
  <c r="H31" i="98" s="1"/>
  <c r="E32" i="106"/>
  <c r="H32" i="106" s="1"/>
  <c r="H43" i="98"/>
  <c r="H42" i="98"/>
  <c r="E43" i="106"/>
  <c r="H43" i="106" s="1"/>
  <c r="E42" i="106"/>
  <c r="H42" i="106" s="1"/>
  <c r="E35" i="106"/>
  <c r="H35" i="106" s="1"/>
  <c r="E31" i="106"/>
  <c r="H31" i="106" s="1"/>
  <c r="E29" i="106"/>
  <c r="H29" i="106" s="1"/>
  <c r="E26" i="106"/>
  <c r="H26" i="106" s="1"/>
  <c r="F32" i="100" l="1"/>
  <c r="E32" i="114"/>
  <c r="F32" i="114" s="1"/>
  <c r="E32" i="112"/>
  <c r="F32" i="112" s="1"/>
  <c r="E32" i="138"/>
  <c r="E32" i="109"/>
  <c r="G32" i="109" s="1"/>
  <c r="E32" i="137"/>
  <c r="E32" i="113"/>
  <c r="G32" i="113" s="1"/>
  <c r="E32" i="111"/>
  <c r="H32" i="111" s="1"/>
  <c r="E32" i="110"/>
  <c r="G32" i="110" s="1"/>
  <c r="E32" i="108"/>
  <c r="F32" i="108" s="1"/>
  <c r="E32" i="136"/>
  <c r="E32" i="101"/>
  <c r="H32" i="101" s="1"/>
  <c r="E32" i="104"/>
  <c r="G32" i="104" s="1"/>
  <c r="E32" i="98"/>
  <c r="H32" i="98" s="1"/>
  <c r="E31" i="135"/>
  <c r="H31" i="135" s="1"/>
  <c r="E26" i="135"/>
  <c r="H26" i="135" s="1"/>
  <c r="E36" i="135"/>
  <c r="H36" i="135" s="1"/>
  <c r="E32" i="135"/>
  <c r="H32" i="135" s="1"/>
  <c r="E30" i="135"/>
  <c r="H30" i="135" s="1"/>
  <c r="E29" i="135"/>
  <c r="H29" i="135" s="1"/>
  <c r="E28" i="135"/>
  <c r="H28" i="135" s="1"/>
  <c r="E43" i="1"/>
  <c r="H43" i="1" s="1"/>
  <c r="E31" i="1"/>
  <c r="H31" i="1" s="1"/>
  <c r="C146" i="97"/>
  <c r="E32" i="1"/>
  <c r="H32" i="1" s="1"/>
  <c r="K91" i="97"/>
  <c r="O91" i="97" s="1"/>
  <c r="K89" i="97"/>
  <c r="L89" i="97" s="1"/>
  <c r="K83" i="97"/>
  <c r="K81" i="97"/>
  <c r="L81" i="97" s="1"/>
  <c r="K79" i="97"/>
  <c r="L79" i="97" s="1"/>
  <c r="K92" i="97"/>
  <c r="K90" i="97"/>
  <c r="M90" i="97" s="1"/>
  <c r="K88" i="97"/>
  <c r="K86" i="97"/>
  <c r="L86" i="97" s="1"/>
  <c r="K78" i="97"/>
  <c r="K75" i="97"/>
  <c r="L75" i="97" s="1"/>
  <c r="K70" i="97"/>
  <c r="N70" i="97" s="1"/>
  <c r="K67" i="97"/>
  <c r="O67" i="97" s="1"/>
  <c r="K66" i="97"/>
  <c r="O66" i="97" s="1"/>
  <c r="K65" i="97"/>
  <c r="N65" i="97" s="1"/>
  <c r="K77" i="97"/>
  <c r="L77" i="97" s="1"/>
  <c r="K76" i="97"/>
  <c r="M76" i="97" s="1"/>
  <c r="K72" i="97"/>
  <c r="O72" i="97" s="1"/>
  <c r="K69" i="97"/>
  <c r="L69" i="97" s="1"/>
  <c r="K64" i="97"/>
  <c r="L64" i="97" s="1"/>
  <c r="O62" i="97"/>
  <c r="N62" i="97"/>
  <c r="M62" i="97"/>
  <c r="L62" i="97"/>
  <c r="K61" i="97"/>
  <c r="L61" i="97" s="1"/>
  <c r="K56" i="97"/>
  <c r="L56" i="97" s="1"/>
  <c r="K54" i="97"/>
  <c r="N54" i="97" s="1"/>
  <c r="K60" i="97"/>
  <c r="L60" i="97" s="1"/>
  <c r="K58" i="97"/>
  <c r="L58" i="97" s="1"/>
  <c r="K53" i="97"/>
  <c r="L53" i="97" s="1"/>
  <c r="K51" i="97"/>
  <c r="L51" i="97" s="1"/>
  <c r="L59" i="97"/>
  <c r="M59" i="97"/>
  <c r="N59" i="97"/>
  <c r="O59" i="97"/>
  <c r="K48" i="97"/>
  <c r="L48" i="97" s="1"/>
  <c r="K47" i="97"/>
  <c r="L47" i="97" s="1"/>
  <c r="L46" i="97"/>
  <c r="M46" i="97"/>
  <c r="N46" i="97"/>
  <c r="O46" i="97"/>
  <c r="K43" i="97"/>
  <c r="M43" i="97" s="1"/>
  <c r="K42" i="97"/>
  <c r="O42" i="97" s="1"/>
  <c r="K40" i="97"/>
  <c r="N40" i="97" s="1"/>
  <c r="K39" i="97"/>
  <c r="O39" i="97" s="1"/>
  <c r="K36" i="97"/>
  <c r="O36" i="97" s="1"/>
  <c r="K32" i="97"/>
  <c r="L32" i="97" s="1"/>
  <c r="K31" i="97"/>
  <c r="O31" i="97" s="1"/>
  <c r="K35" i="97"/>
  <c r="O35" i="97" s="1"/>
  <c r="K17" i="97"/>
  <c r="O17" i="97" s="1"/>
  <c r="K16" i="97"/>
  <c r="O16" i="97" s="1"/>
  <c r="K15" i="97"/>
  <c r="O15" i="97" s="1"/>
  <c r="K14" i="97"/>
  <c r="O14" i="97" s="1"/>
  <c r="O13" i="97"/>
  <c r="O12" i="97"/>
  <c r="O11" i="97"/>
  <c r="G47" i="123"/>
  <c r="E42" i="97"/>
  <c r="E40" i="97"/>
  <c r="E38" i="97"/>
  <c r="E34" i="97"/>
  <c r="E32" i="97"/>
  <c r="E30" i="97"/>
  <c r="E44" i="97"/>
  <c r="E46" i="97"/>
  <c r="E48" i="97"/>
  <c r="E36" i="97"/>
  <c r="O100" i="97"/>
  <c r="O99" i="97"/>
  <c r="O94" i="97"/>
  <c r="O87" i="97"/>
  <c r="O85" i="97"/>
  <c r="O84" i="97"/>
  <c r="O82" i="97"/>
  <c r="O80" i="97"/>
  <c r="O74" i="97"/>
  <c r="O73" i="97"/>
  <c r="O71" i="97"/>
  <c r="O68" i="97"/>
  <c r="O63" i="97"/>
  <c r="N100" i="97"/>
  <c r="N99" i="97"/>
  <c r="N94" i="97"/>
  <c r="N87" i="97"/>
  <c r="N85" i="97"/>
  <c r="N84" i="97"/>
  <c r="N82" i="97"/>
  <c r="N80" i="97"/>
  <c r="N74" i="97"/>
  <c r="N73" i="97"/>
  <c r="N71" i="97"/>
  <c r="N68" i="97"/>
  <c r="N63" i="97"/>
  <c r="M100" i="97"/>
  <c r="M99" i="97"/>
  <c r="M94" i="97"/>
  <c r="M87" i="97"/>
  <c r="M85" i="97"/>
  <c r="M84" i="97"/>
  <c r="M82" i="97"/>
  <c r="M80" i="97"/>
  <c r="M74" i="97"/>
  <c r="M73" i="97"/>
  <c r="M71" i="97"/>
  <c r="M68" i="97"/>
  <c r="M63" i="97"/>
  <c r="L100" i="97"/>
  <c r="L99" i="97"/>
  <c r="L94" i="97"/>
  <c r="L87" i="97"/>
  <c r="L85" i="97"/>
  <c r="L84" i="97"/>
  <c r="L82" i="97"/>
  <c r="L80" i="97"/>
  <c r="L74" i="97"/>
  <c r="L73" i="97"/>
  <c r="L71" i="97"/>
  <c r="L68" i="97"/>
  <c r="L63" i="97"/>
  <c r="M115" i="97"/>
  <c r="M116" i="97"/>
  <c r="L115" i="97"/>
  <c r="L116" i="97"/>
  <c r="M30" i="97"/>
  <c r="M34" i="97"/>
  <c r="M37" i="97"/>
  <c r="M38" i="97"/>
  <c r="M41" i="97"/>
  <c r="M44" i="97"/>
  <c r="M45" i="97"/>
  <c r="M49" i="97"/>
  <c r="M50" i="97"/>
  <c r="M52" i="97"/>
  <c r="M55" i="97"/>
  <c r="M57" i="97"/>
  <c r="M29" i="97"/>
  <c r="L30" i="97"/>
  <c r="L34" i="97"/>
  <c r="L37" i="97"/>
  <c r="L38" i="97"/>
  <c r="L41" i="97"/>
  <c r="L44" i="97"/>
  <c r="L45" i="97"/>
  <c r="L49" i="97"/>
  <c r="L50" i="97"/>
  <c r="L52" i="97"/>
  <c r="L55" i="97"/>
  <c r="L57" i="97"/>
  <c r="L29" i="97"/>
  <c r="E67" i="97"/>
  <c r="E65" i="97"/>
  <c r="E64" i="97"/>
  <c r="E62" i="97"/>
  <c r="E60" i="97"/>
  <c r="E59" i="97"/>
  <c r="G13" i="97"/>
  <c r="G14" i="97"/>
  <c r="G15" i="97"/>
  <c r="G16" i="97"/>
  <c r="F13" i="97"/>
  <c r="F14" i="97"/>
  <c r="F15" i="97"/>
  <c r="F16" i="97"/>
  <c r="E13" i="97"/>
  <c r="E14" i="97"/>
  <c r="E15" i="97"/>
  <c r="E16" i="97"/>
  <c r="D13" i="97"/>
  <c r="D14" i="97"/>
  <c r="D15" i="97"/>
  <c r="D16" i="97"/>
  <c r="G12" i="97"/>
  <c r="F12" i="97"/>
  <c r="E12" i="97"/>
  <c r="D12" i="97"/>
  <c r="G18" i="97"/>
  <c r="G19" i="97"/>
  <c r="G20" i="97"/>
  <c r="G21" i="97"/>
  <c r="G22" i="97"/>
  <c r="G17" i="97"/>
  <c r="F18" i="97"/>
  <c r="F19" i="97"/>
  <c r="F20" i="97"/>
  <c r="F21" i="97"/>
  <c r="F22" i="97"/>
  <c r="F17" i="97"/>
  <c r="E18" i="97"/>
  <c r="E19" i="97"/>
  <c r="E20" i="97"/>
  <c r="E21" i="97"/>
  <c r="E22" i="97"/>
  <c r="E17" i="97"/>
  <c r="E24" i="97"/>
  <c r="E25" i="97"/>
  <c r="E26" i="97"/>
  <c r="E27" i="97"/>
  <c r="E28" i="97"/>
  <c r="E29" i="97"/>
  <c r="E23" i="97"/>
  <c r="D24" i="97"/>
  <c r="D25" i="97"/>
  <c r="D26" i="97"/>
  <c r="D27" i="97"/>
  <c r="D28" i="97"/>
  <c r="D29" i="97"/>
  <c r="D23" i="97"/>
  <c r="G38" i="97"/>
  <c r="G40" i="97"/>
  <c r="G42" i="97"/>
  <c r="G36" i="97"/>
  <c r="F38" i="97"/>
  <c r="F40" i="97"/>
  <c r="F42" i="97"/>
  <c r="F36" i="97"/>
  <c r="D38" i="97"/>
  <c r="D40" i="97"/>
  <c r="D42" i="97"/>
  <c r="D36" i="97"/>
  <c r="C6" i="97"/>
  <c r="C5" i="97"/>
  <c r="E5" i="97" s="1"/>
  <c r="H42" i="131"/>
  <c r="E35" i="131"/>
  <c r="H35" i="131" s="1"/>
  <c r="E30" i="131"/>
  <c r="H30" i="131" s="1"/>
  <c r="H28" i="131"/>
  <c r="H43" i="131"/>
  <c r="E38" i="131"/>
  <c r="H38" i="131" s="1"/>
  <c r="E29" i="131"/>
  <c r="H29" i="131" s="1"/>
  <c r="G27" i="131"/>
  <c r="F27" i="131"/>
  <c r="G26" i="131"/>
  <c r="F26" i="131"/>
  <c r="G43" i="126"/>
  <c r="G42" i="126"/>
  <c r="E38" i="126"/>
  <c r="F31" i="126"/>
  <c r="G31" i="126"/>
  <c r="E30" i="126"/>
  <c r="E29" i="126"/>
  <c r="G28" i="126"/>
  <c r="G26" i="126"/>
  <c r="F26" i="126"/>
  <c r="G43" i="123"/>
  <c r="G42" i="123"/>
  <c r="G43" i="122"/>
  <c r="G42" i="122"/>
  <c r="G35" i="122"/>
  <c r="E26" i="122"/>
  <c r="H26" i="122" s="1"/>
  <c r="G43" i="121"/>
  <c r="G42" i="121"/>
  <c r="F43" i="120"/>
  <c r="E26" i="120"/>
  <c r="H26" i="120" s="1"/>
  <c r="E38" i="123"/>
  <c r="G35" i="123"/>
  <c r="G31" i="123"/>
  <c r="E30" i="123"/>
  <c r="E29" i="123"/>
  <c r="E28" i="123"/>
  <c r="E38" i="122"/>
  <c r="G31" i="122"/>
  <c r="E30" i="122"/>
  <c r="E29" i="122"/>
  <c r="E28" i="122"/>
  <c r="H28" i="122" s="1"/>
  <c r="E38" i="121"/>
  <c r="G35" i="121"/>
  <c r="G31" i="121"/>
  <c r="E30" i="121"/>
  <c r="E29" i="121"/>
  <c r="E28" i="121"/>
  <c r="F26" i="121"/>
  <c r="G26" i="121"/>
  <c r="E38" i="120"/>
  <c r="F35" i="120"/>
  <c r="G35" i="120"/>
  <c r="F31" i="120"/>
  <c r="G31" i="120"/>
  <c r="E30" i="120"/>
  <c r="E29" i="120"/>
  <c r="E28" i="120"/>
  <c r="G43" i="114"/>
  <c r="G42" i="114"/>
  <c r="E26" i="114"/>
  <c r="G26" i="114" s="1"/>
  <c r="G43" i="113"/>
  <c r="G42" i="113"/>
  <c r="E26" i="113"/>
  <c r="G26" i="113" s="1"/>
  <c r="G43" i="112"/>
  <c r="G42" i="112"/>
  <c r="G43" i="111"/>
  <c r="G42" i="111"/>
  <c r="E28" i="1"/>
  <c r="H28" i="1" s="1"/>
  <c r="E26" i="110"/>
  <c r="H26" i="110" s="1"/>
  <c r="E43" i="109"/>
  <c r="G43" i="109" s="1"/>
  <c r="E42" i="109"/>
  <c r="G42" i="109" s="1"/>
  <c r="E26" i="109"/>
  <c r="H26" i="109" s="1"/>
  <c r="F43" i="108"/>
  <c r="G42" i="108"/>
  <c r="F26" i="108"/>
  <c r="G26" i="108"/>
  <c r="F27" i="108"/>
  <c r="G27" i="108"/>
  <c r="H27" i="108"/>
  <c r="E28" i="108"/>
  <c r="F28" i="108" s="1"/>
  <c r="E29" i="108"/>
  <c r="F29" i="108" s="1"/>
  <c r="E30" i="108"/>
  <c r="F30" i="108" s="1"/>
  <c r="F31" i="108"/>
  <c r="G31" i="108"/>
  <c r="H31" i="108"/>
  <c r="F35" i="108"/>
  <c r="G35" i="108"/>
  <c r="H35" i="108"/>
  <c r="E38" i="108"/>
  <c r="F38" i="108" s="1"/>
  <c r="E30" i="106"/>
  <c r="H30" i="106" s="1"/>
  <c r="G26" i="106"/>
  <c r="G47" i="114"/>
  <c r="E38" i="114"/>
  <c r="G38" i="114" s="1"/>
  <c r="H35" i="114"/>
  <c r="G35" i="114"/>
  <c r="F35" i="114"/>
  <c r="G31" i="114"/>
  <c r="E30" i="114"/>
  <c r="H30" i="114" s="1"/>
  <c r="E29" i="114"/>
  <c r="H29" i="114" s="1"/>
  <c r="E28" i="114"/>
  <c r="H28" i="114" s="1"/>
  <c r="E38" i="113"/>
  <c r="G38" i="113" s="1"/>
  <c r="H35" i="113"/>
  <c r="G35" i="113"/>
  <c r="F35" i="113"/>
  <c r="F31" i="113"/>
  <c r="G31" i="113"/>
  <c r="E30" i="113"/>
  <c r="H30" i="113" s="1"/>
  <c r="E29" i="113"/>
  <c r="H29" i="113" s="1"/>
  <c r="E28" i="113"/>
  <c r="H28" i="113" s="1"/>
  <c r="E38" i="112"/>
  <c r="G38" i="112" s="1"/>
  <c r="H35" i="112"/>
  <c r="G35" i="112"/>
  <c r="F35" i="112"/>
  <c r="G31" i="112"/>
  <c r="E30" i="112"/>
  <c r="H30" i="112" s="1"/>
  <c r="E29" i="112"/>
  <c r="H29" i="112" s="1"/>
  <c r="E28" i="112"/>
  <c r="H28" i="112" s="1"/>
  <c r="F26" i="112"/>
  <c r="G26" i="112"/>
  <c r="E38" i="111"/>
  <c r="G38" i="111" s="1"/>
  <c r="H35" i="111"/>
  <c r="G35" i="111"/>
  <c r="F35" i="111"/>
  <c r="G31" i="111"/>
  <c r="E30" i="111"/>
  <c r="H30" i="111" s="1"/>
  <c r="E29" i="111"/>
  <c r="H29" i="111" s="1"/>
  <c r="E28" i="111"/>
  <c r="H28" i="111" s="1"/>
  <c r="G26" i="111"/>
  <c r="E43" i="110"/>
  <c r="H43" i="110" s="1"/>
  <c r="E42" i="110"/>
  <c r="H42" i="110" s="1"/>
  <c r="E38" i="110"/>
  <c r="H38" i="110" s="1"/>
  <c r="H35" i="110"/>
  <c r="G35" i="110"/>
  <c r="F35" i="110"/>
  <c r="G31" i="110"/>
  <c r="E30" i="110"/>
  <c r="G30" i="110" s="1"/>
  <c r="E29" i="110"/>
  <c r="G29" i="110" s="1"/>
  <c r="E28" i="110"/>
  <c r="G28" i="110" s="1"/>
  <c r="H27" i="110"/>
  <c r="G27" i="110"/>
  <c r="F27" i="110"/>
  <c r="E38" i="109"/>
  <c r="G38" i="109" s="1"/>
  <c r="H35" i="109"/>
  <c r="G35" i="109"/>
  <c r="F35" i="109"/>
  <c r="H31" i="109"/>
  <c r="E30" i="109"/>
  <c r="H30" i="109" s="1"/>
  <c r="E29" i="109"/>
  <c r="H29" i="109" s="1"/>
  <c r="E28" i="109"/>
  <c r="H28" i="109" s="1"/>
  <c r="H27" i="109"/>
  <c r="G27" i="109"/>
  <c r="F27" i="109"/>
  <c r="E38" i="106"/>
  <c r="H38" i="106" s="1"/>
  <c r="E28" i="106"/>
  <c r="H28" i="106" s="1"/>
  <c r="E43" i="104"/>
  <c r="G43" i="104" s="1"/>
  <c r="E42" i="104"/>
  <c r="G42" i="104" s="1"/>
  <c r="E38" i="104"/>
  <c r="G38" i="104" s="1"/>
  <c r="E35" i="104"/>
  <c r="G35" i="104" s="1"/>
  <c r="G31" i="104"/>
  <c r="E30" i="104"/>
  <c r="G30" i="104" s="1"/>
  <c r="E29" i="104"/>
  <c r="G29" i="104" s="1"/>
  <c r="E28" i="104"/>
  <c r="G28" i="104" s="1"/>
  <c r="E26" i="104"/>
  <c r="G26" i="104" s="1"/>
  <c r="G43" i="101"/>
  <c r="G42" i="101"/>
  <c r="E35" i="1"/>
  <c r="H35" i="1" s="1"/>
  <c r="C8" i="97"/>
  <c r="E38" i="101"/>
  <c r="G31" i="101"/>
  <c r="E30" i="101"/>
  <c r="E29" i="101"/>
  <c r="E28" i="101"/>
  <c r="E26" i="101"/>
  <c r="F43" i="98"/>
  <c r="E35" i="98"/>
  <c r="H35" i="98" s="1"/>
  <c r="H31" i="100"/>
  <c r="E28" i="100"/>
  <c r="H43" i="100"/>
  <c r="H42" i="100"/>
  <c r="E38" i="100"/>
  <c r="G38" i="100" s="1"/>
  <c r="H35" i="100"/>
  <c r="F31" i="100"/>
  <c r="E30" i="100"/>
  <c r="F30" i="100" s="1"/>
  <c r="E29" i="100"/>
  <c r="H29" i="100" s="1"/>
  <c r="F28" i="100"/>
  <c r="E26" i="100"/>
  <c r="F26" i="100" s="1"/>
  <c r="G42" i="100"/>
  <c r="G31" i="100"/>
  <c r="G67" i="97"/>
  <c r="F67" i="97"/>
  <c r="D67" i="97"/>
  <c r="G65" i="97"/>
  <c r="F65" i="97"/>
  <c r="D65" i="97"/>
  <c r="G64" i="97"/>
  <c r="F64" i="97"/>
  <c r="D64" i="97"/>
  <c r="G62" i="97"/>
  <c r="F62" i="97"/>
  <c r="D62" i="97"/>
  <c r="G60" i="97"/>
  <c r="F60" i="97"/>
  <c r="D60" i="97"/>
  <c r="G59" i="97"/>
  <c r="F59" i="97"/>
  <c r="D59" i="97"/>
  <c r="F32" i="97"/>
  <c r="F34" i="97"/>
  <c r="F44" i="97"/>
  <c r="F46" i="97"/>
  <c r="F48" i="97"/>
  <c r="F30" i="97"/>
  <c r="F24" i="97"/>
  <c r="F25" i="97"/>
  <c r="F26" i="97"/>
  <c r="F27" i="97"/>
  <c r="F28" i="97"/>
  <c r="F29" i="97"/>
  <c r="F23" i="97"/>
  <c r="C4" i="97"/>
  <c r="D4" i="97" s="1"/>
  <c r="K21" i="97"/>
  <c r="O21" i="97" s="1"/>
  <c r="K24" i="97"/>
  <c r="O24" i="97" s="1"/>
  <c r="K23" i="97"/>
  <c r="O23" i="97" s="1"/>
  <c r="K22" i="97"/>
  <c r="O22" i="97" s="1"/>
  <c r="K20" i="97"/>
  <c r="O20" i="97" s="1"/>
  <c r="K19" i="97"/>
  <c r="O19" i="97" s="1"/>
  <c r="K18" i="97"/>
  <c r="O18" i="97" s="1"/>
  <c r="O10" i="97"/>
  <c r="E38" i="98"/>
  <c r="G31" i="98"/>
  <c r="E30" i="98"/>
  <c r="H30" i="98" s="1"/>
  <c r="E29" i="98"/>
  <c r="H29" i="98" s="1"/>
  <c r="E28" i="98"/>
  <c r="H28" i="98" s="1"/>
  <c r="E26" i="98"/>
  <c r="H26" i="98" s="1"/>
  <c r="E42" i="1"/>
  <c r="E38" i="1"/>
  <c r="H38" i="1" s="1"/>
  <c r="E30" i="1"/>
  <c r="E29" i="1"/>
  <c r="E26" i="1"/>
  <c r="O57" i="97"/>
  <c r="O55" i="97"/>
  <c r="O50" i="97"/>
  <c r="O49" i="97"/>
  <c r="O45" i="97"/>
  <c r="N57" i="97"/>
  <c r="N55" i="97"/>
  <c r="N52" i="97"/>
  <c r="N50" i="97"/>
  <c r="N49" i="97"/>
  <c r="N45" i="97"/>
  <c r="O37" i="97"/>
  <c r="N37" i="97"/>
  <c r="O29" i="97"/>
  <c r="N29" i="97"/>
  <c r="C89" i="97"/>
  <c r="H41" i="110"/>
  <c r="C82" i="97"/>
  <c r="C81" i="97"/>
  <c r="C80" i="97"/>
  <c r="C79" i="97"/>
  <c r="C78" i="97"/>
  <c r="C77" i="97"/>
  <c r="G77" i="97" s="1"/>
  <c r="O52" i="97"/>
  <c r="O116" i="97"/>
  <c r="N116" i="97"/>
  <c r="O115" i="97"/>
  <c r="N115" i="97"/>
  <c r="O44" i="97"/>
  <c r="N44" i="97"/>
  <c r="O41" i="97"/>
  <c r="N41" i="97"/>
  <c r="O38" i="97"/>
  <c r="N38" i="97"/>
  <c r="O34" i="97"/>
  <c r="N34" i="97"/>
  <c r="O30" i="97"/>
  <c r="N30" i="97"/>
  <c r="O4" i="97"/>
  <c r="G24" i="97"/>
  <c r="G25" i="97"/>
  <c r="G26" i="97"/>
  <c r="G27" i="97"/>
  <c r="G28" i="97"/>
  <c r="G29" i="97"/>
  <c r="G23" i="97"/>
  <c r="G30" i="97"/>
  <c r="G32" i="97"/>
  <c r="G34" i="97"/>
  <c r="G44" i="97"/>
  <c r="G46" i="97"/>
  <c r="G48" i="97"/>
  <c r="D30" i="97"/>
  <c r="D32" i="97"/>
  <c r="D34" i="97"/>
  <c r="D44" i="97"/>
  <c r="D46" i="97"/>
  <c r="D48" i="97"/>
  <c r="E44" i="140" l="1"/>
  <c r="H44" i="140" s="1"/>
  <c r="E44" i="144"/>
  <c r="E44" i="146"/>
  <c r="E44" i="145"/>
  <c r="F89" i="97"/>
  <c r="D89" i="97"/>
  <c r="G89" i="97"/>
  <c r="E89" i="97"/>
  <c r="E25" i="146"/>
  <c r="E25" i="131"/>
  <c r="E25" i="145"/>
  <c r="E25" i="144"/>
  <c r="E32" i="145"/>
  <c r="E32" i="144"/>
  <c r="E32" i="146"/>
  <c r="E32" i="131"/>
  <c r="H32" i="131" s="1"/>
  <c r="H32" i="114"/>
  <c r="H32" i="112"/>
  <c r="G32" i="98"/>
  <c r="H32" i="108"/>
  <c r="F43" i="1"/>
  <c r="G32" i="108"/>
  <c r="E44" i="141"/>
  <c r="E44" i="108"/>
  <c r="F44" i="108" s="1"/>
  <c r="E44" i="113"/>
  <c r="G44" i="113" s="1"/>
  <c r="E44" i="122"/>
  <c r="H44" i="122" s="1"/>
  <c r="O8" i="97"/>
  <c r="E27" i="123"/>
  <c r="E27" i="139"/>
  <c r="E27" i="121"/>
  <c r="E27" i="120"/>
  <c r="E27" i="122"/>
  <c r="G28" i="120"/>
  <c r="H28" i="120"/>
  <c r="G38" i="120"/>
  <c r="H38" i="120"/>
  <c r="G30" i="122"/>
  <c r="H30" i="122"/>
  <c r="G30" i="123"/>
  <c r="H30" i="123"/>
  <c r="G38" i="123"/>
  <c r="H38" i="123"/>
  <c r="G29" i="126"/>
  <c r="H29" i="126"/>
  <c r="G32" i="138"/>
  <c r="H32" i="138"/>
  <c r="F32" i="138"/>
  <c r="G79" i="97"/>
  <c r="E44" i="142"/>
  <c r="E44" i="143"/>
  <c r="E44" i="110"/>
  <c r="H44" i="110" s="1"/>
  <c r="E44" i="109"/>
  <c r="G44" i="109" s="1"/>
  <c r="E44" i="101"/>
  <c r="H44" i="101" s="1"/>
  <c r="E44" i="123"/>
  <c r="H44" i="123" s="1"/>
  <c r="O7" i="97"/>
  <c r="E27" i="113"/>
  <c r="E27" i="111"/>
  <c r="E27" i="114"/>
  <c r="E27" i="112"/>
  <c r="E25" i="126"/>
  <c r="H25" i="126" s="1"/>
  <c r="E25" i="139"/>
  <c r="E25" i="143"/>
  <c r="E25" i="142"/>
  <c r="E25" i="141"/>
  <c r="E25" i="140"/>
  <c r="E25" i="138"/>
  <c r="E25" i="137"/>
  <c r="G30" i="121"/>
  <c r="H30" i="121"/>
  <c r="G38" i="121"/>
  <c r="H38" i="121"/>
  <c r="G29" i="122"/>
  <c r="H29" i="122"/>
  <c r="G38" i="122"/>
  <c r="H38" i="122"/>
  <c r="G29" i="123"/>
  <c r="H29" i="123"/>
  <c r="G38" i="126"/>
  <c r="H38" i="126"/>
  <c r="E6" i="97"/>
  <c r="E44" i="114"/>
  <c r="G44" i="114" s="1"/>
  <c r="L88" i="97"/>
  <c r="E35" i="141"/>
  <c r="L92" i="97"/>
  <c r="E35" i="143"/>
  <c r="L83" i="97"/>
  <c r="E35" i="140"/>
  <c r="E32" i="123"/>
  <c r="F32" i="123" s="1"/>
  <c r="E32" i="120"/>
  <c r="E32" i="142"/>
  <c r="E32" i="141"/>
  <c r="E32" i="126"/>
  <c r="F32" i="126" s="1"/>
  <c r="E32" i="140"/>
  <c r="E32" i="121"/>
  <c r="F32" i="121" s="1"/>
  <c r="E32" i="143"/>
  <c r="E32" i="139"/>
  <c r="E32" i="122"/>
  <c r="F32" i="122" s="1"/>
  <c r="G78" i="97"/>
  <c r="E44" i="104"/>
  <c r="G44" i="104" s="1"/>
  <c r="E44" i="100"/>
  <c r="F44" i="100" s="1"/>
  <c r="E44" i="138"/>
  <c r="E44" i="139"/>
  <c r="G82" i="97"/>
  <c r="E44" i="137"/>
  <c r="E44" i="120"/>
  <c r="H44" i="120" s="1"/>
  <c r="E44" i="126"/>
  <c r="H44" i="126" s="1"/>
  <c r="G30" i="120"/>
  <c r="H30" i="120"/>
  <c r="G29" i="121"/>
  <c r="H29" i="121"/>
  <c r="G28" i="123"/>
  <c r="H28" i="123"/>
  <c r="L90" i="97"/>
  <c r="E35" i="142"/>
  <c r="G32" i="137"/>
  <c r="H32" i="137"/>
  <c r="F32" i="137"/>
  <c r="G44" i="140"/>
  <c r="O9" i="97"/>
  <c r="E27" i="142"/>
  <c r="E27" i="141"/>
  <c r="E27" i="140"/>
  <c r="E27" i="143"/>
  <c r="E27" i="126"/>
  <c r="G29" i="120"/>
  <c r="H29" i="120"/>
  <c r="G28" i="121"/>
  <c r="H28" i="121"/>
  <c r="G30" i="126"/>
  <c r="H30" i="126"/>
  <c r="N78" i="97"/>
  <c r="E35" i="139"/>
  <c r="N79" i="97"/>
  <c r="E35" i="126"/>
  <c r="G31" i="1"/>
  <c r="F31" i="1"/>
  <c r="G32" i="101"/>
  <c r="N90" i="97"/>
  <c r="G80" i="97"/>
  <c r="E44" i="98"/>
  <c r="H44" i="98" s="1"/>
  <c r="E44" i="106"/>
  <c r="H44" i="106" s="1"/>
  <c r="G41" i="104"/>
  <c r="H41" i="101"/>
  <c r="G41" i="122"/>
  <c r="E41" i="136"/>
  <c r="F26" i="1"/>
  <c r="H26" i="1"/>
  <c r="G30" i="1"/>
  <c r="H30" i="1"/>
  <c r="F42" i="1"/>
  <c r="H42" i="1"/>
  <c r="F38" i="98"/>
  <c r="H38" i="98"/>
  <c r="G28" i="101"/>
  <c r="H28" i="101"/>
  <c r="G30" i="101"/>
  <c r="H30" i="101"/>
  <c r="E25" i="122"/>
  <c r="E25" i="120"/>
  <c r="H25" i="120" s="1"/>
  <c r="E25" i="113"/>
  <c r="G25" i="113" s="1"/>
  <c r="E25" i="123"/>
  <c r="H25" i="123" s="1"/>
  <c r="E25" i="121"/>
  <c r="H25" i="121" s="1"/>
  <c r="E25" i="114"/>
  <c r="G25" i="114" s="1"/>
  <c r="E25" i="112"/>
  <c r="G25" i="112" s="1"/>
  <c r="E25" i="110"/>
  <c r="G25" i="110" s="1"/>
  <c r="E25" i="108"/>
  <c r="E33" i="108" s="1"/>
  <c r="E36" i="108" s="1"/>
  <c r="E39" i="108" s="1"/>
  <c r="F34" i="148" s="1"/>
  <c r="R34" i="148" s="1"/>
  <c r="E25" i="111"/>
  <c r="G25" i="111" s="1"/>
  <c r="E25" i="109"/>
  <c r="G25" i="109" s="1"/>
  <c r="E25" i="136"/>
  <c r="E25" i="106"/>
  <c r="H25" i="106" s="1"/>
  <c r="G35" i="101"/>
  <c r="H35" i="101"/>
  <c r="L6" i="97"/>
  <c r="E27" i="106"/>
  <c r="H47" i="101"/>
  <c r="H32" i="136"/>
  <c r="F32" i="136"/>
  <c r="G32" i="136"/>
  <c r="E25" i="135"/>
  <c r="H25" i="135" s="1"/>
  <c r="E27" i="135"/>
  <c r="H27" i="135" s="1"/>
  <c r="E44" i="136"/>
  <c r="H41" i="98"/>
  <c r="E41" i="106"/>
  <c r="H41" i="106" s="1"/>
  <c r="G29" i="1"/>
  <c r="H29" i="1"/>
  <c r="O5" i="97"/>
  <c r="E27" i="104"/>
  <c r="G27" i="104" s="1"/>
  <c r="E27" i="136"/>
  <c r="G26" i="101"/>
  <c r="H26" i="101"/>
  <c r="G29" i="101"/>
  <c r="H29" i="101"/>
  <c r="G38" i="101"/>
  <c r="H38" i="101"/>
  <c r="G26" i="135"/>
  <c r="G28" i="135"/>
  <c r="G29" i="135"/>
  <c r="G30" i="135"/>
  <c r="G31" i="135"/>
  <c r="G32" i="135"/>
  <c r="G36" i="135"/>
  <c r="F26" i="135"/>
  <c r="F28" i="135"/>
  <c r="F29" i="135"/>
  <c r="F30" i="135"/>
  <c r="F31" i="135"/>
  <c r="F32" i="135"/>
  <c r="F36" i="135"/>
  <c r="G32" i="1"/>
  <c r="F32" i="1"/>
  <c r="F31" i="98"/>
  <c r="F32" i="98"/>
  <c r="F31" i="109"/>
  <c r="F32" i="109"/>
  <c r="H31" i="110"/>
  <c r="F32" i="110"/>
  <c r="F31" i="111"/>
  <c r="H31" i="112"/>
  <c r="H32" i="113"/>
  <c r="F31" i="114"/>
  <c r="M91" i="97"/>
  <c r="H32" i="109"/>
  <c r="F31" i="110"/>
  <c r="H32" i="110"/>
  <c r="H31" i="111"/>
  <c r="F32" i="111"/>
  <c r="F31" i="112"/>
  <c r="H31" i="113"/>
  <c r="F32" i="113"/>
  <c r="H31" i="114"/>
  <c r="F32" i="120"/>
  <c r="M79" i="97"/>
  <c r="L91" i="97"/>
  <c r="N91" i="97"/>
  <c r="N89" i="97"/>
  <c r="O90" i="97"/>
  <c r="M89" i="97"/>
  <c r="O89" i="97"/>
  <c r="O92" i="97"/>
  <c r="O83" i="97"/>
  <c r="N83" i="97"/>
  <c r="M83" i="97"/>
  <c r="N81" i="97"/>
  <c r="M81" i="97"/>
  <c r="O81" i="97"/>
  <c r="O79" i="97"/>
  <c r="N92" i="97"/>
  <c r="M92" i="97"/>
  <c r="M88" i="97"/>
  <c r="N88" i="97"/>
  <c r="O88" i="97"/>
  <c r="O86" i="97"/>
  <c r="N86" i="97"/>
  <c r="M86" i="97"/>
  <c r="M78" i="97"/>
  <c r="L78" i="97"/>
  <c r="O75" i="97"/>
  <c r="O78" i="97"/>
  <c r="N75" i="97"/>
  <c r="M75" i="97"/>
  <c r="M70" i="97"/>
  <c r="L70" i="97"/>
  <c r="O70" i="97"/>
  <c r="N67" i="97"/>
  <c r="L67" i="97"/>
  <c r="M67" i="97"/>
  <c r="N66" i="97"/>
  <c r="L66" i="97"/>
  <c r="M66" i="97"/>
  <c r="O65" i="97"/>
  <c r="M65" i="97"/>
  <c r="L65" i="97"/>
  <c r="O77" i="97"/>
  <c r="N64" i="97"/>
  <c r="M64" i="97"/>
  <c r="N77" i="97"/>
  <c r="M77" i="97"/>
  <c r="L76" i="97"/>
  <c r="O76" i="97"/>
  <c r="N76" i="97"/>
  <c r="L72" i="97"/>
  <c r="N72" i="97"/>
  <c r="M72" i="97"/>
  <c r="N69" i="97"/>
  <c r="M69" i="97"/>
  <c r="O69" i="97"/>
  <c r="M61" i="97"/>
  <c r="O61" i="97"/>
  <c r="O64" i="97"/>
  <c r="N61" i="97"/>
  <c r="O56" i="97"/>
  <c r="N56" i="97"/>
  <c r="M56" i="97"/>
  <c r="O54" i="97"/>
  <c r="L54" i="97"/>
  <c r="M54" i="97"/>
  <c r="O60" i="97"/>
  <c r="N60" i="97"/>
  <c r="M60" i="97"/>
  <c r="N58" i="97"/>
  <c r="M58" i="97"/>
  <c r="O58" i="97"/>
  <c r="N53" i="97"/>
  <c r="M53" i="97"/>
  <c r="O53" i="97"/>
  <c r="O51" i="97"/>
  <c r="L43" i="97"/>
  <c r="O48" i="97"/>
  <c r="M51" i="97"/>
  <c r="N51" i="97"/>
  <c r="N48" i="97"/>
  <c r="M48" i="97"/>
  <c r="M36" i="97"/>
  <c r="L36" i="97"/>
  <c r="N47" i="97"/>
  <c r="M47" i="97"/>
  <c r="O47" i="97"/>
  <c r="M39" i="97"/>
  <c r="M42" i="97"/>
  <c r="M35" i="97"/>
  <c r="M40" i="97"/>
  <c r="N43" i="97"/>
  <c r="O43" i="97"/>
  <c r="L42" i="97"/>
  <c r="N42" i="97"/>
  <c r="N31" i="97"/>
  <c r="M31" i="97"/>
  <c r="L35" i="97"/>
  <c r="N35" i="97"/>
  <c r="N36" i="97"/>
  <c r="N39" i="97"/>
  <c r="L39" i="97"/>
  <c r="M24" i="97"/>
  <c r="O40" i="97"/>
  <c r="L40" i="97"/>
  <c r="N32" i="97"/>
  <c r="O32" i="97"/>
  <c r="M32" i="97"/>
  <c r="L31" i="97"/>
  <c r="M4" i="97"/>
  <c r="G26" i="109"/>
  <c r="O6" i="97"/>
  <c r="E79" i="97"/>
  <c r="G30" i="100"/>
  <c r="M12" i="97"/>
  <c r="M11" i="97"/>
  <c r="E78" i="97"/>
  <c r="M23" i="97"/>
  <c r="N6" i="97"/>
  <c r="F42" i="100"/>
  <c r="F26" i="106"/>
  <c r="M8" i="97"/>
  <c r="M16" i="97"/>
  <c r="E82" i="97"/>
  <c r="M7" i="97"/>
  <c r="M15" i="97"/>
  <c r="G43" i="108"/>
  <c r="E77" i="97"/>
  <c r="E81" i="97"/>
  <c r="M6" i="97"/>
  <c r="M10" i="97"/>
  <c r="M14" i="97"/>
  <c r="M18" i="97"/>
  <c r="M22" i="97"/>
  <c r="M20" i="97"/>
  <c r="M19" i="97"/>
  <c r="E80" i="97"/>
  <c r="M5" i="97"/>
  <c r="M9" i="97"/>
  <c r="M13" i="97"/>
  <c r="M17" i="97"/>
  <c r="M21" i="97"/>
  <c r="N22" i="97"/>
  <c r="N11" i="97"/>
  <c r="D5" i="97"/>
  <c r="E44" i="112"/>
  <c r="G44" i="112" s="1"/>
  <c r="G47" i="122"/>
  <c r="E27" i="1"/>
  <c r="F77" i="97"/>
  <c r="N5" i="97"/>
  <c r="N15" i="97"/>
  <c r="E25" i="100"/>
  <c r="G25" i="100" s="1"/>
  <c r="F80" i="97"/>
  <c r="G41" i="101"/>
  <c r="G41" i="108"/>
  <c r="G41" i="109"/>
  <c r="E44" i="1"/>
  <c r="E27" i="98"/>
  <c r="H27" i="98" s="1"/>
  <c r="G35" i="98"/>
  <c r="F78" i="97"/>
  <c r="F81" i="97"/>
  <c r="N10" i="97"/>
  <c r="N12" i="97"/>
  <c r="N18" i="97"/>
  <c r="H30" i="100"/>
  <c r="F47" i="100"/>
  <c r="E44" i="121"/>
  <c r="E44" i="131"/>
  <c r="H44" i="131" s="1"/>
  <c r="N8" i="97"/>
  <c r="N17" i="97"/>
  <c r="N24" i="97"/>
  <c r="G41" i="113"/>
  <c r="G43" i="120"/>
  <c r="F82" i="97"/>
  <c r="N4" i="97"/>
  <c r="N7" i="97"/>
  <c r="N13" i="97"/>
  <c r="N16" i="97"/>
  <c r="N19" i="97"/>
  <c r="N23" i="97"/>
  <c r="E27" i="101"/>
  <c r="H38" i="108"/>
  <c r="G47" i="109"/>
  <c r="G47" i="113"/>
  <c r="F79" i="97"/>
  <c r="N9" i="97"/>
  <c r="N21" i="97"/>
  <c r="D8" i="97"/>
  <c r="F35" i="98"/>
  <c r="E25" i="101"/>
  <c r="H25" i="101" s="1"/>
  <c r="F42" i="108"/>
  <c r="E4" i="97"/>
  <c r="D77" i="97"/>
  <c r="D78" i="97"/>
  <c r="D79" i="97"/>
  <c r="D80" i="97"/>
  <c r="D81" i="97"/>
  <c r="D82" i="97"/>
  <c r="L4" i="97"/>
  <c r="L5" i="97"/>
  <c r="L7" i="97"/>
  <c r="L8" i="97"/>
  <c r="L9" i="97"/>
  <c r="L10" i="97"/>
  <c r="L11" i="97"/>
  <c r="L12" i="97"/>
  <c r="L13" i="97"/>
  <c r="L14" i="97"/>
  <c r="L15" i="97"/>
  <c r="L16" i="97"/>
  <c r="L17" i="97"/>
  <c r="L18" i="97"/>
  <c r="L19" i="97"/>
  <c r="L20" i="97"/>
  <c r="L21" i="97"/>
  <c r="L22" i="97"/>
  <c r="L23" i="97"/>
  <c r="L24" i="97"/>
  <c r="E27" i="100"/>
  <c r="F27" i="100" s="1"/>
  <c r="F41" i="100"/>
  <c r="G47" i="101"/>
  <c r="E44" i="111"/>
  <c r="G44" i="111" s="1"/>
  <c r="G47" i="104"/>
  <c r="F47" i="108"/>
  <c r="H47" i="110"/>
  <c r="E41" i="112"/>
  <c r="G41" i="112" s="1"/>
  <c r="G41" i="114"/>
  <c r="G41" i="121"/>
  <c r="H41" i="131"/>
  <c r="N14" i="97"/>
  <c r="N20" i="97"/>
  <c r="E25" i="104"/>
  <c r="F25" i="104" s="1"/>
  <c r="E8" i="97"/>
  <c r="F38" i="100"/>
  <c r="E25" i="98"/>
  <c r="G81" i="97"/>
  <c r="E25" i="1"/>
  <c r="H25" i="1" s="1"/>
  <c r="G41" i="111"/>
  <c r="G47" i="112"/>
  <c r="G26" i="122"/>
  <c r="G47" i="121"/>
  <c r="G41" i="123"/>
  <c r="G41" i="126"/>
  <c r="D6" i="97"/>
  <c r="F42" i="120"/>
  <c r="G42" i="120"/>
  <c r="F30" i="113"/>
  <c r="F26" i="122"/>
  <c r="G35" i="100"/>
  <c r="G28" i="108"/>
  <c r="F26" i="109"/>
  <c r="F29" i="113"/>
  <c r="G38" i="108"/>
  <c r="G29" i="108"/>
  <c r="F28" i="126"/>
  <c r="G30" i="108"/>
  <c r="F29" i="110"/>
  <c r="H30" i="108"/>
  <c r="H29" i="108"/>
  <c r="H28" i="108"/>
  <c r="G28" i="131"/>
  <c r="G29" i="131"/>
  <c r="G30" i="131"/>
  <c r="G31" i="131"/>
  <c r="G32" i="131"/>
  <c r="G35" i="131"/>
  <c r="G38" i="131"/>
  <c r="G42" i="131"/>
  <c r="G43" i="131"/>
  <c r="F28" i="131"/>
  <c r="F29" i="131"/>
  <c r="F30" i="131"/>
  <c r="F31" i="131"/>
  <c r="F32" i="131"/>
  <c r="F35" i="131"/>
  <c r="F38" i="131"/>
  <c r="F42" i="131"/>
  <c r="F43" i="131"/>
  <c r="F38" i="1"/>
  <c r="G42" i="1"/>
  <c r="G29" i="98"/>
  <c r="H28" i="110"/>
  <c r="H30" i="110"/>
  <c r="F29" i="120"/>
  <c r="F29" i="126"/>
  <c r="F28" i="110"/>
  <c r="H29" i="110"/>
  <c r="F30" i="110"/>
  <c r="F28" i="120"/>
  <c r="F30" i="120"/>
  <c r="F38" i="120"/>
  <c r="F30" i="126"/>
  <c r="F38" i="126"/>
  <c r="F42" i="126"/>
  <c r="F43" i="126"/>
  <c r="G26" i="123"/>
  <c r="F28" i="123"/>
  <c r="F29" i="123"/>
  <c r="F30" i="123"/>
  <c r="F31" i="123"/>
  <c r="F35" i="123"/>
  <c r="F38" i="123"/>
  <c r="F42" i="123"/>
  <c r="F43" i="123"/>
  <c r="F47" i="123"/>
  <c r="F26" i="123"/>
  <c r="F28" i="122"/>
  <c r="F29" i="122"/>
  <c r="F30" i="122"/>
  <c r="F31" i="122"/>
  <c r="F35" i="122"/>
  <c r="F38" i="122"/>
  <c r="F41" i="122"/>
  <c r="F42" i="122"/>
  <c r="F43" i="122"/>
  <c r="G28" i="122"/>
  <c r="F28" i="121"/>
  <c r="F29" i="121"/>
  <c r="F30" i="121"/>
  <c r="F31" i="121"/>
  <c r="F35" i="121"/>
  <c r="F38" i="121"/>
  <c r="F42" i="121"/>
  <c r="F43" i="121"/>
  <c r="G26" i="120"/>
  <c r="F26" i="120"/>
  <c r="H43" i="108"/>
  <c r="H42" i="108"/>
  <c r="H26" i="108"/>
  <c r="F26" i="114"/>
  <c r="H26" i="114"/>
  <c r="G28" i="114"/>
  <c r="G29" i="114"/>
  <c r="G30" i="114"/>
  <c r="G32" i="114"/>
  <c r="F38" i="114"/>
  <c r="H38" i="114"/>
  <c r="F42" i="114"/>
  <c r="H42" i="114"/>
  <c r="F43" i="114"/>
  <c r="H43" i="114"/>
  <c r="F47" i="114"/>
  <c r="H47" i="114"/>
  <c r="F28" i="114"/>
  <c r="F29" i="114"/>
  <c r="F30" i="114"/>
  <c r="F26" i="113"/>
  <c r="H26" i="113"/>
  <c r="G28" i="113"/>
  <c r="G29" i="113"/>
  <c r="G30" i="113"/>
  <c r="F38" i="113"/>
  <c r="H38" i="113"/>
  <c r="F42" i="113"/>
  <c r="H42" i="113"/>
  <c r="F43" i="113"/>
  <c r="H43" i="113"/>
  <c r="F28" i="113"/>
  <c r="H26" i="112"/>
  <c r="G28" i="112"/>
  <c r="G29" i="112"/>
  <c r="G30" i="112"/>
  <c r="G32" i="112"/>
  <c r="F38" i="112"/>
  <c r="H38" i="112"/>
  <c r="F42" i="112"/>
  <c r="H42" i="112"/>
  <c r="F43" i="112"/>
  <c r="H43" i="112"/>
  <c r="F28" i="112"/>
  <c r="F29" i="112"/>
  <c r="F30" i="112"/>
  <c r="F26" i="111"/>
  <c r="H26" i="111"/>
  <c r="G28" i="111"/>
  <c r="G29" i="111"/>
  <c r="G30" i="111"/>
  <c r="G32" i="111"/>
  <c r="F38" i="111"/>
  <c r="H38" i="111"/>
  <c r="F42" i="111"/>
  <c r="H42" i="111"/>
  <c r="F43" i="111"/>
  <c r="H43" i="111"/>
  <c r="F28" i="111"/>
  <c r="F29" i="111"/>
  <c r="F30" i="111"/>
  <c r="G26" i="110"/>
  <c r="G38" i="110"/>
  <c r="G41" i="110"/>
  <c r="G42" i="110"/>
  <c r="G43" i="110"/>
  <c r="F26" i="110"/>
  <c r="F38" i="110"/>
  <c r="F41" i="110"/>
  <c r="F42" i="110"/>
  <c r="F43" i="110"/>
  <c r="G28" i="109"/>
  <c r="G29" i="109"/>
  <c r="G30" i="109"/>
  <c r="G31" i="109"/>
  <c r="F38" i="109"/>
  <c r="H38" i="109"/>
  <c r="F42" i="109"/>
  <c r="H42" i="109"/>
  <c r="F43" i="109"/>
  <c r="H43" i="109"/>
  <c r="F28" i="109"/>
  <c r="F29" i="109"/>
  <c r="F30" i="109"/>
  <c r="G28" i="106"/>
  <c r="G29" i="106"/>
  <c r="G30" i="106"/>
  <c r="G31" i="106"/>
  <c r="G32" i="106"/>
  <c r="G35" i="106"/>
  <c r="G38" i="106"/>
  <c r="G42" i="106"/>
  <c r="G43" i="106"/>
  <c r="F28" i="106"/>
  <c r="F29" i="106"/>
  <c r="F30" i="106"/>
  <c r="F31" i="106"/>
  <c r="F32" i="106"/>
  <c r="F35" i="106"/>
  <c r="F38" i="106"/>
  <c r="F42" i="106"/>
  <c r="F43" i="106"/>
  <c r="F26" i="104"/>
  <c r="H26" i="104"/>
  <c r="F28" i="104"/>
  <c r="H28" i="104"/>
  <c r="F29" i="104"/>
  <c r="H29" i="104"/>
  <c r="F30" i="104"/>
  <c r="H30" i="104"/>
  <c r="F31" i="104"/>
  <c r="H31" i="104"/>
  <c r="F32" i="104"/>
  <c r="H32" i="104"/>
  <c r="F35" i="104"/>
  <c r="H35" i="104"/>
  <c r="F38" i="104"/>
  <c r="H38" i="104"/>
  <c r="F42" i="104"/>
  <c r="H42" i="104"/>
  <c r="F43" i="104"/>
  <c r="H43" i="104"/>
  <c r="F26" i="101"/>
  <c r="F28" i="101"/>
  <c r="F29" i="101"/>
  <c r="F30" i="101"/>
  <c r="F31" i="101"/>
  <c r="F32" i="101"/>
  <c r="F35" i="101"/>
  <c r="F38" i="101"/>
  <c r="F42" i="101"/>
  <c r="F43" i="101"/>
  <c r="G26" i="98"/>
  <c r="G28" i="98"/>
  <c r="G30" i="98"/>
  <c r="F35" i="100"/>
  <c r="G43" i="98"/>
  <c r="G43" i="100"/>
  <c r="G32" i="100"/>
  <c r="H32" i="100"/>
  <c r="F43" i="100"/>
  <c r="H38" i="100"/>
  <c r="G29" i="100"/>
  <c r="F29" i="100"/>
  <c r="H28" i="100"/>
  <c r="G28" i="100"/>
  <c r="G26" i="100"/>
  <c r="H26" i="100"/>
  <c r="G38" i="98"/>
  <c r="G38" i="1"/>
  <c r="G35" i="1"/>
  <c r="E47" i="1"/>
  <c r="H47" i="1" s="1"/>
  <c r="F30" i="1"/>
  <c r="F35" i="1"/>
  <c r="G43" i="1"/>
  <c r="F26" i="98"/>
  <c r="F28" i="98"/>
  <c r="F29" i="98"/>
  <c r="F30" i="98"/>
  <c r="E41" i="1"/>
  <c r="H41" i="1" s="1"/>
  <c r="G41" i="98"/>
  <c r="G42" i="98"/>
  <c r="F42" i="98"/>
  <c r="F29" i="1"/>
  <c r="G28" i="1"/>
  <c r="F28" i="1"/>
  <c r="G26" i="1"/>
  <c r="D18" i="97"/>
  <c r="D19" i="97"/>
  <c r="D20" i="97"/>
  <c r="D21" i="97"/>
  <c r="D22" i="97"/>
  <c r="D17" i="97"/>
  <c r="G6" i="97"/>
  <c r="F5" i="97"/>
  <c r="F44" i="140" l="1"/>
  <c r="F32" i="146"/>
  <c r="G32" i="146"/>
  <c r="H32" i="146"/>
  <c r="F32" i="145"/>
  <c r="H32" i="145"/>
  <c r="G32" i="145"/>
  <c r="E33" i="145"/>
  <c r="E36" i="145" s="1"/>
  <c r="E39" i="145" s="1"/>
  <c r="G25" i="145"/>
  <c r="G33" i="145" s="1"/>
  <c r="G36" i="145" s="1"/>
  <c r="G39" i="145" s="1"/>
  <c r="H25" i="145"/>
  <c r="H33" i="145" s="1"/>
  <c r="H36" i="145" s="1"/>
  <c r="H39" i="145" s="1"/>
  <c r="F25" i="145"/>
  <c r="F33" i="145" s="1"/>
  <c r="F36" i="145" s="1"/>
  <c r="F39" i="145" s="1"/>
  <c r="E33" i="146"/>
  <c r="E36" i="146" s="1"/>
  <c r="E39" i="146" s="1"/>
  <c r="H25" i="146"/>
  <c r="G25" i="146"/>
  <c r="F25" i="146"/>
  <c r="F33" i="146" s="1"/>
  <c r="F36" i="146" s="1"/>
  <c r="F39" i="146" s="1"/>
  <c r="F44" i="146"/>
  <c r="H44" i="146"/>
  <c r="G44" i="146"/>
  <c r="H32" i="144"/>
  <c r="G32" i="144"/>
  <c r="F32" i="144"/>
  <c r="E33" i="144"/>
  <c r="E36" i="144" s="1"/>
  <c r="E39" i="144" s="1"/>
  <c r="F25" i="144"/>
  <c r="F33" i="144" s="1"/>
  <c r="F36" i="144" s="1"/>
  <c r="F39" i="144" s="1"/>
  <c r="G25" i="144"/>
  <c r="G33" i="144" s="1"/>
  <c r="G36" i="144" s="1"/>
  <c r="G39" i="144" s="1"/>
  <c r="H25" i="144"/>
  <c r="H33" i="144" s="1"/>
  <c r="H36" i="144" s="1"/>
  <c r="H39" i="144" s="1"/>
  <c r="H44" i="145"/>
  <c r="F44" i="145"/>
  <c r="G44" i="145"/>
  <c r="G44" i="144"/>
  <c r="H44" i="144"/>
  <c r="F44" i="144"/>
  <c r="H25" i="100"/>
  <c r="G44" i="120"/>
  <c r="G25" i="126"/>
  <c r="G44" i="126"/>
  <c r="F25" i="109"/>
  <c r="F33" i="109" s="1"/>
  <c r="F36" i="109" s="1"/>
  <c r="F39" i="109" s="1"/>
  <c r="G44" i="122"/>
  <c r="E33" i="109"/>
  <c r="E36" i="109" s="1"/>
  <c r="E39" i="109" s="1"/>
  <c r="H27" i="104"/>
  <c r="F25" i="135"/>
  <c r="F25" i="121"/>
  <c r="G27" i="135"/>
  <c r="H25" i="131"/>
  <c r="H33" i="131" s="1"/>
  <c r="H36" i="131" s="1"/>
  <c r="H39" i="131" s="1"/>
  <c r="H32" i="143"/>
  <c r="G32" i="143"/>
  <c r="F32" i="143"/>
  <c r="H35" i="140"/>
  <c r="G35" i="140"/>
  <c r="F35" i="140"/>
  <c r="H25" i="140"/>
  <c r="G25" i="140"/>
  <c r="E33" i="140"/>
  <c r="E36" i="140" s="1"/>
  <c r="E39" i="140" s="1"/>
  <c r="F25" i="140"/>
  <c r="G35" i="139"/>
  <c r="H35" i="139"/>
  <c r="F35" i="139"/>
  <c r="H27" i="126"/>
  <c r="F27" i="126"/>
  <c r="G27" i="126"/>
  <c r="G27" i="142"/>
  <c r="H27" i="142"/>
  <c r="F27" i="142"/>
  <c r="G35" i="142"/>
  <c r="H35" i="142"/>
  <c r="F35" i="142"/>
  <c r="H32" i="126"/>
  <c r="G32" i="126"/>
  <c r="H32" i="123"/>
  <c r="G32" i="123"/>
  <c r="H25" i="138"/>
  <c r="H33" i="138" s="1"/>
  <c r="H36" i="138" s="1"/>
  <c r="H39" i="138" s="1"/>
  <c r="E33" i="138"/>
  <c r="E36" i="138" s="1"/>
  <c r="E39" i="138" s="1"/>
  <c r="F37" i="148" s="1"/>
  <c r="R37" i="148" s="1"/>
  <c r="F25" i="138"/>
  <c r="F33" i="138" s="1"/>
  <c r="F36" i="138" s="1"/>
  <c r="F39" i="138" s="1"/>
  <c r="G25" i="138"/>
  <c r="G33" i="138" s="1"/>
  <c r="G36" i="138" s="1"/>
  <c r="G39" i="138" s="1"/>
  <c r="H44" i="143"/>
  <c r="G44" i="143"/>
  <c r="F44" i="143"/>
  <c r="G27" i="141"/>
  <c r="H27" i="141"/>
  <c r="F27" i="141"/>
  <c r="G44" i="138"/>
  <c r="H44" i="138"/>
  <c r="F44" i="138"/>
  <c r="H32" i="122"/>
  <c r="G32" i="122"/>
  <c r="H32" i="140"/>
  <c r="F32" i="140"/>
  <c r="G32" i="140"/>
  <c r="H32" i="120"/>
  <c r="G32" i="120"/>
  <c r="H35" i="143"/>
  <c r="G35" i="143"/>
  <c r="F35" i="143"/>
  <c r="E33" i="137"/>
  <c r="E36" i="137" s="1"/>
  <c r="E39" i="137" s="1"/>
  <c r="H25" i="137"/>
  <c r="H33" i="137" s="1"/>
  <c r="H36" i="137" s="1"/>
  <c r="H39" i="137" s="1"/>
  <c r="F25" i="137"/>
  <c r="F33" i="137" s="1"/>
  <c r="F36" i="137" s="1"/>
  <c r="F39" i="137" s="1"/>
  <c r="G25" i="137"/>
  <c r="G33" i="137" s="1"/>
  <c r="G36" i="137" s="1"/>
  <c r="G39" i="137" s="1"/>
  <c r="E33" i="142"/>
  <c r="E36" i="142" s="1"/>
  <c r="E39" i="142" s="1"/>
  <c r="H25" i="142"/>
  <c r="G25" i="142"/>
  <c r="F25" i="142"/>
  <c r="F27" i="112"/>
  <c r="G27" i="112"/>
  <c r="G33" i="112" s="1"/>
  <c r="G36" i="112" s="1"/>
  <c r="G39" i="112" s="1"/>
  <c r="G48" i="112" s="1"/>
  <c r="H27" i="112"/>
  <c r="G27" i="139"/>
  <c r="H27" i="139"/>
  <c r="F27" i="139"/>
  <c r="F25" i="123"/>
  <c r="H33" i="135"/>
  <c r="H39" i="135" s="1"/>
  <c r="G44" i="123"/>
  <c r="F27" i="135"/>
  <c r="E33" i="135"/>
  <c r="E39" i="135" s="1"/>
  <c r="G25" i="135"/>
  <c r="H27" i="143"/>
  <c r="F27" i="143"/>
  <c r="G27" i="143"/>
  <c r="G32" i="141"/>
  <c r="H32" i="141"/>
  <c r="F32" i="141"/>
  <c r="G35" i="141"/>
  <c r="H35" i="141"/>
  <c r="F35" i="141"/>
  <c r="E33" i="139"/>
  <c r="E36" i="139" s="1"/>
  <c r="E39" i="139" s="1"/>
  <c r="H25" i="139"/>
  <c r="F25" i="139"/>
  <c r="G25" i="139"/>
  <c r="H27" i="111"/>
  <c r="F27" i="111"/>
  <c r="G27" i="111"/>
  <c r="G33" i="111" s="1"/>
  <c r="G36" i="111" s="1"/>
  <c r="G39" i="111" s="1"/>
  <c r="G44" i="142"/>
  <c r="H44" i="142"/>
  <c r="F44" i="142"/>
  <c r="H27" i="120"/>
  <c r="F27" i="120"/>
  <c r="G27" i="120"/>
  <c r="G44" i="141"/>
  <c r="H44" i="141"/>
  <c r="F44" i="141"/>
  <c r="G44" i="121"/>
  <c r="H44" i="121"/>
  <c r="F25" i="122"/>
  <c r="H25" i="122"/>
  <c r="G44" i="137"/>
  <c r="H44" i="137"/>
  <c r="F44" i="137"/>
  <c r="G32" i="139"/>
  <c r="H32" i="139"/>
  <c r="F32" i="139"/>
  <c r="H25" i="143"/>
  <c r="G25" i="143"/>
  <c r="E33" i="143"/>
  <c r="E36" i="143" s="1"/>
  <c r="E39" i="143" s="1"/>
  <c r="F25" i="143"/>
  <c r="H27" i="114"/>
  <c r="F27" i="114"/>
  <c r="G27" i="114"/>
  <c r="G33" i="114" s="1"/>
  <c r="G36" i="114" s="1"/>
  <c r="G39" i="114" s="1"/>
  <c r="G45" i="114" s="1"/>
  <c r="H27" i="122"/>
  <c r="G27" i="122"/>
  <c r="F27" i="122"/>
  <c r="H27" i="123"/>
  <c r="G27" i="123"/>
  <c r="F27" i="123"/>
  <c r="H35" i="126"/>
  <c r="F35" i="126"/>
  <c r="G35" i="126"/>
  <c r="H27" i="140"/>
  <c r="G27" i="140"/>
  <c r="F27" i="140"/>
  <c r="H44" i="139"/>
  <c r="G44" i="139"/>
  <c r="F44" i="139"/>
  <c r="H32" i="121"/>
  <c r="G32" i="121"/>
  <c r="G32" i="142"/>
  <c r="H32" i="142"/>
  <c r="F32" i="142"/>
  <c r="E33" i="141"/>
  <c r="E36" i="141" s="1"/>
  <c r="E39" i="141" s="1"/>
  <c r="H25" i="141"/>
  <c r="F25" i="141"/>
  <c r="G25" i="141"/>
  <c r="F27" i="113"/>
  <c r="G27" i="113"/>
  <c r="G33" i="113" s="1"/>
  <c r="G36" i="113" s="1"/>
  <c r="G39" i="113" s="1"/>
  <c r="G48" i="113" s="1"/>
  <c r="H27" i="113"/>
  <c r="H27" i="121"/>
  <c r="H33" i="121" s="1"/>
  <c r="H36" i="121" s="1"/>
  <c r="H39" i="121" s="1"/>
  <c r="F27" i="121"/>
  <c r="G27" i="121"/>
  <c r="F27" i="104"/>
  <c r="F33" i="104" s="1"/>
  <c r="F36" i="104" s="1"/>
  <c r="F39" i="104" s="1"/>
  <c r="F44" i="98"/>
  <c r="G27" i="1"/>
  <c r="H27" i="1"/>
  <c r="H33" i="1" s="1"/>
  <c r="H47" i="98"/>
  <c r="G47" i="98"/>
  <c r="F47" i="98"/>
  <c r="H27" i="136"/>
  <c r="G27" i="136"/>
  <c r="F27" i="136"/>
  <c r="H44" i="136"/>
  <c r="G44" i="136"/>
  <c r="F44" i="136"/>
  <c r="H27" i="106"/>
  <c r="H33" i="106" s="1"/>
  <c r="H36" i="106" s="1"/>
  <c r="H39" i="106" s="1"/>
  <c r="F27" i="106"/>
  <c r="G27" i="106"/>
  <c r="H41" i="136"/>
  <c r="F41" i="136"/>
  <c r="G41" i="136"/>
  <c r="G25" i="98"/>
  <c r="H25" i="98"/>
  <c r="H33" i="98" s="1"/>
  <c r="H36" i="98" s="1"/>
  <c r="H39" i="98" s="1"/>
  <c r="G27" i="101"/>
  <c r="H27" i="101"/>
  <c r="H33" i="101" s="1"/>
  <c r="H36" i="101" s="1"/>
  <c r="H39" i="101" s="1"/>
  <c r="H48" i="101" s="1"/>
  <c r="F44" i="1"/>
  <c r="H44" i="1"/>
  <c r="H25" i="136"/>
  <c r="G25" i="136"/>
  <c r="E33" i="136"/>
  <c r="E36" i="136" s="1"/>
  <c r="E39" i="136" s="1"/>
  <c r="F25" i="136"/>
  <c r="H25" i="109"/>
  <c r="H33" i="109" s="1"/>
  <c r="H36" i="109" s="1"/>
  <c r="H39" i="109" s="1"/>
  <c r="G25" i="106"/>
  <c r="E37" i="135"/>
  <c r="H37" i="135"/>
  <c r="F25" i="113"/>
  <c r="E33" i="131"/>
  <c r="E36" i="131" s="1"/>
  <c r="E39" i="131" s="1"/>
  <c r="F44" i="122"/>
  <c r="F47" i="104"/>
  <c r="F41" i="109"/>
  <c r="F41" i="111"/>
  <c r="F25" i="98"/>
  <c r="F41" i="106"/>
  <c r="G41" i="106"/>
  <c r="F47" i="101"/>
  <c r="E33" i="111"/>
  <c r="E36" i="111" s="1"/>
  <c r="E39" i="111" s="1"/>
  <c r="F25" i="111"/>
  <c r="G44" i="98"/>
  <c r="F25" i="101"/>
  <c r="H25" i="110"/>
  <c r="H33" i="110" s="1"/>
  <c r="H36" i="110" s="1"/>
  <c r="H39" i="110" s="1"/>
  <c r="H45" i="110" s="1"/>
  <c r="H25" i="111"/>
  <c r="F41" i="114"/>
  <c r="F47" i="122"/>
  <c r="G47" i="100"/>
  <c r="F41" i="131"/>
  <c r="F25" i="131"/>
  <c r="F33" i="131" s="1"/>
  <c r="F36" i="131" s="1"/>
  <c r="F39" i="131" s="1"/>
  <c r="G25" i="131"/>
  <c r="G33" i="131" s="1"/>
  <c r="G36" i="131" s="1"/>
  <c r="G39" i="131" s="1"/>
  <c r="H47" i="104"/>
  <c r="F25" i="110"/>
  <c r="F33" i="110" s="1"/>
  <c r="F36" i="110" s="1"/>
  <c r="F39" i="110" s="1"/>
  <c r="H41" i="111"/>
  <c r="H25" i="113"/>
  <c r="G44" i="100"/>
  <c r="E33" i="110"/>
  <c r="E36" i="110" s="1"/>
  <c r="E39" i="110" s="1"/>
  <c r="H44" i="100"/>
  <c r="G25" i="101"/>
  <c r="E33" i="113"/>
  <c r="E36" i="113" s="1"/>
  <c r="E39" i="113" s="1"/>
  <c r="F41" i="121"/>
  <c r="F41" i="123"/>
  <c r="G41" i="131"/>
  <c r="H41" i="109"/>
  <c r="F41" i="126"/>
  <c r="F44" i="131"/>
  <c r="G44" i="131"/>
  <c r="H44" i="109"/>
  <c r="E33" i="112"/>
  <c r="E36" i="112" s="1"/>
  <c r="E39" i="112" s="1"/>
  <c r="F44" i="126"/>
  <c r="F44" i="112"/>
  <c r="H41" i="104"/>
  <c r="H44" i="113"/>
  <c r="F41" i="108"/>
  <c r="F25" i="100"/>
  <c r="F33" i="100" s="1"/>
  <c r="F36" i="100" s="1"/>
  <c r="F39" i="100" s="1"/>
  <c r="F48" i="100" s="1"/>
  <c r="F44" i="113"/>
  <c r="H44" i="108"/>
  <c r="G25" i="121"/>
  <c r="G44" i="108"/>
  <c r="F44" i="101"/>
  <c r="F41" i="104"/>
  <c r="H41" i="112"/>
  <c r="H41" i="113"/>
  <c r="H41" i="108"/>
  <c r="E33" i="100"/>
  <c r="E36" i="100" s="1"/>
  <c r="E39" i="100" s="1"/>
  <c r="F27" i="1"/>
  <c r="H44" i="112"/>
  <c r="F44" i="120"/>
  <c r="G27" i="98"/>
  <c r="F41" i="113"/>
  <c r="F44" i="114"/>
  <c r="F47" i="109"/>
  <c r="F25" i="112"/>
  <c r="E33" i="114"/>
  <c r="E36" i="114" s="1"/>
  <c r="E39" i="114" s="1"/>
  <c r="G25" i="104"/>
  <c r="G33" i="104" s="1"/>
  <c r="G36" i="104" s="1"/>
  <c r="G39" i="104" s="1"/>
  <c r="G45" i="104" s="1"/>
  <c r="F44" i="104"/>
  <c r="H47" i="109"/>
  <c r="F44" i="110"/>
  <c r="G44" i="110"/>
  <c r="H47" i="112"/>
  <c r="H25" i="112"/>
  <c r="F47" i="113"/>
  <c r="H25" i="114"/>
  <c r="F44" i="121"/>
  <c r="G25" i="123"/>
  <c r="E33" i="104"/>
  <c r="E36" i="104" s="1"/>
  <c r="E39" i="104" s="1"/>
  <c r="E33" i="101"/>
  <c r="E36" i="101" s="1"/>
  <c r="E39" i="101" s="1"/>
  <c r="E33" i="122"/>
  <c r="E36" i="122" s="1"/>
  <c r="E39" i="122" s="1"/>
  <c r="E33" i="98"/>
  <c r="E36" i="98" s="1"/>
  <c r="E39" i="98" s="1"/>
  <c r="F28" i="148" s="1"/>
  <c r="R28" i="148" s="1"/>
  <c r="G44" i="1"/>
  <c r="H41" i="114"/>
  <c r="F25" i="114"/>
  <c r="H47" i="100"/>
  <c r="F27" i="98"/>
  <c r="F41" i="101"/>
  <c r="F27" i="101"/>
  <c r="H44" i="104"/>
  <c r="E33" i="106"/>
  <c r="E36" i="106" s="1"/>
  <c r="E39" i="106" s="1"/>
  <c r="F32" i="148" s="1"/>
  <c r="R32" i="148" s="1"/>
  <c r="F44" i="109"/>
  <c r="F47" i="110"/>
  <c r="H47" i="113"/>
  <c r="H47" i="108"/>
  <c r="E33" i="120"/>
  <c r="E36" i="120" s="1"/>
  <c r="E39" i="120" s="1"/>
  <c r="E48" i="108"/>
  <c r="H34" i="148" s="1"/>
  <c r="G47" i="108"/>
  <c r="F25" i="106"/>
  <c r="G25" i="108"/>
  <c r="G33" i="108" s="1"/>
  <c r="G36" i="108" s="1"/>
  <c r="G39" i="108" s="1"/>
  <c r="F25" i="108"/>
  <c r="F33" i="108" s="1"/>
  <c r="F36" i="108" s="1"/>
  <c r="F39" i="108" s="1"/>
  <c r="F48" i="108" s="1"/>
  <c r="F41" i="120"/>
  <c r="G41" i="120"/>
  <c r="G25" i="122"/>
  <c r="G27" i="100"/>
  <c r="G33" i="100" s="1"/>
  <c r="G36" i="100" s="1"/>
  <c r="G39" i="100" s="1"/>
  <c r="H27" i="100"/>
  <c r="E33" i="1"/>
  <c r="H41" i="100"/>
  <c r="G25" i="1"/>
  <c r="F44" i="111"/>
  <c r="F25" i="120"/>
  <c r="E33" i="121"/>
  <c r="E36" i="121" s="1"/>
  <c r="E39" i="121" s="1"/>
  <c r="F44" i="106"/>
  <c r="G44" i="106"/>
  <c r="F25" i="1"/>
  <c r="H25" i="104"/>
  <c r="G47" i="110"/>
  <c r="F47" i="112"/>
  <c r="F41" i="112"/>
  <c r="H25" i="108"/>
  <c r="H33" i="108" s="1"/>
  <c r="H36" i="108" s="1"/>
  <c r="H39" i="108" s="1"/>
  <c r="G25" i="120"/>
  <c r="F47" i="121"/>
  <c r="F25" i="126"/>
  <c r="E33" i="123"/>
  <c r="E36" i="123" s="1"/>
  <c r="E39" i="123" s="1"/>
  <c r="G41" i="100"/>
  <c r="G44" i="101"/>
  <c r="H44" i="111"/>
  <c r="H44" i="114"/>
  <c r="F44" i="123"/>
  <c r="E33" i="126"/>
  <c r="E36" i="126" s="1"/>
  <c r="E39" i="126" s="1"/>
  <c r="E45" i="108"/>
  <c r="G34" i="148" s="1"/>
  <c r="F41" i="98"/>
  <c r="G33" i="109"/>
  <c r="G36" i="109" s="1"/>
  <c r="G39" i="109" s="1"/>
  <c r="G48" i="109" s="1"/>
  <c r="G33" i="110"/>
  <c r="G36" i="110" s="1"/>
  <c r="G39" i="110" s="1"/>
  <c r="G41" i="1"/>
  <c r="F41" i="1"/>
  <c r="F47" i="1"/>
  <c r="G47" i="1"/>
  <c r="F8" i="97"/>
  <c r="G5" i="97"/>
  <c r="G8" i="97"/>
  <c r="F6" i="97"/>
  <c r="G4" i="97"/>
  <c r="F4" i="97"/>
  <c r="H33" i="146" l="1"/>
  <c r="H36" i="146" s="1"/>
  <c r="H39" i="146" s="1"/>
  <c r="G33" i="146"/>
  <c r="G36" i="146" s="1"/>
  <c r="G39" i="146" s="1"/>
  <c r="G48" i="146" s="1"/>
  <c r="F48" i="148"/>
  <c r="R48" i="148" s="1"/>
  <c r="I39" i="122"/>
  <c r="E48" i="148" s="1"/>
  <c r="Q48" i="148" s="1"/>
  <c r="E45" i="143"/>
  <c r="H56" i="148" s="1"/>
  <c r="F56" i="148"/>
  <c r="R56" i="148" s="1"/>
  <c r="I39" i="143"/>
  <c r="E56" i="148" s="1"/>
  <c r="Q56" i="148" s="1"/>
  <c r="E45" i="139"/>
  <c r="H50" i="148" s="1"/>
  <c r="I39" i="139"/>
  <c r="E50" i="148" s="1"/>
  <c r="Q50" i="148" s="1"/>
  <c r="F50" i="148"/>
  <c r="R50" i="148" s="1"/>
  <c r="E45" i="140"/>
  <c r="F53" i="148"/>
  <c r="R53" i="148" s="1"/>
  <c r="I39" i="140"/>
  <c r="E53" i="148" s="1"/>
  <c r="Q53" i="148" s="1"/>
  <c r="G45" i="144"/>
  <c r="G48" i="144"/>
  <c r="F59" i="148"/>
  <c r="R59" i="148" s="1"/>
  <c r="I39" i="144"/>
  <c r="E59" i="148" s="1"/>
  <c r="Q59" i="148" s="1"/>
  <c r="E48" i="144"/>
  <c r="H59" i="148" s="1"/>
  <c r="E45" i="144"/>
  <c r="G59" i="148" s="1"/>
  <c r="G45" i="146"/>
  <c r="I39" i="146"/>
  <c r="E61" i="148" s="1"/>
  <c r="Q61" i="148" s="1"/>
  <c r="F61" i="148"/>
  <c r="R61" i="148" s="1"/>
  <c r="E45" i="146"/>
  <c r="G61" i="148" s="1"/>
  <c r="E48" i="146"/>
  <c r="H61" i="148" s="1"/>
  <c r="H45" i="145"/>
  <c r="H48" i="145"/>
  <c r="I39" i="145"/>
  <c r="E60" i="148" s="1"/>
  <c r="Q60" i="148" s="1"/>
  <c r="F60" i="148"/>
  <c r="R60" i="148" s="1"/>
  <c r="E45" i="145"/>
  <c r="G60" i="148" s="1"/>
  <c r="E48" i="145"/>
  <c r="H60" i="148" s="1"/>
  <c r="I36" i="126"/>
  <c r="E52" i="148" s="1"/>
  <c r="Q52" i="148" s="1"/>
  <c r="F52" i="148"/>
  <c r="R52" i="148" s="1"/>
  <c r="E48" i="123"/>
  <c r="H49" i="148" s="1"/>
  <c r="F49" i="148"/>
  <c r="R49" i="148" s="1"/>
  <c r="I39" i="123"/>
  <c r="E49" i="148" s="1"/>
  <c r="Q49" i="148" s="1"/>
  <c r="F47" i="148"/>
  <c r="R47" i="148" s="1"/>
  <c r="I39" i="121"/>
  <c r="E47" i="148" s="1"/>
  <c r="Q47" i="148" s="1"/>
  <c r="F46" i="148"/>
  <c r="R46" i="148" s="1"/>
  <c r="I39" i="120"/>
  <c r="E46" i="148" s="1"/>
  <c r="Q46" i="148" s="1"/>
  <c r="I39" i="131"/>
  <c r="E58" i="148" s="1"/>
  <c r="Q58" i="148" s="1"/>
  <c r="F58" i="148"/>
  <c r="R58" i="148" s="1"/>
  <c r="E45" i="141"/>
  <c r="I39" i="141"/>
  <c r="E54" i="148" s="1"/>
  <c r="Q54" i="148" s="1"/>
  <c r="F54" i="148"/>
  <c r="R54" i="148" s="1"/>
  <c r="E45" i="142"/>
  <c r="F55" i="148"/>
  <c r="R55" i="148" s="1"/>
  <c r="I39" i="142"/>
  <c r="E55" i="148" s="1"/>
  <c r="Q55" i="148" s="1"/>
  <c r="H45" i="144"/>
  <c r="H48" i="144"/>
  <c r="F45" i="144"/>
  <c r="F48" i="144"/>
  <c r="F45" i="146"/>
  <c r="F48" i="146"/>
  <c r="H45" i="146"/>
  <c r="H48" i="146"/>
  <c r="F48" i="145"/>
  <c r="F45" i="145"/>
  <c r="G45" i="145"/>
  <c r="G48" i="145"/>
  <c r="E48" i="104"/>
  <c r="H30" i="148" s="1"/>
  <c r="F30" i="148"/>
  <c r="R30" i="148" s="1"/>
  <c r="E48" i="114"/>
  <c r="G43" i="148" s="1"/>
  <c r="I39" i="114"/>
  <c r="E43" i="148" s="1"/>
  <c r="Q43" i="148" s="1"/>
  <c r="E48" i="113"/>
  <c r="H42" i="148" s="1"/>
  <c r="F42" i="148"/>
  <c r="R42" i="148" s="1"/>
  <c r="I39" i="113"/>
  <c r="E42" i="148" s="1"/>
  <c r="Q42" i="148" s="1"/>
  <c r="F40" i="148"/>
  <c r="R39" i="148" s="1"/>
  <c r="I39" i="111"/>
  <c r="E40" i="148" s="1"/>
  <c r="Q40" i="148" s="1"/>
  <c r="E48" i="109"/>
  <c r="H35" i="148" s="1"/>
  <c r="F35" i="148"/>
  <c r="R35" i="148" s="1"/>
  <c r="E45" i="101"/>
  <c r="G29" i="148" s="1"/>
  <c r="F29" i="148"/>
  <c r="R29" i="148" s="1"/>
  <c r="E48" i="100"/>
  <c r="H44" i="148" s="1"/>
  <c r="F44" i="148"/>
  <c r="R44" i="148" s="1"/>
  <c r="I39" i="100"/>
  <c r="E44" i="148" s="1"/>
  <c r="Q44" i="148" s="1"/>
  <c r="E45" i="112"/>
  <c r="F41" i="148" s="1"/>
  <c r="R41" i="148" s="1"/>
  <c r="I39" i="112"/>
  <c r="E41" i="148" s="1"/>
  <c r="Q41" i="148" s="1"/>
  <c r="E45" i="110"/>
  <c r="G36" i="148" s="1"/>
  <c r="F36" i="148"/>
  <c r="R36" i="148" s="1"/>
  <c r="E45" i="137"/>
  <c r="G33" i="148" s="1"/>
  <c r="F33" i="148"/>
  <c r="R33" i="148" s="1"/>
  <c r="T34" i="148"/>
  <c r="J34" i="148"/>
  <c r="V34" i="148" s="1"/>
  <c r="N34" i="148"/>
  <c r="Z34" i="148" s="1"/>
  <c r="P34" i="148"/>
  <c r="AB34" i="148" s="1"/>
  <c r="L34" i="148"/>
  <c r="X34" i="148" s="1"/>
  <c r="S34" i="148"/>
  <c r="O34" i="148"/>
  <c r="AA34" i="148" s="1"/>
  <c r="K34" i="148"/>
  <c r="W34" i="148" s="1"/>
  <c r="I34" i="148"/>
  <c r="U34" i="148" s="1"/>
  <c r="M34" i="148"/>
  <c r="Y34" i="148" s="1"/>
  <c r="F26" i="148"/>
  <c r="R26" i="148" s="1"/>
  <c r="E48" i="136"/>
  <c r="H26" i="148" s="1"/>
  <c r="G33" i="141"/>
  <c r="G36" i="141" s="1"/>
  <c r="G39" i="141" s="1"/>
  <c r="G45" i="141" s="1"/>
  <c r="G49" i="141" s="1"/>
  <c r="H33" i="100"/>
  <c r="H36" i="100" s="1"/>
  <c r="H39" i="100" s="1"/>
  <c r="H48" i="100" s="1"/>
  <c r="H33" i="114"/>
  <c r="H36" i="114" s="1"/>
  <c r="H39" i="114" s="1"/>
  <c r="H45" i="114" s="1"/>
  <c r="G33" i="106"/>
  <c r="G36" i="106" s="1"/>
  <c r="G39" i="106" s="1"/>
  <c r="G45" i="106" s="1"/>
  <c r="F33" i="139"/>
  <c r="F36" i="139" s="1"/>
  <c r="F39" i="139" s="1"/>
  <c r="F45" i="139" s="1"/>
  <c r="H33" i="111"/>
  <c r="H36" i="111" s="1"/>
  <c r="H39" i="111" s="1"/>
  <c r="H45" i="111" s="1"/>
  <c r="H33" i="126"/>
  <c r="H36" i="126" s="1"/>
  <c r="H39" i="126" s="1"/>
  <c r="H45" i="126" s="1"/>
  <c r="G33" i="126"/>
  <c r="G36" i="126" s="1"/>
  <c r="G39" i="126" s="1"/>
  <c r="G45" i="126" s="1"/>
  <c r="H33" i="112"/>
  <c r="H36" i="112" s="1"/>
  <c r="H39" i="112" s="1"/>
  <c r="H45" i="112" s="1"/>
  <c r="I45" i="112" s="1"/>
  <c r="F33" i="135"/>
  <c r="F39" i="135" s="1"/>
  <c r="E45" i="109"/>
  <c r="G35" i="148" s="1"/>
  <c r="G33" i="101"/>
  <c r="G36" i="101" s="1"/>
  <c r="G39" i="101" s="1"/>
  <c r="G45" i="101" s="1"/>
  <c r="G33" i="135"/>
  <c r="G39" i="135" s="1"/>
  <c r="F33" i="123"/>
  <c r="F36" i="123" s="1"/>
  <c r="F39" i="123" s="1"/>
  <c r="F45" i="123" s="1"/>
  <c r="F33" i="141"/>
  <c r="F36" i="141" s="1"/>
  <c r="F39" i="141" s="1"/>
  <c r="F45" i="141" s="1"/>
  <c r="F49" i="141" s="1"/>
  <c r="F33" i="122"/>
  <c r="F36" i="122" s="1"/>
  <c r="F39" i="122" s="1"/>
  <c r="F45" i="122" s="1"/>
  <c r="H33" i="104"/>
  <c r="H36" i="104" s="1"/>
  <c r="H39" i="104" s="1"/>
  <c r="H45" i="104" s="1"/>
  <c r="F33" i="121"/>
  <c r="F36" i="121" s="1"/>
  <c r="F39" i="121" s="1"/>
  <c r="F48" i="121" s="1"/>
  <c r="H45" i="131"/>
  <c r="F33" i="120"/>
  <c r="F36" i="120" s="1"/>
  <c r="F39" i="120" s="1"/>
  <c r="F45" i="120" s="1"/>
  <c r="G33" i="123"/>
  <c r="G36" i="123" s="1"/>
  <c r="G39" i="123" s="1"/>
  <c r="G48" i="123" s="1"/>
  <c r="G33" i="121"/>
  <c r="G36" i="121" s="1"/>
  <c r="G39" i="121" s="1"/>
  <c r="G45" i="121" s="1"/>
  <c r="G33" i="143"/>
  <c r="G36" i="143" s="1"/>
  <c r="G39" i="143" s="1"/>
  <c r="G45" i="143" s="1"/>
  <c r="H33" i="122"/>
  <c r="H36" i="122" s="1"/>
  <c r="H39" i="122" s="1"/>
  <c r="H45" i="122" s="1"/>
  <c r="H33" i="139"/>
  <c r="H36" i="139" s="1"/>
  <c r="H39" i="139" s="1"/>
  <c r="H45" i="139" s="1"/>
  <c r="F33" i="142"/>
  <c r="F36" i="142" s="1"/>
  <c r="F39" i="142" s="1"/>
  <c r="F45" i="142" s="1"/>
  <c r="F49" i="142" s="1"/>
  <c r="G45" i="137"/>
  <c r="H33" i="120"/>
  <c r="H36" i="120" s="1"/>
  <c r="H39" i="120" s="1"/>
  <c r="H45" i="120" s="1"/>
  <c r="H33" i="123"/>
  <c r="H36" i="123" s="1"/>
  <c r="H39" i="123" s="1"/>
  <c r="H48" i="123" s="1"/>
  <c r="F33" i="126"/>
  <c r="F36" i="126" s="1"/>
  <c r="F39" i="126" s="1"/>
  <c r="F45" i="126" s="1"/>
  <c r="F33" i="106"/>
  <c r="F36" i="106" s="1"/>
  <c r="F39" i="106" s="1"/>
  <c r="F45" i="106" s="1"/>
  <c r="F33" i="113"/>
  <c r="F36" i="113" s="1"/>
  <c r="F39" i="113" s="1"/>
  <c r="F45" i="113" s="1"/>
  <c r="F33" i="136"/>
  <c r="F36" i="136" s="1"/>
  <c r="F39" i="136" s="1"/>
  <c r="F48" i="136" s="1"/>
  <c r="H48" i="98"/>
  <c r="H33" i="141"/>
  <c r="H36" i="141" s="1"/>
  <c r="H39" i="141" s="1"/>
  <c r="H45" i="141" s="1"/>
  <c r="H49" i="141" s="1"/>
  <c r="F45" i="138"/>
  <c r="F48" i="138"/>
  <c r="G48" i="138"/>
  <c r="G45" i="138"/>
  <c r="H45" i="138"/>
  <c r="H48" i="138"/>
  <c r="G33" i="122"/>
  <c r="G36" i="122" s="1"/>
  <c r="G39" i="122" s="1"/>
  <c r="G48" i="122" s="1"/>
  <c r="F33" i="114"/>
  <c r="F36" i="114" s="1"/>
  <c r="F39" i="114" s="1"/>
  <c r="F48" i="114" s="1"/>
  <c r="F33" i="111"/>
  <c r="F36" i="111" s="1"/>
  <c r="F39" i="111" s="1"/>
  <c r="F45" i="111" s="1"/>
  <c r="H33" i="136"/>
  <c r="H36" i="136" s="1"/>
  <c r="H39" i="136" s="1"/>
  <c r="F33" i="140"/>
  <c r="F36" i="140" s="1"/>
  <c r="F39" i="140" s="1"/>
  <c r="F45" i="140" s="1"/>
  <c r="F49" i="140" s="1"/>
  <c r="F33" i="143"/>
  <c r="F36" i="143" s="1"/>
  <c r="F39" i="143" s="1"/>
  <c r="F45" i="143" s="1"/>
  <c r="G33" i="139"/>
  <c r="G36" i="139" s="1"/>
  <c r="G39" i="139" s="1"/>
  <c r="G45" i="139" s="1"/>
  <c r="H33" i="142"/>
  <c r="H36" i="142" s="1"/>
  <c r="H39" i="142" s="1"/>
  <c r="H45" i="142" s="1"/>
  <c r="H49" i="142" s="1"/>
  <c r="H45" i="137"/>
  <c r="H33" i="140"/>
  <c r="H36" i="140" s="1"/>
  <c r="H39" i="140" s="1"/>
  <c r="H45" i="140" s="1"/>
  <c r="H49" i="140" s="1"/>
  <c r="E48" i="138"/>
  <c r="H37" i="148" s="1"/>
  <c r="E45" i="138"/>
  <c r="G37" i="148" s="1"/>
  <c r="H33" i="113"/>
  <c r="H36" i="113" s="1"/>
  <c r="H39" i="113" s="1"/>
  <c r="H48" i="113" s="1"/>
  <c r="G33" i="120"/>
  <c r="G36" i="120" s="1"/>
  <c r="G39" i="120" s="1"/>
  <c r="G45" i="120" s="1"/>
  <c r="F33" i="112"/>
  <c r="F36" i="112" s="1"/>
  <c r="F39" i="112" s="1"/>
  <c r="F48" i="112" s="1"/>
  <c r="H33" i="143"/>
  <c r="H36" i="143" s="1"/>
  <c r="H39" i="143" s="1"/>
  <c r="H45" i="143" s="1"/>
  <c r="I45" i="143" s="1"/>
  <c r="G33" i="142"/>
  <c r="G36" i="142" s="1"/>
  <c r="G39" i="142" s="1"/>
  <c r="G45" i="142" s="1"/>
  <c r="G49" i="142" s="1"/>
  <c r="F45" i="137"/>
  <c r="G33" i="140"/>
  <c r="G36" i="140" s="1"/>
  <c r="G39" i="140" s="1"/>
  <c r="G45" i="140" s="1"/>
  <c r="G49" i="140" s="1"/>
  <c r="E45" i="136"/>
  <c r="G26" i="148" s="1"/>
  <c r="G33" i="1"/>
  <c r="G36" i="1" s="1"/>
  <c r="G39" i="1" s="1"/>
  <c r="G45" i="1" s="1"/>
  <c r="G33" i="98"/>
  <c r="G36" i="98" s="1"/>
  <c r="G39" i="98" s="1"/>
  <c r="G45" i="98" s="1"/>
  <c r="G33" i="136"/>
  <c r="G36" i="136" s="1"/>
  <c r="G39" i="136" s="1"/>
  <c r="G48" i="136" s="1"/>
  <c r="E48" i="110"/>
  <c r="H36" i="148" s="1"/>
  <c r="E45" i="98"/>
  <c r="G28" i="148" s="1"/>
  <c r="E48" i="98"/>
  <c r="H28" i="148" s="1"/>
  <c r="G37" i="135"/>
  <c r="F37" i="135"/>
  <c r="E45" i="113"/>
  <c r="G42" i="148" s="1"/>
  <c r="G45" i="108"/>
  <c r="E45" i="131"/>
  <c r="G58" i="148" s="1"/>
  <c r="F33" i="101"/>
  <c r="F36" i="101" s="1"/>
  <c r="F39" i="101" s="1"/>
  <c r="F45" i="101" s="1"/>
  <c r="E45" i="111"/>
  <c r="G40" i="148" s="1"/>
  <c r="H45" i="98"/>
  <c r="F33" i="1"/>
  <c r="E48" i="112"/>
  <c r="G41" i="148" s="1"/>
  <c r="F33" i="98"/>
  <c r="F36" i="98" s="1"/>
  <c r="F39" i="98" s="1"/>
  <c r="E45" i="114"/>
  <c r="F43" i="148" s="1"/>
  <c r="R43" i="148" s="1"/>
  <c r="E48" i="101"/>
  <c r="H29" i="148" s="1"/>
  <c r="G48" i="100"/>
  <c r="G45" i="109"/>
  <c r="G48" i="104"/>
  <c r="G45" i="113"/>
  <c r="E45" i="100"/>
  <c r="G44" i="148" s="1"/>
  <c r="F45" i="108"/>
  <c r="H45" i="121"/>
  <c r="E45" i="120"/>
  <c r="G46" i="148" s="1"/>
  <c r="H45" i="106"/>
  <c r="E45" i="122"/>
  <c r="G48" i="148" s="1"/>
  <c r="E48" i="122"/>
  <c r="H48" i="148" s="1"/>
  <c r="E45" i="104"/>
  <c r="G30" i="148" s="1"/>
  <c r="E45" i="106"/>
  <c r="G32" i="148" s="1"/>
  <c r="E45" i="123"/>
  <c r="G49" i="148" s="1"/>
  <c r="G45" i="111"/>
  <c r="F45" i="100"/>
  <c r="G48" i="108"/>
  <c r="E45" i="121"/>
  <c r="G47" i="148" s="1"/>
  <c r="E48" i="121"/>
  <c r="H47" i="148" s="1"/>
  <c r="E45" i="126"/>
  <c r="G52" i="148" s="1"/>
  <c r="H48" i="110"/>
  <c r="H48" i="121"/>
  <c r="G45" i="112"/>
  <c r="G48" i="114"/>
  <c r="F45" i="131"/>
  <c r="G45" i="131"/>
  <c r="H45" i="108"/>
  <c r="I45" i="108" s="1"/>
  <c r="H48" i="108"/>
  <c r="F48" i="110"/>
  <c r="F45" i="110"/>
  <c r="G48" i="110"/>
  <c r="G45" i="110"/>
  <c r="H48" i="109"/>
  <c r="H45" i="109"/>
  <c r="F48" i="109"/>
  <c r="F45" i="109"/>
  <c r="F48" i="104"/>
  <c r="F45" i="104"/>
  <c r="H45" i="101"/>
  <c r="G45" i="100"/>
  <c r="AD55" i="70"/>
  <c r="AD62" i="70"/>
  <c r="AD61" i="70"/>
  <c r="AD27" i="70"/>
  <c r="AD48" i="70"/>
  <c r="AD41" i="70"/>
  <c r="AD40" i="70"/>
  <c r="AD34" i="70"/>
  <c r="I45" i="139" l="1"/>
  <c r="E49" i="140"/>
  <c r="H53" i="148" s="1"/>
  <c r="G53" i="148"/>
  <c r="T56" i="148"/>
  <c r="J56" i="148"/>
  <c r="V56" i="148" s="1"/>
  <c r="P56" i="148"/>
  <c r="AB56" i="148" s="1"/>
  <c r="L56" i="148"/>
  <c r="X56" i="148" s="1"/>
  <c r="N56" i="148"/>
  <c r="Z56" i="148" s="1"/>
  <c r="L47" i="148"/>
  <c r="X47" i="148" s="1"/>
  <c r="J47" i="148"/>
  <c r="V47" i="148" s="1"/>
  <c r="T47" i="148"/>
  <c r="N47" i="148"/>
  <c r="Z47" i="148" s="1"/>
  <c r="P47" i="148"/>
  <c r="AB47" i="148" s="1"/>
  <c r="T48" i="148"/>
  <c r="P48" i="148"/>
  <c r="AB48" i="148" s="1"/>
  <c r="J48" i="148"/>
  <c r="V48" i="148" s="1"/>
  <c r="L48" i="148"/>
  <c r="X48" i="148" s="1"/>
  <c r="N48" i="148"/>
  <c r="Z48" i="148" s="1"/>
  <c r="E49" i="141"/>
  <c r="H54" i="148" s="1"/>
  <c r="G54" i="148"/>
  <c r="P60" i="148"/>
  <c r="AB60" i="148" s="1"/>
  <c r="L60" i="148"/>
  <c r="X60" i="148" s="1"/>
  <c r="T60" i="148"/>
  <c r="N60" i="148"/>
  <c r="Z60" i="148" s="1"/>
  <c r="J60" i="148"/>
  <c r="V60" i="148" s="1"/>
  <c r="T61" i="148"/>
  <c r="N61" i="148"/>
  <c r="Z61" i="148" s="1"/>
  <c r="J61" i="148"/>
  <c r="V61" i="148" s="1"/>
  <c r="P61" i="148"/>
  <c r="AB61" i="148" s="1"/>
  <c r="L61" i="148"/>
  <c r="X61" i="148" s="1"/>
  <c r="S59" i="148"/>
  <c r="O59" i="148"/>
  <c r="AA59" i="148" s="1"/>
  <c r="K59" i="148"/>
  <c r="W59" i="148" s="1"/>
  <c r="M59" i="148"/>
  <c r="Y59" i="148" s="1"/>
  <c r="I59" i="148"/>
  <c r="U59" i="148" s="1"/>
  <c r="S52" i="148"/>
  <c r="I52" i="148"/>
  <c r="U52" i="148" s="1"/>
  <c r="M52" i="148"/>
  <c r="Y52" i="148" s="1"/>
  <c r="O52" i="148"/>
  <c r="AA52" i="148" s="1"/>
  <c r="K52" i="148"/>
  <c r="W52" i="148" s="1"/>
  <c r="S47" i="148"/>
  <c r="K47" i="148"/>
  <c r="W47" i="148" s="1"/>
  <c r="I47" i="148"/>
  <c r="U47" i="148" s="1"/>
  <c r="O47" i="148"/>
  <c r="AA47" i="148" s="1"/>
  <c r="M47" i="148"/>
  <c r="Y47" i="148" s="1"/>
  <c r="S49" i="148"/>
  <c r="M49" i="148"/>
  <c r="Y49" i="148" s="1"/>
  <c r="K49" i="148"/>
  <c r="W49" i="148" s="1"/>
  <c r="I49" i="148"/>
  <c r="U49" i="148" s="1"/>
  <c r="O49" i="148"/>
  <c r="AA49" i="148" s="1"/>
  <c r="K48" i="148"/>
  <c r="W48" i="148" s="1"/>
  <c r="M48" i="148"/>
  <c r="Y48" i="148" s="1"/>
  <c r="S48" i="148"/>
  <c r="I48" i="148"/>
  <c r="U48" i="148" s="1"/>
  <c r="O48" i="148"/>
  <c r="AA48" i="148" s="1"/>
  <c r="M46" i="148"/>
  <c r="Y46" i="148" s="1"/>
  <c r="K46" i="148"/>
  <c r="W46" i="148" s="1"/>
  <c r="I46" i="148"/>
  <c r="U46" i="148" s="1"/>
  <c r="S46" i="148"/>
  <c r="O46" i="148"/>
  <c r="AA46" i="148" s="1"/>
  <c r="S58" i="148"/>
  <c r="M58" i="148"/>
  <c r="Y58" i="148" s="1"/>
  <c r="I58" i="148"/>
  <c r="U58" i="148" s="1"/>
  <c r="O58" i="148"/>
  <c r="AA58" i="148" s="1"/>
  <c r="K58" i="148"/>
  <c r="W58" i="148" s="1"/>
  <c r="E49" i="142"/>
  <c r="H55" i="148" s="1"/>
  <c r="G55" i="148"/>
  <c r="P49" i="148"/>
  <c r="AB49" i="148" s="1"/>
  <c r="T49" i="148"/>
  <c r="N49" i="148"/>
  <c r="Z49" i="148" s="1"/>
  <c r="J49" i="148"/>
  <c r="V49" i="148" s="1"/>
  <c r="L49" i="148"/>
  <c r="X49" i="148" s="1"/>
  <c r="M60" i="148"/>
  <c r="Y60" i="148" s="1"/>
  <c r="I60" i="148"/>
  <c r="U60" i="148" s="1"/>
  <c r="S60" i="148"/>
  <c r="O60" i="148"/>
  <c r="AA60" i="148" s="1"/>
  <c r="K60" i="148"/>
  <c r="W60" i="148" s="1"/>
  <c r="O61" i="148"/>
  <c r="K61" i="148"/>
  <c r="M61" i="148"/>
  <c r="I61" i="148"/>
  <c r="N59" i="148"/>
  <c r="Z59" i="148" s="1"/>
  <c r="J59" i="148"/>
  <c r="V59" i="148" s="1"/>
  <c r="T59" i="148"/>
  <c r="P59" i="148"/>
  <c r="AB59" i="148" s="1"/>
  <c r="L59" i="148"/>
  <c r="X59" i="148" s="1"/>
  <c r="T50" i="148"/>
  <c r="L50" i="148"/>
  <c r="X50" i="148" s="1"/>
  <c r="N50" i="148"/>
  <c r="Z50" i="148" s="1"/>
  <c r="J50" i="148"/>
  <c r="V50" i="148" s="1"/>
  <c r="P50" i="148"/>
  <c r="AB50" i="148" s="1"/>
  <c r="M32" i="148"/>
  <c r="Y32" i="148" s="1"/>
  <c r="O32" i="148"/>
  <c r="AA32" i="148" s="1"/>
  <c r="S32" i="148"/>
  <c r="K32" i="148"/>
  <c r="W32" i="148" s="1"/>
  <c r="I32" i="148"/>
  <c r="U32" i="148" s="1"/>
  <c r="S44" i="148"/>
  <c r="I44" i="148"/>
  <c r="U44" i="148" s="1"/>
  <c r="M44" i="148"/>
  <c r="Y44" i="148" s="1"/>
  <c r="K44" i="148"/>
  <c r="W44" i="148" s="1"/>
  <c r="O44" i="148"/>
  <c r="AA44" i="148" s="1"/>
  <c r="S41" i="148"/>
  <c r="I41" i="148"/>
  <c r="U41" i="148" s="1"/>
  <c r="M41" i="148"/>
  <c r="Y41" i="148" s="1"/>
  <c r="K41" i="148"/>
  <c r="W41" i="148" s="1"/>
  <c r="O41" i="148"/>
  <c r="AA41" i="148" s="1"/>
  <c r="T28" i="148"/>
  <c r="J28" i="148"/>
  <c r="V28" i="148" s="1"/>
  <c r="L28" i="148"/>
  <c r="X28" i="148" s="1"/>
  <c r="N28" i="148"/>
  <c r="Z28" i="148" s="1"/>
  <c r="P28" i="148"/>
  <c r="AB28" i="148" s="1"/>
  <c r="T36" i="148"/>
  <c r="L36" i="148"/>
  <c r="X36" i="148" s="1"/>
  <c r="P36" i="148"/>
  <c r="AB36" i="148" s="1"/>
  <c r="J36" i="148"/>
  <c r="V36" i="148" s="1"/>
  <c r="N36" i="148"/>
  <c r="Z36" i="148" s="1"/>
  <c r="S37" i="148"/>
  <c r="K37" i="148"/>
  <c r="W37" i="148" s="1"/>
  <c r="O37" i="148"/>
  <c r="AA37" i="148" s="1"/>
  <c r="I37" i="148"/>
  <c r="U37" i="148" s="1"/>
  <c r="M37" i="148"/>
  <c r="Y37" i="148" s="1"/>
  <c r="S35" i="148"/>
  <c r="I35" i="148"/>
  <c r="U35" i="148" s="1"/>
  <c r="M35" i="148"/>
  <c r="Y35" i="148" s="1"/>
  <c r="K35" i="148"/>
  <c r="W35" i="148" s="1"/>
  <c r="O35" i="148"/>
  <c r="AA35" i="148" s="1"/>
  <c r="M33" i="148"/>
  <c r="Y33" i="148" s="1"/>
  <c r="O33" i="148"/>
  <c r="AA33" i="148" s="1"/>
  <c r="K33" i="148"/>
  <c r="W33" i="148" s="1"/>
  <c r="S33" i="148"/>
  <c r="I33" i="148"/>
  <c r="U33" i="148" s="1"/>
  <c r="S36" i="148"/>
  <c r="I36" i="148"/>
  <c r="U36" i="148" s="1"/>
  <c r="K36" i="148"/>
  <c r="W36" i="148" s="1"/>
  <c r="O36" i="148"/>
  <c r="AA36" i="148" s="1"/>
  <c r="M36" i="148"/>
  <c r="Y36" i="148" s="1"/>
  <c r="P42" i="148"/>
  <c r="AB42" i="148" s="1"/>
  <c r="T42" i="148"/>
  <c r="J42" i="148"/>
  <c r="V42" i="148" s="1"/>
  <c r="N42" i="148"/>
  <c r="Z42" i="148" s="1"/>
  <c r="L42" i="148"/>
  <c r="X42" i="148" s="1"/>
  <c r="O43" i="148"/>
  <c r="AA43" i="148" s="1"/>
  <c r="I43" i="148"/>
  <c r="U43" i="148" s="1"/>
  <c r="M43" i="148"/>
  <c r="Y43" i="148" s="1"/>
  <c r="S43" i="148"/>
  <c r="K43" i="148"/>
  <c r="W43" i="148" s="1"/>
  <c r="T30" i="148"/>
  <c r="J30" i="148"/>
  <c r="V30" i="148" s="1"/>
  <c r="L30" i="148"/>
  <c r="X30" i="148" s="1"/>
  <c r="N30" i="148"/>
  <c r="Z30" i="148" s="1"/>
  <c r="P30" i="148"/>
  <c r="AB30" i="148" s="1"/>
  <c r="S30" i="148"/>
  <c r="I30" i="148"/>
  <c r="U30" i="148" s="1"/>
  <c r="K30" i="148"/>
  <c r="W30" i="148" s="1"/>
  <c r="M30" i="148"/>
  <c r="Y30" i="148" s="1"/>
  <c r="O30" i="148"/>
  <c r="AA30" i="148" s="1"/>
  <c r="T29" i="148"/>
  <c r="L29" i="148"/>
  <c r="X29" i="148" s="1"/>
  <c r="P29" i="148"/>
  <c r="AB29" i="148" s="1"/>
  <c r="J29" i="148"/>
  <c r="V29" i="148" s="1"/>
  <c r="N29" i="148"/>
  <c r="Z29" i="148" s="1"/>
  <c r="S39" i="148"/>
  <c r="K40" i="148"/>
  <c r="W39" i="148" s="1"/>
  <c r="I40" i="148"/>
  <c r="U39" i="148" s="1"/>
  <c r="O40" i="148"/>
  <c r="AA39" i="148" s="1"/>
  <c r="M40" i="148"/>
  <c r="Y39" i="148" s="1"/>
  <c r="S42" i="148"/>
  <c r="K42" i="148"/>
  <c r="W42" i="148" s="1"/>
  <c r="O42" i="148"/>
  <c r="AA42" i="148" s="1"/>
  <c r="I42" i="148"/>
  <c r="U42" i="148" s="1"/>
  <c r="M42" i="148"/>
  <c r="Y42" i="148" s="1"/>
  <c r="S28" i="148"/>
  <c r="I28" i="148"/>
  <c r="U28" i="148" s="1"/>
  <c r="K28" i="148"/>
  <c r="W28" i="148" s="1"/>
  <c r="M28" i="148"/>
  <c r="Y28" i="148" s="1"/>
  <c r="O28" i="148"/>
  <c r="AA28" i="148" s="1"/>
  <c r="T37" i="148"/>
  <c r="J37" i="148"/>
  <c r="V37" i="148" s="1"/>
  <c r="N37" i="148"/>
  <c r="Z37" i="148" s="1"/>
  <c r="L37" i="148"/>
  <c r="X37" i="148" s="1"/>
  <c r="P37" i="148"/>
  <c r="AB37" i="148" s="1"/>
  <c r="P44" i="148"/>
  <c r="AB44" i="148" s="1"/>
  <c r="T44" i="148"/>
  <c r="L44" i="148"/>
  <c r="X44" i="148" s="1"/>
  <c r="J44" i="148"/>
  <c r="V44" i="148" s="1"/>
  <c r="N44" i="148"/>
  <c r="Z44" i="148" s="1"/>
  <c r="S29" i="148"/>
  <c r="I29" i="148"/>
  <c r="U29" i="148" s="1"/>
  <c r="K29" i="148"/>
  <c r="W29" i="148" s="1"/>
  <c r="M29" i="148"/>
  <c r="Y29" i="148" s="1"/>
  <c r="O29" i="148"/>
  <c r="AA29" i="148" s="1"/>
  <c r="T35" i="148"/>
  <c r="L35" i="148"/>
  <c r="X35" i="148" s="1"/>
  <c r="P35" i="148"/>
  <c r="AB35" i="148" s="1"/>
  <c r="J35" i="148"/>
  <c r="V35" i="148" s="1"/>
  <c r="N35" i="148"/>
  <c r="Z35" i="148" s="1"/>
  <c r="P26" i="148"/>
  <c r="AB26" i="148" s="1"/>
  <c r="J26" i="148"/>
  <c r="V26" i="148" s="1"/>
  <c r="N26" i="148"/>
  <c r="Z26" i="148" s="1"/>
  <c r="T26" i="148"/>
  <c r="L26" i="148"/>
  <c r="X26" i="148" s="1"/>
  <c r="H45" i="136"/>
  <c r="H48" i="136"/>
  <c r="S26" i="148"/>
  <c r="I26" i="148"/>
  <c r="U26" i="148" s="1"/>
  <c r="M26" i="148"/>
  <c r="Y26" i="148" s="1"/>
  <c r="K26" i="148"/>
  <c r="W26" i="148" s="1"/>
  <c r="O26" i="148"/>
  <c r="AA26" i="148" s="1"/>
  <c r="G45" i="123"/>
  <c r="F45" i="121"/>
  <c r="H45" i="100"/>
  <c r="I45" i="100" s="1"/>
  <c r="H48" i="114"/>
  <c r="F48" i="123"/>
  <c r="F45" i="112"/>
  <c r="H45" i="123"/>
  <c r="H48" i="104"/>
  <c r="F45" i="114"/>
  <c r="H48" i="112"/>
  <c r="H48" i="122"/>
  <c r="G45" i="122"/>
  <c r="G48" i="121"/>
  <c r="G48" i="101"/>
  <c r="F48" i="113"/>
  <c r="I45" i="126"/>
  <c r="F48" i="122"/>
  <c r="H45" i="113"/>
  <c r="F45" i="136"/>
  <c r="G48" i="1"/>
  <c r="I45" i="104"/>
  <c r="G48" i="98"/>
  <c r="I45" i="138"/>
  <c r="I45" i="120"/>
  <c r="I45" i="98"/>
  <c r="G45" i="136"/>
  <c r="F45" i="98"/>
  <c r="F48" i="98"/>
  <c r="F48" i="101"/>
  <c r="AD26" i="70"/>
  <c r="AD60" i="70"/>
  <c r="AD59" i="70"/>
  <c r="AD58" i="70"/>
  <c r="AD57" i="70"/>
  <c r="AD54" i="70"/>
  <c r="AD53" i="70"/>
  <c r="AD52" i="70"/>
  <c r="AD51" i="70"/>
  <c r="AD50" i="70"/>
  <c r="AD47" i="70"/>
  <c r="AD46" i="70"/>
  <c r="AD45" i="70"/>
  <c r="AD44" i="70"/>
  <c r="AD43" i="70"/>
  <c r="AD39" i="70"/>
  <c r="AD38" i="70"/>
  <c r="AD33" i="70"/>
  <c r="AD32" i="70"/>
  <c r="AD29" i="70"/>
  <c r="AD28" i="70"/>
  <c r="AD36" i="70"/>
  <c r="AD31" i="70"/>
  <c r="J55" i="148" l="1"/>
  <c r="V55" i="148" s="1"/>
  <c r="T55" i="148"/>
  <c r="P55" i="148"/>
  <c r="AB55" i="148" s="1"/>
  <c r="N55" i="148"/>
  <c r="Z55" i="148" s="1"/>
  <c r="L55" i="148"/>
  <c r="X55" i="148" s="1"/>
  <c r="S54" i="148"/>
  <c r="I54" i="148"/>
  <c r="U54" i="148" s="1"/>
  <c r="K54" i="148"/>
  <c r="W54" i="148" s="1"/>
  <c r="M54" i="148"/>
  <c r="Y54" i="148" s="1"/>
  <c r="O54" i="148"/>
  <c r="AA54" i="148" s="1"/>
  <c r="J53" i="148"/>
  <c r="V53" i="148" s="1"/>
  <c r="T53" i="148"/>
  <c r="P53" i="148"/>
  <c r="AB53" i="148" s="1"/>
  <c r="N53" i="148"/>
  <c r="Z53" i="148" s="1"/>
  <c r="L53" i="148"/>
  <c r="X53" i="148" s="1"/>
  <c r="I55" i="148"/>
  <c r="O55" i="148"/>
  <c r="K55" i="148"/>
  <c r="M55" i="148"/>
  <c r="T54" i="148"/>
  <c r="L54" i="148"/>
  <c r="X54" i="148" s="1"/>
  <c r="N54" i="148"/>
  <c r="Z54" i="148" s="1"/>
  <c r="J54" i="148"/>
  <c r="V54" i="148" s="1"/>
  <c r="P54" i="148"/>
  <c r="AB54" i="148" s="1"/>
  <c r="S53" i="148"/>
  <c r="M53" i="148"/>
  <c r="Y53" i="148" s="1"/>
  <c r="O53" i="148"/>
  <c r="AA53" i="148" s="1"/>
  <c r="K53" i="148"/>
  <c r="W53" i="148" s="1"/>
  <c r="I53" i="148"/>
  <c r="U53" i="148" s="1"/>
  <c r="E61" i="70"/>
  <c r="Q61" i="70" s="1"/>
  <c r="E62" i="70"/>
  <c r="Q62" i="70" s="1"/>
  <c r="E55" i="70"/>
  <c r="Q55" i="70" s="1"/>
  <c r="E54" i="70"/>
  <c r="Q54" i="70" s="1"/>
  <c r="F52" i="70"/>
  <c r="R52" i="70" s="1"/>
  <c r="E52" i="70"/>
  <c r="Q52" i="70" s="1"/>
  <c r="F51" i="70"/>
  <c r="R51" i="70" s="1"/>
  <c r="E51" i="70"/>
  <c r="Q51" i="70" s="1"/>
  <c r="E53" i="70"/>
  <c r="Q53" i="70" s="1"/>
  <c r="F60" i="70"/>
  <c r="R60" i="70" s="1"/>
  <c r="E60" i="70"/>
  <c r="Q60" i="70" s="1"/>
  <c r="E58" i="70"/>
  <c r="Q58" i="70" s="1"/>
  <c r="E59" i="70"/>
  <c r="Q59" i="70" s="1"/>
  <c r="F61" i="70" l="1"/>
  <c r="R61" i="70" s="1"/>
  <c r="G61" i="70"/>
  <c r="F62" i="70"/>
  <c r="R62" i="70" s="1"/>
  <c r="G62" i="70"/>
  <c r="F55" i="70"/>
  <c r="R55" i="70" s="1"/>
  <c r="G55" i="70"/>
  <c r="F34" i="70"/>
  <c r="R34" i="70" s="1"/>
  <c r="F54" i="70"/>
  <c r="R54" i="70" s="1"/>
  <c r="H54" i="70"/>
  <c r="T54" i="70" s="1"/>
  <c r="H58" i="70"/>
  <c r="T58" i="70" s="1"/>
  <c r="F58" i="70"/>
  <c r="R58" i="70" s="1"/>
  <c r="F59" i="70"/>
  <c r="R59" i="70" s="1"/>
  <c r="H53" i="70"/>
  <c r="T53" i="70" s="1"/>
  <c r="F53" i="70"/>
  <c r="R53" i="70" s="1"/>
  <c r="G59" i="70"/>
  <c r="S59" i="70" s="1"/>
  <c r="H59" i="70"/>
  <c r="T59" i="70" s="1"/>
  <c r="H60" i="70"/>
  <c r="T60" i="70" s="1"/>
  <c r="G52" i="70"/>
  <c r="S52" i="70" s="1"/>
  <c r="H51" i="70"/>
  <c r="T51" i="70" s="1"/>
  <c r="G51" i="70"/>
  <c r="S51" i="70" s="1"/>
  <c r="G58" i="70"/>
  <c r="S58" i="70" s="1"/>
  <c r="G53" i="70"/>
  <c r="G60" i="70"/>
  <c r="G54" i="70"/>
  <c r="E38" i="70"/>
  <c r="E37" i="70"/>
  <c r="F47" i="70" l="1"/>
  <c r="H62" i="70"/>
  <c r="T62" i="70" s="1"/>
  <c r="H61" i="70"/>
  <c r="T61" i="70" s="1"/>
  <c r="I62" i="70"/>
  <c r="M62" i="70"/>
  <c r="K62" i="70"/>
  <c r="O62" i="70"/>
  <c r="I61" i="70"/>
  <c r="K61" i="70"/>
  <c r="M61" i="70"/>
  <c r="O61" i="70"/>
  <c r="I55" i="70"/>
  <c r="O55" i="70"/>
  <c r="K55" i="70"/>
  <c r="M55" i="70"/>
  <c r="H55" i="70"/>
  <c r="E40" i="70"/>
  <c r="G34" i="70"/>
  <c r="H34" i="70"/>
  <c r="Q37" i="70"/>
  <c r="O54" i="70"/>
  <c r="M54" i="70"/>
  <c r="K54" i="70"/>
  <c r="I54" i="70"/>
  <c r="O53" i="70"/>
  <c r="M53" i="70"/>
  <c r="K53" i="70"/>
  <c r="I53" i="70"/>
  <c r="P51" i="70"/>
  <c r="AB51" i="70" s="1"/>
  <c r="N51" i="70"/>
  <c r="Z51" i="70" s="1"/>
  <c r="L51" i="70"/>
  <c r="X51" i="70" s="1"/>
  <c r="J51" i="70"/>
  <c r="V51" i="70" s="1"/>
  <c r="O52" i="70"/>
  <c r="AA52" i="70" s="1"/>
  <c r="M52" i="70"/>
  <c r="Y52" i="70" s="1"/>
  <c r="K52" i="70"/>
  <c r="W52" i="70" s="1"/>
  <c r="I52" i="70"/>
  <c r="U52" i="70" s="1"/>
  <c r="P59" i="70"/>
  <c r="AB59" i="70" s="1"/>
  <c r="N59" i="70"/>
  <c r="Z59" i="70" s="1"/>
  <c r="L59" i="70"/>
  <c r="X59" i="70" s="1"/>
  <c r="J59" i="70"/>
  <c r="V59" i="70" s="1"/>
  <c r="P58" i="70"/>
  <c r="AB58" i="70" s="1"/>
  <c r="N58" i="70"/>
  <c r="Z58" i="70" s="1"/>
  <c r="L58" i="70"/>
  <c r="X58" i="70" s="1"/>
  <c r="J58" i="70"/>
  <c r="V58" i="70" s="1"/>
  <c r="O60" i="70"/>
  <c r="M60" i="70"/>
  <c r="K60" i="70"/>
  <c r="I60" i="70"/>
  <c r="O58" i="70"/>
  <c r="AA58" i="70" s="1"/>
  <c r="M58" i="70"/>
  <c r="Y58" i="70" s="1"/>
  <c r="K58" i="70"/>
  <c r="W58" i="70" s="1"/>
  <c r="I58" i="70"/>
  <c r="U58" i="70" s="1"/>
  <c r="O51" i="70"/>
  <c r="AA51" i="70" s="1"/>
  <c r="M51" i="70"/>
  <c r="Y51" i="70" s="1"/>
  <c r="K51" i="70"/>
  <c r="W51" i="70" s="1"/>
  <c r="I51" i="70"/>
  <c r="U51" i="70" s="1"/>
  <c r="P60" i="70"/>
  <c r="AB60" i="70" s="1"/>
  <c r="N60" i="70"/>
  <c r="Z60" i="70" s="1"/>
  <c r="L60" i="70"/>
  <c r="X60" i="70" s="1"/>
  <c r="J60" i="70"/>
  <c r="V60" i="70" s="1"/>
  <c r="O59" i="70"/>
  <c r="AA59" i="70" s="1"/>
  <c r="M59" i="70"/>
  <c r="Y59" i="70" s="1"/>
  <c r="K59" i="70"/>
  <c r="W59" i="70" s="1"/>
  <c r="I59" i="70"/>
  <c r="U59" i="70" s="1"/>
  <c r="P53" i="70"/>
  <c r="AB53" i="70" s="1"/>
  <c r="N53" i="70"/>
  <c r="Z53" i="70" s="1"/>
  <c r="L53" i="70"/>
  <c r="X53" i="70" s="1"/>
  <c r="J53" i="70"/>
  <c r="V53" i="70" s="1"/>
  <c r="P54" i="70"/>
  <c r="AB54" i="70" s="1"/>
  <c r="N54" i="70"/>
  <c r="Z54" i="70" s="1"/>
  <c r="L54" i="70"/>
  <c r="X54" i="70" s="1"/>
  <c r="J54" i="70"/>
  <c r="V54" i="70" s="1"/>
  <c r="Q38" i="70"/>
  <c r="H52" i="70"/>
  <c r="T52" i="70" s="1"/>
  <c r="F29" i="70"/>
  <c r="E41" i="70"/>
  <c r="E39" i="70"/>
  <c r="F44" i="70"/>
  <c r="E44" i="70"/>
  <c r="F43" i="70"/>
  <c r="E43" i="70"/>
  <c r="E47" i="70"/>
  <c r="F45" i="70"/>
  <c r="E45" i="70"/>
  <c r="F37" i="70"/>
  <c r="R36" i="70" s="1"/>
  <c r="E50" i="70"/>
  <c r="Q50" i="70" s="1"/>
  <c r="E57" i="70"/>
  <c r="Q57" i="70" s="1"/>
  <c r="F46" i="70"/>
  <c r="E46" i="70"/>
  <c r="Q40" i="70" l="1"/>
  <c r="Q41" i="70"/>
  <c r="J62" i="70"/>
  <c r="V62" i="70" s="1"/>
  <c r="N62" i="70"/>
  <c r="Z62" i="70" s="1"/>
  <c r="L62" i="70"/>
  <c r="X62" i="70" s="1"/>
  <c r="P62" i="70"/>
  <c r="AB62" i="70" s="1"/>
  <c r="J61" i="70"/>
  <c r="V61" i="70" s="1"/>
  <c r="L61" i="70"/>
  <c r="X61" i="70" s="1"/>
  <c r="N61" i="70"/>
  <c r="Z61" i="70" s="1"/>
  <c r="P61" i="70"/>
  <c r="AB61" i="70" s="1"/>
  <c r="L55" i="70"/>
  <c r="X55" i="70" s="1"/>
  <c r="P55" i="70"/>
  <c r="AB55" i="70" s="1"/>
  <c r="J55" i="70"/>
  <c r="V55" i="70" s="1"/>
  <c r="N55" i="70"/>
  <c r="Z55" i="70" s="1"/>
  <c r="T55" i="70"/>
  <c r="F48" i="70"/>
  <c r="R48" i="70" s="1"/>
  <c r="E48" i="70"/>
  <c r="Q48" i="70" s="1"/>
  <c r="F40" i="70"/>
  <c r="R40" i="70" s="1"/>
  <c r="G40" i="70"/>
  <c r="O34" i="70"/>
  <c r="AA34" i="70" s="1"/>
  <c r="S34" i="70"/>
  <c r="K34" i="70"/>
  <c r="W34" i="70" s="1"/>
  <c r="I34" i="70"/>
  <c r="U34" i="70" s="1"/>
  <c r="M34" i="70"/>
  <c r="Y34" i="70" s="1"/>
  <c r="F41" i="70"/>
  <c r="R41" i="70" s="1"/>
  <c r="H41" i="70"/>
  <c r="G41" i="70"/>
  <c r="T34" i="70"/>
  <c r="J34" i="70"/>
  <c r="V34" i="70" s="1"/>
  <c r="N34" i="70"/>
  <c r="Z34" i="70" s="1"/>
  <c r="L34" i="70"/>
  <c r="X34" i="70" s="1"/>
  <c r="P34" i="70"/>
  <c r="AB34" i="70" s="1"/>
  <c r="P52" i="70"/>
  <c r="AB52" i="70" s="1"/>
  <c r="N52" i="70"/>
  <c r="Z52" i="70" s="1"/>
  <c r="L52" i="70"/>
  <c r="X52" i="70" s="1"/>
  <c r="J52" i="70"/>
  <c r="V52" i="70" s="1"/>
  <c r="R46" i="70"/>
  <c r="R45" i="70"/>
  <c r="R47" i="70"/>
  <c r="R43" i="70"/>
  <c r="R44" i="70"/>
  <c r="Q46" i="70"/>
  <c r="Q45" i="70"/>
  <c r="Q47" i="70"/>
  <c r="Q43" i="70"/>
  <c r="Q44" i="70"/>
  <c r="Q39" i="70"/>
  <c r="R29" i="70"/>
  <c r="H57" i="70"/>
  <c r="T57" i="70" s="1"/>
  <c r="F57" i="70"/>
  <c r="R57" i="70" s="1"/>
  <c r="H38" i="70"/>
  <c r="F38" i="70"/>
  <c r="H39" i="70"/>
  <c r="F39" i="70"/>
  <c r="H50" i="70"/>
  <c r="T50" i="70" s="1"/>
  <c r="F50" i="70"/>
  <c r="R50" i="70" s="1"/>
  <c r="H47" i="70"/>
  <c r="H46" i="70"/>
  <c r="H45" i="70"/>
  <c r="H43" i="70"/>
  <c r="H44" i="70"/>
  <c r="H37" i="70"/>
  <c r="G29" i="70"/>
  <c r="S29" i="70" s="1"/>
  <c r="H29" i="70"/>
  <c r="F31" i="70"/>
  <c r="G46" i="70"/>
  <c r="G37" i="70"/>
  <c r="G47" i="70"/>
  <c r="G44" i="70"/>
  <c r="F32" i="70"/>
  <c r="F33" i="70"/>
  <c r="G57" i="70"/>
  <c r="S57" i="70" s="1"/>
  <c r="G38" i="70"/>
  <c r="G43" i="70"/>
  <c r="G39" i="70"/>
  <c r="G50" i="70"/>
  <c r="S50" i="70" s="1"/>
  <c r="G45" i="70"/>
  <c r="H40" i="70" l="1"/>
  <c r="G48" i="70"/>
  <c r="H48" i="70"/>
  <c r="S40" i="70"/>
  <c r="M40" i="70"/>
  <c r="Y40" i="70" s="1"/>
  <c r="O40" i="70"/>
  <c r="AA40" i="70" s="1"/>
  <c r="I40" i="70"/>
  <c r="U40" i="70" s="1"/>
  <c r="K40" i="70"/>
  <c r="W40" i="70" s="1"/>
  <c r="J41" i="70"/>
  <c r="V41" i="70" s="1"/>
  <c r="P41" i="70"/>
  <c r="AB41" i="70" s="1"/>
  <c r="L41" i="70"/>
  <c r="X41" i="70" s="1"/>
  <c r="T41" i="70"/>
  <c r="N41" i="70"/>
  <c r="Z41" i="70" s="1"/>
  <c r="I41" i="70"/>
  <c r="U41" i="70" s="1"/>
  <c r="K41" i="70"/>
  <c r="W41" i="70" s="1"/>
  <c r="M41" i="70"/>
  <c r="Y41" i="70" s="1"/>
  <c r="O41" i="70"/>
  <c r="AA41" i="70" s="1"/>
  <c r="S41" i="70"/>
  <c r="O45" i="70"/>
  <c r="AA45" i="70" s="1"/>
  <c r="M45" i="70"/>
  <c r="Y45" i="70" s="1"/>
  <c r="O44" i="70"/>
  <c r="AA44" i="70" s="1"/>
  <c r="M44" i="70"/>
  <c r="Y44" i="70" s="1"/>
  <c r="P43" i="70"/>
  <c r="AB43" i="70" s="1"/>
  <c r="N43" i="70"/>
  <c r="P46" i="70"/>
  <c r="AB46" i="70" s="1"/>
  <c r="N46" i="70"/>
  <c r="O43" i="70"/>
  <c r="AA43" i="70" s="1"/>
  <c r="M43" i="70"/>
  <c r="Y43" i="70" s="1"/>
  <c r="O47" i="70"/>
  <c r="M47" i="70"/>
  <c r="O46" i="70"/>
  <c r="AA46" i="70" s="1"/>
  <c r="M46" i="70"/>
  <c r="Y46" i="70" s="1"/>
  <c r="P44" i="70"/>
  <c r="AB44" i="70" s="1"/>
  <c r="N44" i="70"/>
  <c r="P45" i="70"/>
  <c r="AB45" i="70" s="1"/>
  <c r="N45" i="70"/>
  <c r="P47" i="70"/>
  <c r="AB47" i="70" s="1"/>
  <c r="N47" i="70"/>
  <c r="K45" i="70"/>
  <c r="W45" i="70" s="1"/>
  <c r="I45" i="70"/>
  <c r="U45" i="70" s="1"/>
  <c r="K39" i="70"/>
  <c r="W39" i="70" s="1"/>
  <c r="I39" i="70"/>
  <c r="U39" i="70" s="1"/>
  <c r="O39" i="70"/>
  <c r="AA39" i="70" s="1"/>
  <c r="M39" i="70"/>
  <c r="Y39" i="70" s="1"/>
  <c r="O38" i="70"/>
  <c r="AA38" i="70" s="1"/>
  <c r="M38" i="70"/>
  <c r="Y38" i="70" s="1"/>
  <c r="K38" i="70"/>
  <c r="W38" i="70" s="1"/>
  <c r="I38" i="70"/>
  <c r="U38" i="70" s="1"/>
  <c r="K44" i="70"/>
  <c r="W44" i="70" s="1"/>
  <c r="I44" i="70"/>
  <c r="U44" i="70" s="1"/>
  <c r="K37" i="70"/>
  <c r="W36" i="70" s="1"/>
  <c r="I37" i="70"/>
  <c r="U36" i="70" s="1"/>
  <c r="S36" i="70"/>
  <c r="O37" i="70"/>
  <c r="AA36" i="70" s="1"/>
  <c r="M37" i="70"/>
  <c r="Y36" i="70" s="1"/>
  <c r="L44" i="70"/>
  <c r="X44" i="70" s="1"/>
  <c r="J44" i="70"/>
  <c r="V44" i="70" s="1"/>
  <c r="L45" i="70"/>
  <c r="X45" i="70" s="1"/>
  <c r="J45" i="70"/>
  <c r="V45" i="70" s="1"/>
  <c r="L47" i="70"/>
  <c r="X47" i="70" s="1"/>
  <c r="J47" i="70"/>
  <c r="V47" i="70" s="1"/>
  <c r="P50" i="70"/>
  <c r="AB50" i="70" s="1"/>
  <c r="N50" i="70"/>
  <c r="Z50" i="70" s="1"/>
  <c r="L50" i="70"/>
  <c r="X50" i="70" s="1"/>
  <c r="J50" i="70"/>
  <c r="V50" i="70" s="1"/>
  <c r="L39" i="70"/>
  <c r="X39" i="70" s="1"/>
  <c r="J39" i="70"/>
  <c r="V39" i="70" s="1"/>
  <c r="P39" i="70"/>
  <c r="AB39" i="70" s="1"/>
  <c r="N39" i="70"/>
  <c r="Z39" i="70" s="1"/>
  <c r="T38" i="70"/>
  <c r="P38" i="70"/>
  <c r="AB38" i="70" s="1"/>
  <c r="N38" i="70"/>
  <c r="Z38" i="70" s="1"/>
  <c r="L38" i="70"/>
  <c r="X38" i="70" s="1"/>
  <c r="J38" i="70"/>
  <c r="V38" i="70" s="1"/>
  <c r="O50" i="70"/>
  <c r="AA50" i="70" s="1"/>
  <c r="M50" i="70"/>
  <c r="Y50" i="70" s="1"/>
  <c r="K50" i="70"/>
  <c r="W50" i="70" s="1"/>
  <c r="I50" i="70"/>
  <c r="U50" i="70" s="1"/>
  <c r="K43" i="70"/>
  <c r="W43" i="70" s="1"/>
  <c r="I43" i="70"/>
  <c r="U43" i="70" s="1"/>
  <c r="O57" i="70"/>
  <c r="AA57" i="70" s="1"/>
  <c r="M57" i="70"/>
  <c r="Y57" i="70" s="1"/>
  <c r="K57" i="70"/>
  <c r="W57" i="70" s="1"/>
  <c r="I57" i="70"/>
  <c r="U57" i="70" s="1"/>
  <c r="K47" i="70"/>
  <c r="I47" i="70"/>
  <c r="K46" i="70"/>
  <c r="W46" i="70" s="1"/>
  <c r="I46" i="70"/>
  <c r="U46" i="70" s="1"/>
  <c r="N37" i="70"/>
  <c r="Z36" i="70" s="1"/>
  <c r="L37" i="70"/>
  <c r="X36" i="70" s="1"/>
  <c r="J37" i="70"/>
  <c r="V36" i="70" s="1"/>
  <c r="T36" i="70"/>
  <c r="P37" i="70"/>
  <c r="AB36" i="70" s="1"/>
  <c r="L43" i="70"/>
  <c r="X43" i="70" s="1"/>
  <c r="J43" i="70"/>
  <c r="V43" i="70" s="1"/>
  <c r="L46" i="70"/>
  <c r="X46" i="70" s="1"/>
  <c r="J46" i="70"/>
  <c r="V46" i="70" s="1"/>
  <c r="P57" i="70"/>
  <c r="AB57" i="70" s="1"/>
  <c r="N57" i="70"/>
  <c r="Z57" i="70" s="1"/>
  <c r="L57" i="70"/>
  <c r="X57" i="70" s="1"/>
  <c r="J57" i="70"/>
  <c r="V57" i="70" s="1"/>
  <c r="O29" i="70"/>
  <c r="AA29" i="70" s="1"/>
  <c r="M29" i="70"/>
  <c r="Y29" i="70" s="1"/>
  <c r="N29" i="70"/>
  <c r="Z29" i="70" s="1"/>
  <c r="P29" i="70"/>
  <c r="AB29" i="70" s="1"/>
  <c r="K29" i="70"/>
  <c r="W29" i="70" s="1"/>
  <c r="I29" i="70"/>
  <c r="U29" i="70" s="1"/>
  <c r="L29" i="70"/>
  <c r="X29" i="70" s="1"/>
  <c r="J29" i="70"/>
  <c r="V29" i="70" s="1"/>
  <c r="R33" i="70"/>
  <c r="R32" i="70"/>
  <c r="R31" i="70"/>
  <c r="R39" i="70"/>
  <c r="R38" i="70"/>
  <c r="T39" i="70"/>
  <c r="T29" i="70"/>
  <c r="T46" i="70"/>
  <c r="T44" i="70"/>
  <c r="T47" i="70"/>
  <c r="T43" i="70"/>
  <c r="T45" i="70"/>
  <c r="S45" i="70"/>
  <c r="S46" i="70"/>
  <c r="S43" i="70"/>
  <c r="S44" i="70"/>
  <c r="S38" i="70"/>
  <c r="S39" i="70"/>
  <c r="G32" i="70"/>
  <c r="H32" i="70"/>
  <c r="G33" i="70"/>
  <c r="H33" i="70"/>
  <c r="G31" i="70"/>
  <c r="H31" i="70"/>
  <c r="G28" i="70"/>
  <c r="S28" i="70" s="1"/>
  <c r="H28" i="70"/>
  <c r="H36" i="1"/>
  <c r="H39" i="1" s="1"/>
  <c r="H48" i="1" s="1"/>
  <c r="F36" i="1"/>
  <c r="F39" i="1" s="1"/>
  <c r="E36" i="1"/>
  <c r="E39" i="1" s="1"/>
  <c r="F27" i="148" s="1"/>
  <c r="R27" i="148" s="1"/>
  <c r="E48" i="1" l="1"/>
  <c r="H27" i="148" s="1"/>
  <c r="F48" i="1"/>
  <c r="F45" i="1"/>
  <c r="H45" i="1"/>
  <c r="F27" i="70"/>
  <c r="R27" i="70" s="1"/>
  <c r="F26" i="70"/>
  <c r="K48" i="70"/>
  <c r="O48" i="70"/>
  <c r="I48" i="70"/>
  <c r="M48" i="70"/>
  <c r="J48" i="70"/>
  <c r="V48" i="70" s="1"/>
  <c r="L48" i="70"/>
  <c r="X48" i="70" s="1"/>
  <c r="N48" i="70"/>
  <c r="Z48" i="70" s="1"/>
  <c r="P48" i="70"/>
  <c r="AB48" i="70" s="1"/>
  <c r="T48" i="70"/>
  <c r="N40" i="70"/>
  <c r="Z40" i="70" s="1"/>
  <c r="T40" i="70"/>
  <c r="L40" i="70"/>
  <c r="X40" i="70" s="1"/>
  <c r="P40" i="70"/>
  <c r="AB40" i="70" s="1"/>
  <c r="J40" i="70"/>
  <c r="V40" i="70" s="1"/>
  <c r="L33" i="70"/>
  <c r="X33" i="70" s="1"/>
  <c r="T33" i="70"/>
  <c r="J33" i="70"/>
  <c r="V33" i="70" s="1"/>
  <c r="O31" i="70"/>
  <c r="AA31" i="70" s="1"/>
  <c r="S31" i="70"/>
  <c r="M31" i="70"/>
  <c r="Y31" i="70" s="1"/>
  <c r="S33" i="70"/>
  <c r="M33" i="70"/>
  <c r="Y33" i="70" s="1"/>
  <c r="K33" i="70"/>
  <c r="W33" i="70" s="1"/>
  <c r="I33" i="70"/>
  <c r="U33" i="70" s="1"/>
  <c r="K32" i="70"/>
  <c r="W32" i="70" s="1"/>
  <c r="I32" i="70"/>
  <c r="U32" i="70" s="1"/>
  <c r="S32" i="70"/>
  <c r="M32" i="70"/>
  <c r="Y32" i="70" s="1"/>
  <c r="Z43" i="70"/>
  <c r="Z45" i="70"/>
  <c r="N31" i="70"/>
  <c r="Z31" i="70" s="1"/>
  <c r="P31" i="70"/>
  <c r="AB31" i="70" s="1"/>
  <c r="T31" i="70"/>
  <c r="L31" i="70"/>
  <c r="X31" i="70" s="1"/>
  <c r="T32" i="70"/>
  <c r="J32" i="70"/>
  <c r="V32" i="70" s="1"/>
  <c r="L32" i="70"/>
  <c r="X32" i="70" s="1"/>
  <c r="Z46" i="70"/>
  <c r="Z47" i="70"/>
  <c r="Z44" i="70"/>
  <c r="K31" i="70"/>
  <c r="W31" i="70" s="1"/>
  <c r="I31" i="70"/>
  <c r="U31" i="70" s="1"/>
  <c r="O33" i="70"/>
  <c r="AA33" i="70" s="1"/>
  <c r="O32" i="70"/>
  <c r="AA32" i="70" s="1"/>
  <c r="J31" i="70"/>
  <c r="V31" i="70" s="1"/>
  <c r="N33" i="70"/>
  <c r="Z33" i="70" s="1"/>
  <c r="P33" i="70"/>
  <c r="AB33" i="70" s="1"/>
  <c r="P32" i="70"/>
  <c r="AB32" i="70" s="1"/>
  <c r="N32" i="70"/>
  <c r="Z32" i="70" s="1"/>
  <c r="P28" i="70"/>
  <c r="AB28" i="70" s="1"/>
  <c r="N28" i="70"/>
  <c r="Z28" i="70" s="1"/>
  <c r="M28" i="70"/>
  <c r="Y28" i="70" s="1"/>
  <c r="O28" i="70"/>
  <c r="AA28" i="70" s="1"/>
  <c r="K28" i="70"/>
  <c r="W28" i="70" s="1"/>
  <c r="I28" i="70"/>
  <c r="U28" i="70" s="1"/>
  <c r="L28" i="70"/>
  <c r="X28" i="70" s="1"/>
  <c r="J28" i="70"/>
  <c r="V28" i="70" s="1"/>
  <c r="T28" i="70"/>
  <c r="F28" i="70"/>
  <c r="E45" i="1"/>
  <c r="G27" i="148" s="1"/>
  <c r="S27" i="148" l="1"/>
  <c r="I27" i="148"/>
  <c r="U27" i="148" s="1"/>
  <c r="K27" i="148"/>
  <c r="W27" i="148" s="1"/>
  <c r="M27" i="148"/>
  <c r="Y27" i="148" s="1"/>
  <c r="O27" i="148"/>
  <c r="AA27" i="148" s="1"/>
  <c r="T27" i="148"/>
  <c r="L27" i="148"/>
  <c r="X27" i="148" s="1"/>
  <c r="P27" i="148"/>
  <c r="AB27" i="148" s="1"/>
  <c r="J27" i="148"/>
  <c r="V27" i="148" s="1"/>
  <c r="N27" i="148"/>
  <c r="Z27" i="148" s="1"/>
  <c r="G26" i="70"/>
  <c r="M26" i="70" s="1"/>
  <c r="Y26" i="70" s="1"/>
  <c r="G27" i="70"/>
  <c r="H27" i="70"/>
  <c r="H26" i="70"/>
  <c r="L26" i="70" s="1"/>
  <c r="X26" i="70" s="1"/>
  <c r="R28" i="70"/>
  <c r="R26" i="70"/>
  <c r="I26" i="70" l="1"/>
  <c r="U26" i="70" s="1"/>
  <c r="J26" i="70"/>
  <c r="V26" i="70" s="1"/>
  <c r="P26" i="70"/>
  <c r="AB26" i="70" s="1"/>
  <c r="T26" i="70"/>
  <c r="K26" i="70"/>
  <c r="W26" i="70" s="1"/>
  <c r="N26" i="70"/>
  <c r="Z26" i="70" s="1"/>
  <c r="O26" i="70"/>
  <c r="AA26" i="70" s="1"/>
  <c r="S26" i="70"/>
  <c r="J27" i="70"/>
  <c r="V27" i="70" s="1"/>
  <c r="P27" i="70"/>
  <c r="AB27" i="70" s="1"/>
  <c r="L27" i="70"/>
  <c r="X27" i="70" s="1"/>
  <c r="T27" i="70"/>
  <c r="N27" i="70"/>
  <c r="Z27" i="70" s="1"/>
  <c r="I27" i="70"/>
  <c r="U27" i="70" s="1"/>
  <c r="M27" i="70"/>
  <c r="Y27" i="70" s="1"/>
  <c r="O27" i="70"/>
  <c r="AA27" i="70" s="1"/>
  <c r="S27" i="70"/>
  <c r="K27" i="70"/>
  <c r="W27" i="70" s="1"/>
</calcChain>
</file>

<file path=xl/sharedStrings.xml><?xml version="1.0" encoding="utf-8"?>
<sst xmlns="http://schemas.openxmlformats.org/spreadsheetml/2006/main" count="3181" uniqueCount="597">
  <si>
    <t>S. No</t>
  </si>
  <si>
    <t>DESCRIPTION</t>
  </si>
  <si>
    <t>SPECIFICATION</t>
  </si>
  <si>
    <t>QTY</t>
  </si>
  <si>
    <t>PV Panel</t>
  </si>
  <si>
    <t>1 Nos</t>
  </si>
  <si>
    <t>Mounting Structure</t>
  </si>
  <si>
    <t>Reputed Make</t>
  </si>
  <si>
    <t xml:space="preserve">Reputed Make DC - Wire 4 sqmm / Single Core Cable </t>
  </si>
  <si>
    <t>Others Accessories</t>
  </si>
  <si>
    <t>1 set</t>
  </si>
  <si>
    <t>Installation</t>
  </si>
  <si>
    <t>KTA</t>
  </si>
  <si>
    <t>Transportation</t>
  </si>
  <si>
    <t>Cost</t>
  </si>
  <si>
    <t>10 Mtrs</t>
  </si>
  <si>
    <t>Dealer</t>
  </si>
  <si>
    <t xml:space="preserve"> </t>
  </si>
  <si>
    <t>4 nos</t>
  </si>
  <si>
    <t>VFD Panel Box</t>
  </si>
  <si>
    <t>Motor &amp; Pump</t>
  </si>
  <si>
    <t>15 Mtrs</t>
  </si>
  <si>
    <t>30 Mtrs</t>
  </si>
  <si>
    <t>Add on</t>
  </si>
  <si>
    <t>Lighting Arrestor</t>
  </si>
  <si>
    <t>3 C * 2.5 Sq mm Cable</t>
  </si>
  <si>
    <t>16 mm Rope</t>
  </si>
  <si>
    <t>Borewell Accessories</t>
  </si>
  <si>
    <t>10 nos</t>
  </si>
  <si>
    <t xml:space="preserve">End user </t>
  </si>
  <si>
    <t>40 Mtrs</t>
  </si>
  <si>
    <t>To,</t>
  </si>
  <si>
    <t>We are Assuring our Best Service in All Times…!!!</t>
  </si>
  <si>
    <t>Thanks &amp; Regards</t>
  </si>
  <si>
    <t xml:space="preserve">B.O : No. 88E, Kulavanigarpuram Main Road, Kurichi Signal, Tirunelveli - 627002, Tamil Nadu.                                                                                       </t>
  </si>
  <si>
    <t xml:space="preserve">H.O : No. 14/260, Radio Park Street, Kadayam Road, Pavoorchathram, Tenkasi - 627808, Tamil Nadu.                                                              </t>
  </si>
  <si>
    <t>M: +91 96297 59316 / 98941 98960                 www.kaytechautomation.com          E mail: kaytechautomation@gmail.com</t>
  </si>
  <si>
    <t xml:space="preserve">PRODUCT NAME : 1 HP Solar Water Pump Combo </t>
  </si>
  <si>
    <t xml:space="preserve">PRODUCT NAME : 2 HP Solar Water Pump Combo </t>
  </si>
  <si>
    <t xml:space="preserve">PRODUCT NAME : 10 HP Solar Water Pump Combo </t>
  </si>
  <si>
    <t xml:space="preserve">PRODUCT NAME : 7.5 HP Solar Water Pump Combo </t>
  </si>
  <si>
    <t xml:space="preserve">PRODUCT NAME : 5 HP Solar Water Pump Combo </t>
  </si>
  <si>
    <t>1 HP 100Ft Model</t>
  </si>
  <si>
    <t>1 HP 200Ft Model</t>
  </si>
  <si>
    <t>1 HP 300Ft Model</t>
  </si>
  <si>
    <t>2 HP 100Ft Model</t>
  </si>
  <si>
    <t>2 HP 200Ft Model</t>
  </si>
  <si>
    <t>2 HP 300Ft Model</t>
  </si>
  <si>
    <t>3 HP 100Ft Model</t>
  </si>
  <si>
    <t>3 HP 200Ft Model</t>
  </si>
  <si>
    <t>3 HP 300Ft Model</t>
  </si>
  <si>
    <t>3 HP 500Ft Model</t>
  </si>
  <si>
    <t>5 HP 100Ft Model</t>
  </si>
  <si>
    <t>5 HP 200Ft Model</t>
  </si>
  <si>
    <t>5 HP 300Ft Model</t>
  </si>
  <si>
    <t>5 HP 500Ft Model</t>
  </si>
  <si>
    <t>7.5 HP 100Ft Model</t>
  </si>
  <si>
    <t>7.5 HP 200Ft Model</t>
  </si>
  <si>
    <t>7.5 HP 300Ft Model</t>
  </si>
  <si>
    <t>7.5 HP 500Ft Model</t>
  </si>
  <si>
    <t>10 HP 100Ft Model</t>
  </si>
  <si>
    <t>10 HP 200Ft Model</t>
  </si>
  <si>
    <t>10 HP 300Ft Model</t>
  </si>
  <si>
    <t>10 HP 500Ft Model</t>
  </si>
  <si>
    <t>5 HP 800Ft Model</t>
  </si>
  <si>
    <t>7.5 HP 800Ft Model</t>
  </si>
  <si>
    <t>A.M SHANKAR</t>
  </si>
  <si>
    <t>MOB -9629759316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</si>
  <si>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</si>
  <si>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KAY LANDING COST</t>
  </si>
  <si>
    <t>CP</t>
  </si>
  <si>
    <t>NOTE</t>
  </si>
  <si>
    <t>Customer Had Pump Rewinding Charges Extra</t>
  </si>
  <si>
    <t>With Out Pump and Accessories More than 200KM</t>
  </si>
  <si>
    <t>With  Pump and Accessories More than 200KM</t>
  </si>
  <si>
    <t xml:space="preserve">1HP to 3HP Per KM 15 Extra           </t>
  </si>
  <si>
    <t xml:space="preserve">5HP Per KM 35 Extra  </t>
  </si>
  <si>
    <t xml:space="preserve">7.5HP&amp;10HP Per KM 37 Extra  </t>
  </si>
  <si>
    <t>Column Pipe  TUTY 200KM</t>
  </si>
  <si>
    <t>HDPE TUTY (200KM)</t>
  </si>
  <si>
    <t>HDPE MDU (400KM)</t>
  </si>
  <si>
    <t>Column Pipe MDU  (400KM)</t>
  </si>
  <si>
    <t>With  Pump &amp; Without Accessories  MDU</t>
  </si>
  <si>
    <t>With Out Pump and Accessories  MDU</t>
  </si>
  <si>
    <t>HDPE  Trichy (700KM)</t>
  </si>
  <si>
    <t>Column Pipe Trichy (700KM)</t>
  </si>
  <si>
    <t>HDPE K.KURCHI (1000KM)</t>
  </si>
  <si>
    <t>Column Pipe k.kuruchi 1000KM</t>
  </si>
  <si>
    <t>HDPE Chennai (1400KM)</t>
  </si>
  <si>
    <t>Column Pipe Chennai 1400KM</t>
  </si>
  <si>
    <t>Normal Structure Price Less Basic Price</t>
  </si>
  <si>
    <t>PRODUCT NAME : 3 HP Solar Water Pump Combo</t>
  </si>
  <si>
    <t>2 HP 450Ft Model</t>
  </si>
  <si>
    <t>3 HP 700Ft Model</t>
  </si>
  <si>
    <t>5 HP 1000Ft Model</t>
  </si>
  <si>
    <t>7.5 HP 1000Ft Model</t>
  </si>
  <si>
    <t>10 HP 800Ft Model</t>
  </si>
  <si>
    <t>10 HP 1000Ft Model</t>
  </si>
  <si>
    <t>4Nos Solar Panel,  Delivery 1.25Inch to 2 Inch 3000 to 15000 LPH</t>
  </si>
  <si>
    <t>4Nos Solar Panel,  Delivery 1.25Inch - 2500 to 3000 LPH</t>
  </si>
  <si>
    <t>4Nos Solar Panel,  Delivery 1 Inch - 1000 to 1500 LPH</t>
  </si>
  <si>
    <t>7Nos Solar Panel  Delivery 1.5Inch  to 2.5 Inch- 5000 to 25000 LPH</t>
  </si>
  <si>
    <t>7Nos Solar Panel  Delivery 1.25Inch - 3500 to 7000 LPH</t>
  </si>
  <si>
    <t>7Nos Solar Panel  Delivery 1 Inch - 1500 to 3000 LPH</t>
  </si>
  <si>
    <t>7 Nos Solar Panel  Delivery 1 Inch - 1000 to 1500 LPH</t>
  </si>
  <si>
    <t>10Nos Solar Panel  Delivery 1.5Inch  to 2.5 Inch -12000 to 30000 LPH</t>
  </si>
  <si>
    <t>10Nos Solar Panel  Delivery 1.5 Inch -6000 to 12000 LPH</t>
  </si>
  <si>
    <t>10Nos Solar Panel  Delivery 1.5 Inch -3000 to  9000 LPH</t>
  </si>
  <si>
    <t>10Nos Solar Panel  Delivery 1.25 Inch -1000 to  2500 LPH</t>
  </si>
  <si>
    <t>10Nos Solar Panel  Delivery 1 Inch -600 to  1500 LPH</t>
  </si>
  <si>
    <t>16Nos Solar Panel  Delivery 2 Inch  to  2.5 Inch  12000 to 40000 LPH</t>
  </si>
  <si>
    <t>16Nos Solar Panel  Delivery 2 Inch - 15000 LPH</t>
  </si>
  <si>
    <t>16Nos Solar Panel  Delivery 1.5 Inch  - 12000 LPH</t>
  </si>
  <si>
    <t>16Nos Solar Panel  Delivery 1.5Inch - 75000 LPH</t>
  </si>
  <si>
    <t>16Nos Solar Panel  Delivery 1.25Inch - 1500 to 4000 LPH</t>
  </si>
  <si>
    <t>16Nos Solar Panel  Delivery 1 Inch - 750  to 2000 LPH</t>
  </si>
  <si>
    <t>24Nos Solar Panel  Delivery 2 Inch - 3 Inch 15000 to 50000 LPH</t>
  </si>
  <si>
    <t>24Nos Solar Panel  Delivery 2 Inch - 25000 LPH</t>
  </si>
  <si>
    <t>24Nos Solar Panel  Delivery 2 Inch -  18000 LPH</t>
  </si>
  <si>
    <t>24Nos Solar Panel  Delivery 2 Inch -12000 LPH</t>
  </si>
  <si>
    <t>24Nos Solar Panel  Delivery 1.5 Inch -  8000 LPH</t>
  </si>
  <si>
    <t>24Nos Solar Panel  Delivery 1.25 Inch -  3000 to 6000 LPH</t>
  </si>
  <si>
    <t>30Nos Solar Panel  Delivery 2.5 Inch -3 Inch 20000 to 60000 LPH</t>
  </si>
  <si>
    <t>30Nos Solar Panel  Delivery 2 Inch - 35000 LPH</t>
  </si>
  <si>
    <t>30Nos Solar Panel  Delivery 2 Inch - 25000 LPH</t>
  </si>
  <si>
    <t>30Nos Solar Panel  Delivery 2 Inch - 18000 LPH</t>
  </si>
  <si>
    <t>30Nos Solar Panel  Delivery 1.5 Inch - 3600 to 7500 LPH</t>
  </si>
  <si>
    <t>13PV</t>
  </si>
  <si>
    <t>3Nos Solar Panel,  Delivery 1 Inch to 2 Inch  2000 to 12000 LPH</t>
  </si>
  <si>
    <t>RECOMENT FOR ADDITONAL</t>
  </si>
  <si>
    <t>1 PANEL</t>
  </si>
  <si>
    <t>2 PANEL</t>
  </si>
  <si>
    <t>340W POLY CUSTOMER PRICE</t>
  </si>
  <si>
    <t>Make</t>
  </si>
  <si>
    <t>Capacity</t>
  </si>
  <si>
    <t>Sub Dealer</t>
  </si>
  <si>
    <t>Customer</t>
  </si>
  <si>
    <t>Mecwin 72 cells</t>
  </si>
  <si>
    <t>UTL 72 cells</t>
  </si>
  <si>
    <t>Vikram 144 cells</t>
  </si>
  <si>
    <t>Online</t>
  </si>
  <si>
    <t>Mecwin 1 hp DC with RMS</t>
  </si>
  <si>
    <t>Mecwin 2 hp DC with RMS</t>
  </si>
  <si>
    <t>Mecwin 3 hp DC with RMS</t>
  </si>
  <si>
    <t>Mecwin 5 hp DC with RMS</t>
  </si>
  <si>
    <t>Mecwin 7.5 hp DC with RMS</t>
  </si>
  <si>
    <t>Mecwin 1 hp DC &amp; AC with RMS</t>
  </si>
  <si>
    <t>Mecwin 2 hp DC &amp; AC with RMS</t>
  </si>
  <si>
    <t>Mecwin 3 hp DC &amp; AC with RMS</t>
  </si>
  <si>
    <t>Mecwin 5 hp DC &amp; AC with RMS</t>
  </si>
  <si>
    <t>Mecwin 7.5 hp DC &amp; AC with RMS</t>
  </si>
  <si>
    <t>Mecwin 10 hp DC &amp; AC with RMS</t>
  </si>
  <si>
    <t>ROYAL 1 hp DC with RMS</t>
  </si>
  <si>
    <t>ROYAL 2 hp DC with RMS</t>
  </si>
  <si>
    <t>ROYAL 3 hp DC with RMS</t>
  </si>
  <si>
    <t>ROYAL 5 hp DC with RMS</t>
  </si>
  <si>
    <t>ROYAL 7.5 hp DC with RMS</t>
  </si>
  <si>
    <t>ROYAL 10 hp DC with RMS</t>
  </si>
  <si>
    <t xml:space="preserve">INVT 2 hp DC &amp; AC </t>
  </si>
  <si>
    <t xml:space="preserve">INVT 3 hp DC &amp; AC </t>
  </si>
  <si>
    <t xml:space="preserve">INVT 5 hp DC &amp; AC </t>
  </si>
  <si>
    <t xml:space="preserve">INVT 7.5 hp DC &amp; AC </t>
  </si>
  <si>
    <t>1 kw 3*1 H 8 ft</t>
  </si>
  <si>
    <t>1.3 kw 2*2 H 8 ft</t>
  </si>
  <si>
    <t>2.3 kw 4*2 H 8 ft</t>
  </si>
  <si>
    <t>3.3 kw 5*2 H 8 ft</t>
  </si>
  <si>
    <t>5.3 kw 8*2 H 8 ft</t>
  </si>
  <si>
    <t>8 kw 12*2 H 8 ft</t>
  </si>
  <si>
    <t>10 kw 15*2 H 8 ft</t>
  </si>
  <si>
    <t>1 kw 3*1 H 4 ft</t>
  </si>
  <si>
    <t>1.3 kw 2*2 H 4 ft</t>
  </si>
  <si>
    <t>2.3 kw 4*2 H 4 ft</t>
  </si>
  <si>
    <t>3.3 kw 5*2 H 4 ft</t>
  </si>
  <si>
    <t>5.3 kw 8*2 H 4 ft</t>
  </si>
  <si>
    <t>8 kw 12*2 H 4 ft</t>
  </si>
  <si>
    <t>10 kw 15*2 H 4 ft</t>
  </si>
  <si>
    <t>1 kw 3*1 Bluesheet</t>
  </si>
  <si>
    <t>1.3 kw 2*2 Bluesheet</t>
  </si>
  <si>
    <t>2.3 kw 4*2 Bluesheet</t>
  </si>
  <si>
    <t>3.3 kw 5*2 Bluesheet</t>
  </si>
  <si>
    <t>5.3 kw 8*2 Bluesheet</t>
  </si>
  <si>
    <t>8 kw 12*2 Bluesheet</t>
  </si>
  <si>
    <t>10 kw 15*2 Bluesheet</t>
  </si>
  <si>
    <t>Borewell Submersible</t>
  </si>
  <si>
    <t>Openwell Submersible</t>
  </si>
  <si>
    <t>2 HP Horizontal Karvel 10 - 50</t>
  </si>
  <si>
    <t>3 HP Horizontal Karvel 10 - 60</t>
  </si>
  <si>
    <t>3 HP Vertical Karvel 10 - 100</t>
  </si>
  <si>
    <t>5 HP Horizontal Karvel 10 - 90</t>
  </si>
  <si>
    <t>Surface Monoblock</t>
  </si>
  <si>
    <t>UTL or Equivalent  335 Watts / 24 V</t>
  </si>
  <si>
    <t>Polycab or Microtek 4 sq mm</t>
  </si>
  <si>
    <t>Polycab or Microtek 6 sq mm</t>
  </si>
  <si>
    <t>1 mtr</t>
  </si>
  <si>
    <t>Solar Installation Accessories</t>
  </si>
  <si>
    <t>1 nos</t>
  </si>
  <si>
    <t>Flat 3 core * 4 sq mm</t>
  </si>
  <si>
    <t>Flat 3 core * 6 sq mm</t>
  </si>
  <si>
    <t>ROPE 14 mm</t>
  </si>
  <si>
    <t>ROPE 16 mm</t>
  </si>
  <si>
    <t>ROPE 18 mm</t>
  </si>
  <si>
    <t xml:space="preserve">1 " Delivery Borewell accessories ( SS &amp; MS Collar + Clamp set + Cover + NRV + GI Bend &amp; Union ) </t>
  </si>
  <si>
    <t>Flat 3 core * 2.5 sq mm</t>
  </si>
  <si>
    <t>1" 6 KG HDPE</t>
  </si>
  <si>
    <t xml:space="preserve">1.25 " Delivery Borewell accessories ( SS &amp; MS Collar + Clamp set + Cover + NRV + GI Bend &amp; Union ) </t>
  </si>
  <si>
    <t xml:space="preserve">1.5 " Delivery Borewell accessories ( SS &amp; MS Collar + Clamp set + Cover + NRV + GI Bend &amp; Union ) </t>
  </si>
  <si>
    <t xml:space="preserve">2 " Delivery Borewell accessories ( SS &amp; MS Collar + Clamp set + Cover + NRV + GI Bend &amp; Union ) </t>
  </si>
  <si>
    <t xml:space="preserve">2.5 " Delivery Borewell accessories ( SS &amp; MS Collar + Clamp set + Cover + NRV + GI Bend &amp; Union ) </t>
  </si>
  <si>
    <t xml:space="preserve">3 " Delivery Borewell accessories ( SS &amp; MS Collar + Clamp set + Cover + NRV + GI Bend &amp; Union ) </t>
  </si>
  <si>
    <t>1" 10 KG HDPE</t>
  </si>
  <si>
    <t>1" 8 KG HDPE</t>
  </si>
  <si>
    <t>1.25" 4 KG HDPE</t>
  </si>
  <si>
    <t>1.25" 6 KG HDPE</t>
  </si>
  <si>
    <t>1.25" 8 KG HDPE</t>
  </si>
  <si>
    <t>1.25" 10 KG HDPE</t>
  </si>
  <si>
    <t>1.5" 4 KG HDPE</t>
  </si>
  <si>
    <t>1.5" 6 KG HDPE</t>
  </si>
  <si>
    <t>1.5" 8 KG HDPE</t>
  </si>
  <si>
    <t>1.5" 10 KG HDPE</t>
  </si>
  <si>
    <t>2" 4 KG HDPE</t>
  </si>
  <si>
    <t>2" 6 KG HDPE</t>
  </si>
  <si>
    <t>2" 8 KG HDPE</t>
  </si>
  <si>
    <t>2" 10 KG HDPE</t>
  </si>
  <si>
    <t>2.5" 4 KG HDPE</t>
  </si>
  <si>
    <t>2.5" 6 KG HDPE</t>
  </si>
  <si>
    <t>3" 6 KG HDPE</t>
  </si>
  <si>
    <t>1 L</t>
  </si>
  <si>
    <t xml:space="preserve">2"  Super Heavy Coupler </t>
  </si>
  <si>
    <t>1" V4 12.5 KG Bell Orange 250 ft</t>
  </si>
  <si>
    <t>1" V4 12.5 KG Coupler Orange 350 ft</t>
  </si>
  <si>
    <t>1" V4 15 KG Bell</t>
  </si>
  <si>
    <t>1" V4 15 KG Coupler Purple 450 ft</t>
  </si>
  <si>
    <t>1" 21 KG Crystal Bell</t>
  </si>
  <si>
    <t>1" 21 KG Crystal Coupler Green 650 ft</t>
  </si>
  <si>
    <t>1" 30 KG Standard Bell</t>
  </si>
  <si>
    <t>1" 30 KG Standard Coupler Red 900 ft</t>
  </si>
  <si>
    <t xml:space="preserve">1.25" V4 12.5 KG Bell </t>
  </si>
  <si>
    <t>1.25" V4 12.5 KG Coupler Orange 350 ft</t>
  </si>
  <si>
    <t>1.25" V4 15 KG Bell</t>
  </si>
  <si>
    <t>1.25" V4 15 KG Coupler Purple 450 ft</t>
  </si>
  <si>
    <t>1.25" 21 KG Crystal Bell</t>
  </si>
  <si>
    <t>1.25" 21 KG Crystal Coupler Green 625 ft</t>
  </si>
  <si>
    <t>1.25" 25 KG Standard Bell</t>
  </si>
  <si>
    <t>1.25" 25 KG Standard Coupler Red 750 ft</t>
  </si>
  <si>
    <t>1.25" 35 KG Heavy Coupler Blue 900 ft</t>
  </si>
  <si>
    <t xml:space="preserve">1.5" V4 12.5 KG Bell </t>
  </si>
  <si>
    <t xml:space="preserve">1.5" V4 12.5 KG Coupler Orange 350 ft </t>
  </si>
  <si>
    <t>1.5" V4 15 KG Bell</t>
  </si>
  <si>
    <t>1.5" V4 15 KG Coupler Purple 450 ft</t>
  </si>
  <si>
    <t>1.5" 21 KG Crystal Bell</t>
  </si>
  <si>
    <t>1.5" 26 KG Standard Coupler Red 900 ft</t>
  </si>
  <si>
    <t>1.5" 21 KG Crystal Coupler Green 750 ft</t>
  </si>
  <si>
    <t>1.5" 35 KG Heavy Coupler Blue 1200 ft</t>
  </si>
  <si>
    <t xml:space="preserve">2" 8 KG Eco Medium Coupler Purple 150 ft </t>
  </si>
  <si>
    <t xml:space="preserve">2" 13 KG Medium Coupler Orange 350 ft </t>
  </si>
  <si>
    <t xml:space="preserve">2"  17 KG Crystal Coupler Green 500 ft </t>
  </si>
  <si>
    <t>2" 20 KG Standard Coupler Red 650 ft</t>
  </si>
  <si>
    <t xml:space="preserve">2"  27 KG Heavy Coupler Blue 850 ft </t>
  </si>
  <si>
    <t>2.5" 10 KG Medium Coupler Orange 250 ft</t>
  </si>
  <si>
    <t>2.5" 16 KG Standard Coupler Red 400 ft</t>
  </si>
  <si>
    <t>2.5" Heavy Coupler Blue 650 ft</t>
  </si>
  <si>
    <t>1-5 HP Installation Accessories</t>
  </si>
  <si>
    <t>7.5-10 HP Installation Accessories</t>
  </si>
  <si>
    <t>1 . Solar Panel</t>
  </si>
  <si>
    <t>2 . Solar Water Pump Controller</t>
  </si>
  <si>
    <t>3. Solar Mounting Structure</t>
  </si>
  <si>
    <t>1 SET</t>
  </si>
  <si>
    <t>DC Cables (+) (-)</t>
  </si>
  <si>
    <t>Earth Kit</t>
  </si>
  <si>
    <t>2 set</t>
  </si>
  <si>
    <t>Earthing Cable - Copper 6 sq mm 20 mtr                               Earth Rode - Copper with Chemical Bag 2 nos</t>
  </si>
  <si>
    <t>4  Solar DC Cables</t>
  </si>
  <si>
    <t xml:space="preserve"> 5 Earth Kit</t>
  </si>
  <si>
    <t>6 Installation Accessories</t>
  </si>
  <si>
    <t>SS 304 Lighting Arrestor, Lighting Arrestor GI Round Post , Earthing Cable - 50 sq mm Aluminium 7 Mtr,                                 Earth Rode - Copper with Chemical Bag</t>
  </si>
  <si>
    <t>10 Lighting Arrestor</t>
  </si>
  <si>
    <t>9 Motor &amp; Pump</t>
  </si>
  <si>
    <t>12 Borewell cable</t>
  </si>
  <si>
    <t>13 Rope</t>
  </si>
  <si>
    <t>14 Borewell Accessories</t>
  </si>
  <si>
    <t>11 HDPE Hose</t>
  </si>
  <si>
    <t xml:space="preserve">INVT 15 hp DC &amp; AC </t>
  </si>
  <si>
    <t>1HP 3 Phase 110V Mecwin Make</t>
  </si>
  <si>
    <t>Aluminium Zinc or Hot Dip Galvanized Coated                ( 1.3 kW)</t>
  </si>
  <si>
    <t>1 HP 3 Phase 80 Vac Mecwin Pump                          Working upto 10 Mtrs</t>
  </si>
  <si>
    <t>2.5" HDP Hose</t>
  </si>
  <si>
    <t>PRODUCT NAME : 1 HP Solar Water Pump Combo 30 Feets</t>
  </si>
  <si>
    <t>2" HDP Hose</t>
  </si>
  <si>
    <t>SS 304 Lighting Arrestor, 4 KV Insulator                                    Lighting Arrestor GI Round Post ,                       Earthing Cable - 50 sq mm Aluminium 7 Mtr,                                 Earth Rode - Copper with Chemical Bag</t>
  </si>
  <si>
    <t>3 L</t>
  </si>
  <si>
    <t>Name</t>
  </si>
  <si>
    <t>Address</t>
  </si>
  <si>
    <t>contact No</t>
  </si>
  <si>
    <t>Mail id</t>
  </si>
  <si>
    <t>BORE / OPEN WELL</t>
  </si>
  <si>
    <t>Total Depth</t>
  </si>
  <si>
    <t>Water Level</t>
  </si>
  <si>
    <t>Pump Lowering</t>
  </si>
  <si>
    <t>Water Required</t>
  </si>
  <si>
    <t>Delivery Size</t>
  </si>
  <si>
    <t>Aluminium Zinc or Hot Dip Galvanized Coated                ( 3.3 kW)</t>
  </si>
  <si>
    <t>150 Mtrs</t>
  </si>
  <si>
    <t>160 Mtrs</t>
  </si>
  <si>
    <t>1.25" HDP Hose</t>
  </si>
  <si>
    <t>50 Mtrs</t>
  </si>
  <si>
    <t>60 Mtrs</t>
  </si>
  <si>
    <t>90 Mtrs</t>
  </si>
  <si>
    <t>100 Mtrs</t>
  </si>
  <si>
    <t>8 nos</t>
  </si>
  <si>
    <t>3" HDP Hose</t>
  </si>
  <si>
    <t>1.5" HDP Hose</t>
  </si>
  <si>
    <t>18 mm Rope</t>
  </si>
  <si>
    <t>2 TO 5 %</t>
  </si>
  <si>
    <t>5 TO 8 %</t>
  </si>
  <si>
    <t>10 TO 15 %</t>
  </si>
  <si>
    <t>15 TO 20 %</t>
  </si>
  <si>
    <t>PANEL</t>
  </si>
  <si>
    <t>MECWIN DC</t>
  </si>
  <si>
    <t>MECWIN DCAC</t>
  </si>
  <si>
    <t>ROYAL DC</t>
  </si>
  <si>
    <t>INVT DC &amp; AC</t>
  </si>
  <si>
    <t>20 TO 25 %</t>
  </si>
  <si>
    <t>25 TO 30 %</t>
  </si>
  <si>
    <t xml:space="preserve">MECWIN </t>
  </si>
  <si>
    <t>DECCAN</t>
  </si>
  <si>
    <t>MAHINDRA</t>
  </si>
  <si>
    <t>30 TO 35 %</t>
  </si>
  <si>
    <t>35 TO 40 %</t>
  </si>
  <si>
    <t>Mecwin 15 hp DC &amp; AC with RMS</t>
  </si>
  <si>
    <t>15 TRUFLO / Ashirvad Pipes</t>
  </si>
  <si>
    <t>1 HP Mecwin 10 - 30 MF 2.5"</t>
  </si>
  <si>
    <t>1 HP Mecwin 10 - 100 2 "</t>
  </si>
  <si>
    <t>1 HP MAHINDRA 10 - 100 1.25"</t>
  </si>
  <si>
    <t>1 HP DECCAN 10 - 100 1.25"</t>
  </si>
  <si>
    <t>1 HP Mecwin 110 - 300 1.25"</t>
  </si>
  <si>
    <t>1 HP MAHINDRA 110 - 250 1.25"</t>
  </si>
  <si>
    <t>1 HP DECCAN 110 - 300 1.25"</t>
  </si>
  <si>
    <t>2 HP Mecwin 10 - 60 MF 3"</t>
  </si>
  <si>
    <t>2 HP Mecwin 10 - 100 2"</t>
  </si>
  <si>
    <t>2 HP MAHINDRA 10 - 100 1.5"</t>
  </si>
  <si>
    <t>2 HP DECCAN 10 - 100 1.25"</t>
  </si>
  <si>
    <t>2 HP Mecwin 110 - 200 1.5"</t>
  </si>
  <si>
    <t>2 HP MAHINDRA 110 - 250 1.5"</t>
  </si>
  <si>
    <t>2 HP DECCAN 110 - 250 1.25"</t>
  </si>
  <si>
    <t>2 HP Mecwin 410 - 500 1.25"</t>
  </si>
  <si>
    <t>2 HP Mecwin 310 - 400 1.25"</t>
  </si>
  <si>
    <t>2 HP Mecwin 210 - 300 1.5"</t>
  </si>
  <si>
    <t>2 HP MAHINDRA 260 - 450 1.25"</t>
  </si>
  <si>
    <t>2 HP DECCAN 260 - 450 1.25"</t>
  </si>
  <si>
    <t>3 HP Mecwin 10 - 60 MF 3"</t>
  </si>
  <si>
    <t>3 HP Mecwin 10 - 100 2.5"</t>
  </si>
  <si>
    <t>3 HP Mecwin 110 - 200 2"</t>
  </si>
  <si>
    <t>3 HP Mecwin 210 - 300 1.5"</t>
  </si>
  <si>
    <t>3 HP Mecwin 310 - 450 1.5"</t>
  </si>
  <si>
    <t>3 HP Mecwin 460 - 600 1.25"</t>
  </si>
  <si>
    <t>3 HP MAHINDRA 70 - 200 2" V6</t>
  </si>
  <si>
    <t>3 HP MAHINDRA 210 - 400 1.5"</t>
  </si>
  <si>
    <t>3 HP MAHINDRA 410 - 650 1.5"</t>
  </si>
  <si>
    <t>3 HP Deccan 70 - 200 2" V6</t>
  </si>
  <si>
    <t>3 HP Deccan 210 - 350 1.5" V5-V4</t>
  </si>
  <si>
    <t>3 HP Deccan 360 - 600 1.25"</t>
  </si>
  <si>
    <t>5 HP Mecwin 10 - 60 MF 3"</t>
  </si>
  <si>
    <t>5 HP Mecwin 10 - 100 MF 3"</t>
  </si>
  <si>
    <t>5 HP Mecwin 110 - 200 MF 2.5"</t>
  </si>
  <si>
    <t>5 HP Mecwin 210 - 300 2"</t>
  </si>
  <si>
    <t>5 HP Mecwin 310 - 450 1.5"</t>
  </si>
  <si>
    <t>5 HP Mecwin 460 - 650 1.5"</t>
  </si>
  <si>
    <t>3 HP MAHINDRA 10 - 60 MF 2.5" V6</t>
  </si>
  <si>
    <t>5 HP Mahindra 125 - 200 2" V6</t>
  </si>
  <si>
    <t>5 HP Mahindra 210 - 300 2" V6</t>
  </si>
  <si>
    <t xml:space="preserve">5 HP Mahindra 310 - 700 1.5" </t>
  </si>
  <si>
    <t xml:space="preserve">5 HP Mahindra 710 - 900 1.5" </t>
  </si>
  <si>
    <t>5 HP Mahindra 10 - 125 MF 2.5" V6</t>
  </si>
  <si>
    <t>5 HP Deccan 10 - 100 MF 3" V6</t>
  </si>
  <si>
    <t>5 HP Deccan 10 - 150 MF 2.5" V6</t>
  </si>
  <si>
    <t>5 HP Deccan 110 - 250 2" V6</t>
  </si>
  <si>
    <t>5 HP Deccan 250 - 450 2" V5</t>
  </si>
  <si>
    <t>5 HP Deccan 450 - 700 1.5" V5-V4</t>
  </si>
  <si>
    <t xml:space="preserve">5 HP Deccan 700 - 1000 1.25" </t>
  </si>
  <si>
    <t>7.5 HP Mecwin 10 - 100 MF 3"</t>
  </si>
  <si>
    <t>7.5 HP Mecwin 110 - 150 MF 3"</t>
  </si>
  <si>
    <t>7.5 HP Mecwin 150 - 250 MF 2.5"</t>
  </si>
  <si>
    <t>7.5 HP Mecwin 210 - 300 2"</t>
  </si>
  <si>
    <t>7.5 HP Mecwin 310 - 450 2"</t>
  </si>
  <si>
    <t>7.5 HP Mahindra 350 - 500 2" V6</t>
  </si>
  <si>
    <t>7.5 HP Mahindra 150 - 375 2" V6</t>
  </si>
  <si>
    <t xml:space="preserve">7.5 HP Mahindra 500 - 800 1.5" </t>
  </si>
  <si>
    <t xml:space="preserve">7.5 HP Mahindra 800 - 1200 1.5" </t>
  </si>
  <si>
    <t>7.5 HP Deccan 10 - 150 MF 3"</t>
  </si>
  <si>
    <t>7.5 HP Deccan 150 - 250 MF 2.5"</t>
  </si>
  <si>
    <t>7.5 HP Deccan 250 - 450 2"</t>
  </si>
  <si>
    <t>7.5 HP Deccan 460 - 750 1.5" V5-V4</t>
  </si>
  <si>
    <t>7.5 HP Deccan 750 - 1200 1.5" V5=V4</t>
  </si>
  <si>
    <t xml:space="preserve">1 HP Installation Charges </t>
  </si>
  <si>
    <t xml:space="preserve">2 HP Installation Charges </t>
  </si>
  <si>
    <t xml:space="preserve">3 HP Installation Charges </t>
  </si>
  <si>
    <t xml:space="preserve">5 HP Installation Charges </t>
  </si>
  <si>
    <t xml:space="preserve">7.5 HP Installation Charges </t>
  </si>
  <si>
    <t xml:space="preserve">10 HP Installation Charges </t>
  </si>
  <si>
    <t>Transport Charges 1-3 HP</t>
  </si>
  <si>
    <t>14 mm Rope</t>
  </si>
  <si>
    <t>Aluminium Zinc or Hot Dip Galvanized Coated                ( 2.6 kW)</t>
  </si>
  <si>
    <t>PRODUCT NAME : 1.5 HP 1 PHASE 230 VAC Solar Water Pump Combo</t>
  </si>
  <si>
    <t>3 HP 1 Phase 230V INVT / CROMPTON GREAVES Make</t>
  </si>
  <si>
    <t>7 nos</t>
  </si>
  <si>
    <t>2 HP 3 Phase 160V Mecwin Make</t>
  </si>
  <si>
    <t>Aluminium Zinc or Hot Dip Galvanized Coated                ( 2.3 kW)</t>
  </si>
  <si>
    <t>2 HP 3 Phase 160 Vac DECCAN Pump                          Working upto 15 Mtrs</t>
  </si>
  <si>
    <t>20 Mtrs</t>
  </si>
  <si>
    <t>1 HP 3 Phase 80 Vac Mecwin Pump                          Working upto 40 Mtrs</t>
  </si>
  <si>
    <t>13 L</t>
  </si>
  <si>
    <t>3 nos</t>
  </si>
  <si>
    <t>16 nos</t>
  </si>
  <si>
    <t>24 nos</t>
  </si>
  <si>
    <t xml:space="preserve">PRODUCT NAME : 1 HP Solar Water Pump Combo 130 Feets </t>
  </si>
  <si>
    <t>1 HP Mecwin 60 - 130 1.5"</t>
  </si>
  <si>
    <t xml:space="preserve">PRODUCT NAME : 1 HP Solar Water Pump Combo 300 Feets </t>
  </si>
  <si>
    <t>1 HP 3 Phase 80 Vac Mecwin Pump                          Working upto 90 Mtrs</t>
  </si>
  <si>
    <t>30 L</t>
  </si>
  <si>
    <t xml:space="preserve">PRODUCT NAME : 2 HP Solar Water Pump Combo 50 Feets </t>
  </si>
  <si>
    <t xml:space="preserve">PRODUCT NAME : 2 HP Solar Water Pump Combo 65 Feets </t>
  </si>
  <si>
    <t>2 HP 3 Phase 160 Vac Mecwin Pump                          Working upto 20 Mtrs</t>
  </si>
  <si>
    <t>2 HP 3 Phase 160 Vac Mecwin Pump                          Working upto 30 Mtrs</t>
  </si>
  <si>
    <t>10 L</t>
  </si>
  <si>
    <t xml:space="preserve">PRODUCT NAME : 2 HP Solar Water Pump Combo 100 Feets </t>
  </si>
  <si>
    <t xml:space="preserve">PRODUCT NAME : 2 HP Solar Water Pump Combo 165 Feets </t>
  </si>
  <si>
    <t>2 HP 3 Phase 160 Vac Mecwin Pump                          Working upto 50 Mtrs</t>
  </si>
  <si>
    <t>PRODUCT NAME : 1 HP Solar Water Pump Combo 100 Feets</t>
  </si>
  <si>
    <t>1 HP 3 Phase 80 Vac Mecwin Pump                          Working upto 30 Mtrs</t>
  </si>
  <si>
    <t>17 L</t>
  </si>
  <si>
    <t xml:space="preserve">PRODUCT NAME : 2 HP Solar Water Pump Combo 300 Feets </t>
  </si>
  <si>
    <t>2 HP 3 Phase 160 Vac Mecwin Pump                          Working upto 90 Mtrs</t>
  </si>
  <si>
    <t xml:space="preserve">PRODUCT NAME : 2 HP Solar Water Pump Combo 500 Feets </t>
  </si>
  <si>
    <t>2 HP 3 Phase 160 Vac Mecwin Pump                          Working upto 150 Mtrs</t>
  </si>
  <si>
    <t>50 L</t>
  </si>
  <si>
    <t xml:space="preserve">PRODUCT NAME : 3 HP Solar Water Pump Combo 65 Feets </t>
  </si>
  <si>
    <t>3 HP 3 Phase 220V Mecwin Make</t>
  </si>
  <si>
    <t>3 HP 3 Phase 220 Vac Mecwin Pump                          Working upto 20 Mtrs</t>
  </si>
  <si>
    <t xml:space="preserve">PRODUCT NAME : 3 HP Solar Water Pump Combo 100 Feets </t>
  </si>
  <si>
    <t>3 HP 3 Phase 220 Vac Mecwin Pump                          Working upto 30 Mtrs</t>
  </si>
  <si>
    <t xml:space="preserve"> 3 HP 3 Phase 220V Mecwin Make</t>
  </si>
  <si>
    <t xml:space="preserve">PRODUCT NAME : 3 HP Solar Water Pump Combo 230 Feets </t>
  </si>
  <si>
    <t>3 HP 3 Phase 220 Vac Mecwin Pump                          Working upto 70 Mtrs</t>
  </si>
  <si>
    <t>70 Mtrs</t>
  </si>
  <si>
    <t>80 Mtrs</t>
  </si>
  <si>
    <t>23 L</t>
  </si>
  <si>
    <t xml:space="preserve">PRODUCT NAME : 3 HP Solar Water Pump Combo 460 Feets </t>
  </si>
  <si>
    <t>140 Mtrs</t>
  </si>
  <si>
    <t>46 L</t>
  </si>
  <si>
    <t>PRODUCT NAME : 3 HP Solar Water Pump Combo 590 Feets</t>
  </si>
  <si>
    <t>3HP 3 Phase 220V Mecwin Make</t>
  </si>
  <si>
    <t>3 HP 3 Phase 230 Vac Mecwin Pump                          Working upto 180 Mtrs</t>
  </si>
  <si>
    <t>180 Mtrs</t>
  </si>
  <si>
    <t>190 Mtrs</t>
  </si>
  <si>
    <t>59 L</t>
  </si>
  <si>
    <t xml:space="preserve">PRODUCT NAME : 5 HP Solar Water Pump Combo 130 Feets </t>
  </si>
  <si>
    <t>5 HP 3 Phase 380V Mecwin Make</t>
  </si>
  <si>
    <t>Aluminium Zinc or Hot Dip Galvanized Coated                ( 5.3 kW)</t>
  </si>
  <si>
    <t>5 HP 3 Phase 380 Vac Mecwin Pump                          Working upto 40 Mtrs</t>
  </si>
  <si>
    <t xml:space="preserve">PRODUCT NAME : 5 HP Solar Water Pump Combo 210 Feets </t>
  </si>
  <si>
    <t>5 HP 3 Phase 380 Vac Mecwin Pump                          Working upto 65 Mtrs</t>
  </si>
  <si>
    <t>65 Mtrs</t>
  </si>
  <si>
    <t>21 L</t>
  </si>
  <si>
    <t>75 Mtrs</t>
  </si>
  <si>
    <t xml:space="preserve">PRODUCT NAME : 5 HP Solar Water Pump Combo 330 feets </t>
  </si>
  <si>
    <t>5HP 3 Phase 380V Mecwin Make</t>
  </si>
  <si>
    <t>5 HP 3 Phase 380 Vac Mecwin Pump                          Working upto 100 Mtrs</t>
  </si>
  <si>
    <t>110 Mtrs</t>
  </si>
  <si>
    <t>33 L</t>
  </si>
  <si>
    <t xml:space="preserve">PRODUCT NAME : 5 HP Solar Water Pump Combo 650 Feets </t>
  </si>
  <si>
    <t>5 HP 3 Phase 380 Vac Mecwin Pump                          Working upto 200  Mtrs</t>
  </si>
  <si>
    <t>200 Mtrs</t>
  </si>
  <si>
    <t>210 Mtrs</t>
  </si>
  <si>
    <t>3 C * 4 Sq mm Cable</t>
  </si>
  <si>
    <t>3 C *4 Sq mm Cable</t>
  </si>
  <si>
    <t>65 L</t>
  </si>
  <si>
    <t xml:space="preserve">PRODUCT NAME : 5 HP Solar Water Pump Combo 1000 Feets </t>
  </si>
  <si>
    <t>5 HP 3 Phase 380 Vac Deccan Pump                          Working upto 305  Mtrs</t>
  </si>
  <si>
    <t>310 Mtrs</t>
  </si>
  <si>
    <t>100 L</t>
  </si>
  <si>
    <t xml:space="preserve">PRODUCT NAME : 7.5 HP Solar Water Pump Combo 100 Feets </t>
  </si>
  <si>
    <t>7.5 HP 3 Phase 320V Mecwin Make</t>
  </si>
  <si>
    <t>Aluminium Zinc or Hot Dip Galvanized Coated                ( 8.0 kW)</t>
  </si>
  <si>
    <t>7.5 HP 3 Phase 320 Vac Mecwin Pump                          Working upto 30 Mtrs</t>
  </si>
  <si>
    <t>3 C * 6 Sq mm Cable</t>
  </si>
  <si>
    <t xml:space="preserve">PRODUCT NAME : 7.5 HP Solar Water Pump Combo 260 Feets </t>
  </si>
  <si>
    <t>7.5 HP 3 Phase 320 Vac Mecwin Pump                          Working upto 80 Mtrs</t>
  </si>
  <si>
    <t>3 C * 69 Sq mm Cable</t>
  </si>
  <si>
    <t>26 L</t>
  </si>
  <si>
    <t xml:space="preserve">PRODUCT NAME : 7.5 HP Solar Water Pump Combo 500 Feets </t>
  </si>
  <si>
    <t>7.5 HP 3 Phase 320 Vac Mecwin Pump                          Working upto 150 Mtrs</t>
  </si>
  <si>
    <t xml:space="preserve">PRODUCT NAME : 7.5 HP Solar Water Pump Combo 1000 Feets </t>
  </si>
  <si>
    <t xml:space="preserve">PRODUCT NAME : 7.5 HP Solar Water Pump Combo 650 Feets </t>
  </si>
  <si>
    <t>7.5 HP 3 Phase 320 Vac Deccan Pump                          Working upto 200 Mtrs</t>
  </si>
  <si>
    <t>7.5 HP 3 Phase 320 Vac Deccan Pump                          Working upto 300 Mtrs</t>
  </si>
  <si>
    <t>10 HP 3 Phase V Mecwin Make</t>
  </si>
  <si>
    <t>10 HP MAHINDRA 500 - 625 MF 2" V6</t>
  </si>
  <si>
    <t>3 HP 3 Phase 220 Vac Mecwin Pump                          Working upto 140 Mtrs</t>
  </si>
  <si>
    <t>Transport Charges 5-10 HP</t>
  </si>
  <si>
    <t>10 HP Mecwin 10 - 160 3"</t>
  </si>
  <si>
    <t>10 HP Mecwin 150 - 330 2.5"</t>
  </si>
  <si>
    <t>10 HP Mecwin 310 - 450 2"</t>
  </si>
  <si>
    <t>10 HP Mecwin 450 - 600 2"</t>
  </si>
  <si>
    <t>10 HP Deccan 10 - 200 Mf 3" V6</t>
  </si>
  <si>
    <t>10 HP Deccan 150 - 350 Mf 2.5" V6</t>
  </si>
  <si>
    <t>10 HP Deccan 350 - 600 2" V6</t>
  </si>
  <si>
    <t>7.5 HP Horizontal Karvel 10 - 120</t>
  </si>
  <si>
    <t>10 HP Vertical Karvel 10 - 250</t>
  </si>
  <si>
    <t>7.5 HP Vertical Karvel 10 - 200</t>
  </si>
  <si>
    <t>5 HP Vertical Karvel 10 - 150</t>
  </si>
  <si>
    <t>10 HP Horizontal Karvel 10 - 120</t>
  </si>
  <si>
    <t>1 HP Mecwin 10 - 20 2"</t>
  </si>
  <si>
    <t>2 HP Mecwin 10 - 20 2.5"</t>
  </si>
  <si>
    <t>3 HP Mecwin 20 - 50 2"</t>
  </si>
  <si>
    <t>5 HP Mecwin 20 - 50 2.5"</t>
  </si>
  <si>
    <t>7.5 HP Mecwin 20 - 50 2.5"</t>
  </si>
  <si>
    <t>10 HP Mecwin 20 - 50 3"</t>
  </si>
  <si>
    <t>INVT 1 hp DC &amp; AC with BOX</t>
  </si>
  <si>
    <t>INVT 2 hp DC &amp; AC with BOX</t>
  </si>
  <si>
    <t>INVT 3 hp DC &amp; AC with BOX</t>
  </si>
  <si>
    <t>INVT 5 hp DC &amp; AC with BOX</t>
  </si>
  <si>
    <t>INVT 7.5 hp DC &amp; AC with BOX</t>
  </si>
  <si>
    <t>INVT 10 hp DC &amp; AC with BOX</t>
  </si>
  <si>
    <t>INVT 15 hp DC &amp; AC with BOX</t>
  </si>
  <si>
    <t>INVT 1 hp DC &amp; AC 1 PH with BOX</t>
  </si>
  <si>
    <t>INVT 2 hp DC &amp; AC 1 PH with BOX</t>
  </si>
  <si>
    <t>INVT 3 hp DC &amp; AC 1 PH with BOX</t>
  </si>
  <si>
    <t xml:space="preserve">INVT 1 hp DC &amp; AC </t>
  </si>
  <si>
    <t>INVT 10 hp DC &amp; AC</t>
  </si>
  <si>
    <t xml:space="preserve">INVT 1 hp DC &amp; AC 1 PH </t>
  </si>
  <si>
    <t xml:space="preserve">INVT 2 hp DC &amp; AC 1 PH </t>
  </si>
  <si>
    <t xml:space="preserve">INVT 3 hp DC &amp; AC 1 PH </t>
  </si>
  <si>
    <t>Booster</t>
  </si>
  <si>
    <t>1-3 HP</t>
  </si>
  <si>
    <t xml:space="preserve">PRODUCT NAME : 10 HP Solar Water Pump Combo 160 Feets </t>
  </si>
  <si>
    <t>Aluminium Zinc or Hot Dip Galvanized Coated                ( 10.0 kW)</t>
  </si>
  <si>
    <t>10 HP 3 Phase 380 Vac Mecwin Pump                          Working upto 50 Mtrs</t>
  </si>
  <si>
    <t xml:space="preserve">PRODUCT NAME : 10 HP Solar Water Pump Combo 330 Feets </t>
  </si>
  <si>
    <t>10 HP 3 Phase 380 Vac Mecwin Pump                          Working upto 100 Mtrs</t>
  </si>
  <si>
    <t xml:space="preserve">PRODUCT NAME : 10 HP Solar Water Pump Combo 660 Feets </t>
  </si>
  <si>
    <t>10 HP 3 Phase 380 Vac Mecwin Pump                          Working upto 200 Mtrs</t>
  </si>
  <si>
    <t>66 L</t>
  </si>
  <si>
    <t xml:space="preserve">PRODUCT NAME : 10 HP Solar Water Pump Combo 1000 Feets </t>
  </si>
  <si>
    <t>10 HP 3 Phase 380 Vac Mecwin Pump                          Working upto 300 Mtrs</t>
  </si>
  <si>
    <t>300 Mtrs</t>
  </si>
  <si>
    <t>10 HP Deccan 610 - 800 2" V6</t>
  </si>
  <si>
    <t>10 HP Deccan 810 - 1000 2" V6</t>
  </si>
  <si>
    <t>1 HP 30Ft Model</t>
  </si>
  <si>
    <t xml:space="preserve">3Nos Solar Panel,  Delivery 2.5 Inch  </t>
  </si>
  <si>
    <t xml:space="preserve">4Nos Solar Panel,  Delivery 2.5 Inch  </t>
  </si>
  <si>
    <t>1 HP 130Ft Model</t>
  </si>
  <si>
    <t xml:space="preserve">4Nos Solar Panel,  Delivery 2 Inch  </t>
  </si>
  <si>
    <t xml:space="preserve">4Nos Solar Panel,  Delivery 1.5Inch  </t>
  </si>
  <si>
    <t xml:space="preserve">4Nos Solar Panel,  Delivery 1.25Inch  </t>
  </si>
  <si>
    <t>2 HP 50Ft Model</t>
  </si>
  <si>
    <t>7Nos Solar Panel,  Delivery 2 Inch  (O/W) Deccan</t>
  </si>
  <si>
    <t>2 HP 65Ft Model</t>
  </si>
  <si>
    <t>7Nos Solar Panel,  Delivery 3 Inch  (O/W) Mecwin</t>
  </si>
  <si>
    <t xml:space="preserve">7Nos Solar Panel,  Delivery 2 Inch  </t>
  </si>
  <si>
    <t>2 HP 160Ft Model</t>
  </si>
  <si>
    <t xml:space="preserve">7Nos Solar Panel,  Delivery 1.5 Inch  </t>
  </si>
  <si>
    <t>2 HP 480Ft Model</t>
  </si>
  <si>
    <t xml:space="preserve">7Nos Solar Panel,  Delivery 1.25 Inch  </t>
  </si>
  <si>
    <t>3 HP 60Ft Model</t>
  </si>
  <si>
    <t>10Nos Solar Panel,  Delivery 3 Inch  (O/W) Mecwin</t>
  </si>
  <si>
    <t xml:space="preserve">10Nos Solar Panel,  Delivery 2.5nch  </t>
  </si>
  <si>
    <t>3 HP 220Ft Model</t>
  </si>
  <si>
    <t>3 HP 450Ft Model</t>
  </si>
  <si>
    <t xml:space="preserve">10Nos Solar Panel,  Delivery 1.5nch  </t>
  </si>
  <si>
    <t>3 HP 550Ft Model</t>
  </si>
  <si>
    <t xml:space="preserve">10Nos Solar Panel,  Delivery 1.25nch  </t>
  </si>
  <si>
    <t>5 HP 120Ft Model</t>
  </si>
  <si>
    <t xml:space="preserve">16Nos Solar Panel,  Delivery 3Inch  </t>
  </si>
  <si>
    <t xml:space="preserve">16Nos Solar Panel,  Delivery  2.5Inch  </t>
  </si>
  <si>
    <t xml:space="preserve">16Nos Solar Panel,  Delivery  2Inch  </t>
  </si>
  <si>
    <t>5 HP 650Ft Model</t>
  </si>
  <si>
    <t xml:space="preserve">16Nos Solar Panel,  Delivery  1.5Inch  </t>
  </si>
  <si>
    <t xml:space="preserve">16Nos Solar Panel,  Delivery  1.25Inch  </t>
  </si>
  <si>
    <t xml:space="preserve">24Nos Solar Panel,  Delivery 3Inch  </t>
  </si>
  <si>
    <t>7.5 HP 250Ft Model</t>
  </si>
  <si>
    <t xml:space="preserve">24Nos Solar Panel,  Delivery 2.5Inch  </t>
  </si>
  <si>
    <t>7.5 HP 650Ft Model</t>
  </si>
  <si>
    <t xml:space="preserve">24Nos Solar Panel,  Delivery 2 Inch  </t>
  </si>
  <si>
    <t xml:space="preserve">24Nos Solar Panel,  Delivery 1.5Inch  </t>
  </si>
  <si>
    <t xml:space="preserve">24Nos Solar Panel,  Delivery 1.25Inch  </t>
  </si>
  <si>
    <t>10 HP 150Ft Model</t>
  </si>
  <si>
    <t xml:space="preserve">30Nos Solar Panel,  Delivery 3Inch  </t>
  </si>
  <si>
    <t xml:space="preserve">30Nos Solar Panel,  Delivery 2.5Inch  </t>
  </si>
  <si>
    <t>10 HP 650Ft Model</t>
  </si>
  <si>
    <t xml:space="preserve">30Nos Solar Panel,  Delivery 2Inch  </t>
  </si>
  <si>
    <t xml:space="preserve"> POLY CUSTOMER PRICE</t>
  </si>
  <si>
    <t>TVL</t>
  </si>
  <si>
    <t>MDU</t>
  </si>
  <si>
    <t>TRY</t>
  </si>
  <si>
    <t>CH</t>
  </si>
  <si>
    <t>VILLUPURAM</t>
  </si>
  <si>
    <t>1" 12 KG HDPE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</si>
</sst>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365F91"/>
      <name val="Arial Rounded MT Bold"/>
      <family val="2"/>
    </font>
    <font>
      <sz val="10"/>
      <color theme="1"/>
      <name val="Arial Rounded MT Bold"/>
      <family val="2"/>
    </font>
    <font>
      <b/>
      <sz val="18"/>
      <color rgb="FF1F497D"/>
      <name val="Arial Rounded MT Bold"/>
      <family val="2"/>
    </font>
    <font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color rgb="FF1F497D"/>
      <name val="Times New Roman"/>
      <family val="1"/>
    </font>
    <font>
      <b/>
      <sz val="15"/>
      <color theme="1"/>
      <name val="Times New Roman"/>
      <family val="1"/>
    </font>
    <font>
      <b/>
      <sz val="36"/>
      <color theme="1"/>
      <name val="Times New Roman"/>
      <family val="1"/>
    </font>
    <font>
      <b/>
      <sz val="22"/>
      <color theme="1"/>
      <name val="Times New Roman"/>
      <family val="1"/>
    </font>
    <font>
      <b/>
      <sz val="24"/>
      <color theme="1"/>
      <name val="Times New Roman"/>
      <family val="1"/>
    </font>
    <font>
      <sz val="22"/>
      <color theme="1"/>
      <name val="Times New Roman"/>
      <family val="1"/>
    </font>
    <font>
      <sz val="36"/>
      <color theme="1"/>
      <name val="Times New Roman"/>
      <family val="1"/>
    </font>
    <font>
      <b/>
      <sz val="36"/>
      <color rgb="FF365F91"/>
      <name val="Times New Roman"/>
      <family val="1"/>
    </font>
    <font>
      <b/>
      <i/>
      <sz val="36"/>
      <color rgb="FF00B0F0"/>
      <name val="Times New Roman"/>
      <family val="1"/>
    </font>
    <font>
      <b/>
      <i/>
      <u/>
      <sz val="36"/>
      <color theme="3" tint="-0.249977111117893"/>
      <name val="Times New Roman"/>
      <family val="1"/>
    </font>
    <font>
      <b/>
      <u/>
      <sz val="36"/>
      <color rgb="FF365F91"/>
      <name val="Times New Roman"/>
      <family val="1"/>
    </font>
    <font>
      <b/>
      <sz val="36"/>
      <color rgb="FF1F497D"/>
      <name val="Times New Roman"/>
      <family val="1"/>
    </font>
    <font>
      <sz val="30"/>
      <color theme="1"/>
      <name val="Times New Roman"/>
      <family val="1"/>
    </font>
    <font>
      <b/>
      <sz val="26"/>
      <color theme="1"/>
      <name val="Times New Roman"/>
      <family val="1"/>
    </font>
    <font>
      <b/>
      <sz val="36"/>
      <color rgb="FFFF0000"/>
      <name val="Times New Roman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1" fontId="0" fillId="0" borderId="0" xfId="0" applyNumberForma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 wrapText="1"/>
    </xf>
    <xf numFmtId="1" fontId="1" fillId="0" borderId="0" xfId="0" applyNumberFormat="1" applyFont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 indent="5"/>
    </xf>
    <xf numFmtId="0" fontId="5" fillId="0" borderId="0" xfId="0" applyFont="1"/>
    <xf numFmtId="0" fontId="8" fillId="0" borderId="0" xfId="0" applyFont="1" applyAlignment="1"/>
    <xf numFmtId="0" fontId="0" fillId="2" borderId="0" xfId="0" applyFill="1" applyAlignment="1">
      <alignment wrapText="1"/>
    </xf>
    <xf numFmtId="0" fontId="0" fillId="3" borderId="0" xfId="0" applyFill="1" applyAlignment="1"/>
    <xf numFmtId="1" fontId="10" fillId="0" borderId="0" xfId="0" applyNumberFormat="1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3" fillId="0" borderId="0" xfId="0" applyFont="1" applyAlignment="1"/>
    <xf numFmtId="1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15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 applyAlignment="1"/>
    <xf numFmtId="0" fontId="23" fillId="0" borderId="0" xfId="0" applyFont="1" applyAlignment="1">
      <alignment horizontal="left" indent="5"/>
    </xf>
    <xf numFmtId="1" fontId="16" fillId="0" borderId="1" xfId="0" applyNumberFormat="1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1" fontId="16" fillId="5" borderId="1" xfId="0" applyNumberFormat="1" applyFont="1" applyFill="1" applyBorder="1" applyAlignment="1">
      <alignment horizontal="center" vertical="center"/>
    </xf>
    <xf numFmtId="1" fontId="26" fillId="0" borderId="0" xfId="0" applyNumberFormat="1" applyFont="1" applyAlignment="1">
      <alignment vertical="center"/>
    </xf>
    <xf numFmtId="1" fontId="11" fillId="0" borderId="0" xfId="0" applyNumberFormat="1" applyFont="1" applyAlignment="1">
      <alignment vertical="center"/>
    </xf>
    <xf numFmtId="1" fontId="26" fillId="0" borderId="1" xfId="0" applyNumberFormat="1" applyFont="1" applyBorder="1" applyAlignment="1">
      <alignment vertical="center"/>
    </xf>
    <xf numFmtId="1" fontId="18" fillId="0" borderId="0" xfId="0" applyNumberFormat="1" applyFont="1" applyBorder="1" applyAlignment="1">
      <alignment vertical="center" wrapText="1"/>
    </xf>
    <xf numFmtId="1" fontId="26" fillId="0" borderId="0" xfId="0" applyNumberFormat="1" applyFont="1" applyBorder="1" applyAlignment="1">
      <alignment vertical="center"/>
    </xf>
    <xf numFmtId="1" fontId="16" fillId="0" borderId="1" xfId="0" applyNumberFormat="1" applyFont="1" applyBorder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/>
    </xf>
    <xf numFmtId="165" fontId="16" fillId="0" borderId="13" xfId="0" applyNumberFormat="1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165" fontId="16" fillId="0" borderId="0" xfId="0" applyNumberFormat="1" applyFont="1" applyBorder="1" applyAlignment="1">
      <alignment horizontal="center" vertical="center"/>
    </xf>
    <xf numFmtId="1" fontId="16" fillId="6" borderId="1" xfId="0" applyNumberFormat="1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/>
    </xf>
    <xf numFmtId="1" fontId="26" fillId="0" borderId="1" xfId="0" applyNumberFormat="1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 wrapText="1"/>
    </xf>
    <xf numFmtId="1" fontId="18" fillId="0" borderId="12" xfId="0" applyNumberFormat="1" applyFont="1" applyBorder="1" applyAlignment="1">
      <alignment horizontal="center" vertical="center"/>
    </xf>
    <xf numFmtId="1" fontId="18" fillId="0" borderId="12" xfId="0" applyNumberFormat="1" applyFont="1" applyBorder="1" applyAlignment="1">
      <alignment horizontal="center" vertical="center" wrapText="1"/>
    </xf>
    <xf numFmtId="1" fontId="14" fillId="0" borderId="14" xfId="0" applyNumberFormat="1" applyFont="1" applyBorder="1" applyAlignment="1">
      <alignment vertical="center" wrapText="1"/>
    </xf>
    <xf numFmtId="1" fontId="17" fillId="0" borderId="7" xfId="0" applyNumberFormat="1" applyFont="1" applyBorder="1" applyAlignment="1">
      <alignment horizontal="center" vertical="center" wrapText="1"/>
    </xf>
    <xf numFmtId="165" fontId="17" fillId="0" borderId="8" xfId="0" applyNumberFormat="1" applyFont="1" applyBorder="1" applyAlignment="1">
      <alignment horizontal="center" vertical="center" wrapText="1"/>
    </xf>
    <xf numFmtId="1" fontId="18" fillId="0" borderId="7" xfId="0" applyNumberFormat="1" applyFont="1" applyBorder="1" applyAlignment="1">
      <alignment horizontal="center" vertical="center"/>
    </xf>
    <xf numFmtId="1" fontId="26" fillId="0" borderId="8" xfId="0" applyNumberFormat="1" applyFont="1" applyBorder="1" applyAlignment="1">
      <alignment horizontal="center" vertical="center"/>
    </xf>
    <xf numFmtId="1" fontId="18" fillId="0" borderId="19" xfId="0" applyNumberFormat="1" applyFont="1" applyBorder="1" applyAlignment="1">
      <alignment horizontal="center" vertical="center"/>
    </xf>
    <xf numFmtId="1" fontId="18" fillId="0" borderId="9" xfId="0" applyNumberFormat="1" applyFont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 wrapText="1"/>
    </xf>
    <xf numFmtId="1" fontId="18" fillId="0" borderId="10" xfId="0" applyNumberFormat="1" applyFont="1" applyBorder="1" applyAlignment="1">
      <alignment horizontal="center" vertical="center"/>
    </xf>
    <xf numFmtId="1" fontId="26" fillId="0" borderId="10" xfId="0" applyNumberFormat="1" applyFont="1" applyBorder="1" applyAlignment="1">
      <alignment horizontal="center" vertical="center"/>
    </xf>
    <xf numFmtId="1" fontId="26" fillId="0" borderId="11" xfId="0" applyNumberFormat="1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/>
    </xf>
    <xf numFmtId="1" fontId="18" fillId="0" borderId="7" xfId="0" applyNumberFormat="1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/>
    </xf>
    <xf numFmtId="1" fontId="17" fillId="0" borderId="6" xfId="0" applyNumberFormat="1" applyFont="1" applyBorder="1" applyAlignment="1">
      <alignment horizontal="center" vertical="center" wrapText="1"/>
    </xf>
    <xf numFmtId="1" fontId="26" fillId="0" borderId="6" xfId="0" applyNumberFormat="1" applyFont="1" applyBorder="1" applyAlignment="1">
      <alignment horizontal="center" vertical="center"/>
    </xf>
    <xf numFmtId="1" fontId="26" fillId="0" borderId="25" xfId="0" applyNumberFormat="1" applyFont="1" applyBorder="1" applyAlignment="1">
      <alignment horizontal="center" vertical="center"/>
    </xf>
    <xf numFmtId="1" fontId="26" fillId="0" borderId="3" xfId="0" applyNumberFormat="1" applyFont="1" applyBorder="1" applyAlignment="1">
      <alignment horizontal="center" vertical="center"/>
    </xf>
    <xf numFmtId="1" fontId="26" fillId="0" borderId="26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28" fillId="7" borderId="0" xfId="0" applyFont="1" applyFill="1"/>
    <xf numFmtId="0" fontId="0" fillId="7" borderId="0" xfId="0" applyFill="1"/>
    <xf numFmtId="1" fontId="0" fillId="0" borderId="0" xfId="0" applyNumberFormat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0" fontId="29" fillId="7" borderId="0" xfId="0" applyFont="1" applyFill="1"/>
    <xf numFmtId="0" fontId="4" fillId="0" borderId="6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7" borderId="0" xfId="0" applyFont="1" applyFill="1"/>
    <xf numFmtId="0" fontId="4" fillId="0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" fontId="29" fillId="7" borderId="1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0" fontId="28" fillId="8" borderId="0" xfId="0" applyFont="1" applyFill="1"/>
    <xf numFmtId="0" fontId="29" fillId="8" borderId="0" xfId="0" applyFont="1" applyFill="1"/>
    <xf numFmtId="1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9" fontId="4" fillId="0" borderId="1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/>
    </xf>
    <xf numFmtId="0" fontId="0" fillId="8" borderId="0" xfId="0" applyFill="1"/>
    <xf numFmtId="0" fontId="4" fillId="8" borderId="0" xfId="0" applyFont="1" applyFill="1"/>
    <xf numFmtId="1" fontId="4" fillId="7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1" fontId="18" fillId="0" borderId="7" xfId="0" applyNumberFormat="1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28" fillId="7" borderId="1" xfId="0" applyFont="1" applyFill="1" applyBorder="1"/>
    <xf numFmtId="1" fontId="29" fillId="7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1" fontId="29" fillId="7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center" vertical="center" wrapText="1"/>
    </xf>
    <xf numFmtId="1" fontId="4" fillId="0" borderId="27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" fontId="2" fillId="4" borderId="3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 wrapText="1"/>
    </xf>
    <xf numFmtId="1" fontId="26" fillId="5" borderId="19" xfId="0" applyNumberFormat="1" applyFont="1" applyFill="1" applyBorder="1" applyAlignment="1">
      <alignment horizontal="center" vertical="center"/>
    </xf>
    <xf numFmtId="1" fontId="26" fillId="5" borderId="12" xfId="0" applyNumberFormat="1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4" fontId="17" fillId="0" borderId="17" xfId="0" applyNumberFormat="1" applyFont="1" applyBorder="1" applyAlignment="1">
      <alignment horizontal="left" vertical="center" wrapText="1"/>
    </xf>
    <xf numFmtId="164" fontId="17" fillId="0" borderId="18" xfId="0" applyNumberFormat="1" applyFont="1" applyBorder="1" applyAlignment="1">
      <alignment horizontal="left" vertical="center" wrapText="1"/>
    </xf>
    <xf numFmtId="1" fontId="15" fillId="0" borderId="15" xfId="0" applyNumberFormat="1" applyFont="1" applyBorder="1" applyAlignment="1">
      <alignment horizontal="center" vertical="center" wrapText="1"/>
    </xf>
    <xf numFmtId="1" fontId="15" fillId="0" borderId="14" xfId="0" applyNumberFormat="1" applyFont="1" applyBorder="1" applyAlignment="1">
      <alignment horizontal="center" vertical="center" wrapText="1"/>
    </xf>
    <xf numFmtId="1" fontId="15" fillId="0" borderId="23" xfId="0" applyNumberFormat="1" applyFont="1" applyBorder="1" applyAlignment="1">
      <alignment horizontal="center" vertical="center" wrapText="1"/>
    </xf>
    <xf numFmtId="1" fontId="15" fillId="0" borderId="18" xfId="0" applyNumberFormat="1" applyFont="1" applyBorder="1" applyAlignment="1">
      <alignment horizontal="center" vertical="center" wrapText="1"/>
    </xf>
    <xf numFmtId="1" fontId="18" fillId="0" borderId="7" xfId="0" applyNumberFormat="1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 wrapText="1"/>
    </xf>
    <xf numFmtId="1" fontId="26" fillId="0" borderId="16" xfId="0" applyNumberFormat="1" applyFont="1" applyBorder="1" applyAlignment="1">
      <alignment horizontal="center" vertical="center"/>
    </xf>
    <xf numFmtId="1" fontId="26" fillId="0" borderId="13" xfId="0" applyNumberFormat="1" applyFont="1" applyBorder="1" applyAlignment="1">
      <alignment horizontal="center" vertical="center"/>
    </xf>
    <xf numFmtId="0" fontId="19" fillId="2" borderId="0" xfId="0" applyFont="1" applyFill="1" applyAlignment="1">
      <alignment horizontal="center" wrapText="1"/>
    </xf>
    <xf numFmtId="0" fontId="25" fillId="3" borderId="0" xfId="0" applyFont="1" applyFill="1" applyAlignment="1">
      <alignment horizontal="center"/>
    </xf>
    <xf numFmtId="1" fontId="16" fillId="0" borderId="1" xfId="0" applyNumberFormat="1" applyFont="1" applyBorder="1" applyAlignment="1">
      <alignment horizontal="center" vertical="center" wrapText="1"/>
    </xf>
    <xf numFmtId="1" fontId="26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/>
    </xf>
    <xf numFmtId="1" fontId="26" fillId="5" borderId="20" xfId="0" applyNumberFormat="1" applyFont="1" applyFill="1" applyBorder="1" applyAlignment="1">
      <alignment horizontal="center" vertical="center"/>
    </xf>
    <xf numFmtId="1" fontId="15" fillId="0" borderId="24" xfId="0" applyNumberFormat="1" applyFont="1" applyBorder="1" applyAlignment="1">
      <alignment horizontal="center" vertical="center" wrapText="1"/>
    </xf>
    <xf numFmtId="1" fontId="26" fillId="0" borderId="21" xfId="0" applyNumberFormat="1" applyFont="1" applyBorder="1" applyAlignment="1">
      <alignment horizontal="center" vertical="center"/>
    </xf>
    <xf numFmtId="1" fontId="26" fillId="0" borderId="2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48325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6</xdr:col>
      <xdr:colOff>759941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8909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4132" y="99362"/>
          <a:ext cx="2760960" cy="117460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115561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31559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34634</xdr:colOff>
      <xdr:row>0</xdr:row>
      <xdr:rowOff>0</xdr:rowOff>
    </xdr:from>
    <xdr:to>
      <xdr:col>21</xdr:col>
      <xdr:colOff>7938</xdr:colOff>
      <xdr:row>11</xdr:row>
      <xdr:rowOff>285750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4" y="0"/>
          <a:ext cx="21539491" cy="3952875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93149</xdr:colOff>
      <xdr:row>21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70324" cy="4143374"/>
        </a:xfrm>
        <a:prstGeom prst="rect">
          <a:avLst/>
        </a:prstGeom>
      </xdr:spPr>
    </xdr:pic>
    <xdr:clientData/>
  </xdr:twoCellAnchor>
  <xdr:twoCellAnchor editAs="oneCell">
    <xdr:from>
      <xdr:col>2</xdr:col>
      <xdr:colOff>3251038</xdr:colOff>
      <xdr:row>0</xdr:row>
      <xdr:rowOff>99362</xdr:rowOff>
    </xdr:from>
    <xdr:to>
      <xdr:col>7</xdr:col>
      <xdr:colOff>9147</xdr:colOff>
      <xdr:row>6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6988" y="99362"/>
          <a:ext cx="2749334" cy="11746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1\d\SATHIS\SHANKAR\NEW%20POLY%20340W%20AC%201HP%20TO%2010HP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HP TO 10HP PRICE"/>
      <sheetName val="Work Sheet"/>
      <sheetName val="1HP -30M"/>
      <sheetName val="1HP -60M"/>
      <sheetName val="1 HP -100M"/>
      <sheetName val="2 HP - 30M"/>
      <sheetName val="2 HP -60M"/>
      <sheetName val="2HP -100M"/>
      <sheetName val="2HP -135M"/>
      <sheetName val="3 HP -30M"/>
      <sheetName val="3 HP -60M"/>
      <sheetName val="3 HP -100M"/>
      <sheetName val="3 HP-150M "/>
      <sheetName val="3 HP-200M"/>
      <sheetName val="5 HP-30M"/>
      <sheetName val="5 HP-60M"/>
      <sheetName val="5 HP-100M"/>
      <sheetName val="5 HP-150M"/>
      <sheetName val="5 HP-250M"/>
      <sheetName val="5 HP-300M"/>
      <sheetName val="7.5 HP-30M"/>
      <sheetName val="7.5HP-60M"/>
      <sheetName val="7.5HP-100M"/>
      <sheetName val="7.5HP-150M"/>
      <sheetName val="7.5HP-250M"/>
      <sheetName val="7.5HP-300M"/>
      <sheetName val="10 HP-30M"/>
      <sheetName val="10HP -60M"/>
      <sheetName val="10HP-100M"/>
      <sheetName val="10HP-150M"/>
      <sheetName val="10HP-250M"/>
      <sheetName val="10HP-300M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4">
          <cell r="E54">
            <v>226375</v>
          </cell>
        </row>
      </sheetData>
      <sheetData sheetId="11"/>
      <sheetData sheetId="12">
        <row r="54">
          <cell r="E54">
            <v>257175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C25"/>
  <sheetViews>
    <sheetView topLeftCell="A10" workbookViewId="0">
      <selection activeCell="C27" sqref="C27"/>
    </sheetView>
  </sheetViews>
  <sheetFormatPr defaultRowHeight="14.4" x14ac:dyDescent="0.3"/>
  <cols>
    <col min="2" max="2" width="17.6640625" bestFit="1" customWidth="1"/>
  </cols>
  <sheetData>
    <row r="7" spans="2:2" x14ac:dyDescent="0.3">
      <c r="B7" t="s">
        <v>290</v>
      </c>
    </row>
    <row r="9" spans="2:2" x14ac:dyDescent="0.3">
      <c r="B9" t="s">
        <v>291</v>
      </c>
    </row>
    <row r="11" spans="2:2" x14ac:dyDescent="0.3">
      <c r="B11" t="s">
        <v>292</v>
      </c>
    </row>
    <row r="13" spans="2:2" x14ac:dyDescent="0.3">
      <c r="B13" t="s">
        <v>293</v>
      </c>
    </row>
    <row r="15" spans="2:2" x14ac:dyDescent="0.3">
      <c r="B15" t="s">
        <v>294</v>
      </c>
    </row>
    <row r="17" spans="2:3" x14ac:dyDescent="0.3">
      <c r="B17" t="s">
        <v>295</v>
      </c>
      <c r="C17">
        <v>200</v>
      </c>
    </row>
    <row r="19" spans="2:3" x14ac:dyDescent="0.3">
      <c r="B19" t="s">
        <v>296</v>
      </c>
      <c r="C19">
        <v>50</v>
      </c>
    </row>
    <row r="21" spans="2:3" x14ac:dyDescent="0.3">
      <c r="B21" t="s">
        <v>297</v>
      </c>
      <c r="C21">
        <v>100</v>
      </c>
    </row>
    <row r="23" spans="2:3" x14ac:dyDescent="0.3">
      <c r="B23" t="s">
        <v>298</v>
      </c>
      <c r="C23">
        <v>30000</v>
      </c>
    </row>
    <row r="25" spans="2:3" x14ac:dyDescent="0.3">
      <c r="B25" t="s">
        <v>299</v>
      </c>
      <c r="C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6:M59"/>
  <sheetViews>
    <sheetView topLeftCell="A23" zoomScale="85" zoomScaleNormal="85" workbookViewId="0">
      <selection activeCell="E35" sqref="E35"/>
    </sheetView>
  </sheetViews>
  <sheetFormatPr defaultColWidth="9.109375" defaultRowHeight="14.4" x14ac:dyDescent="0.3"/>
  <cols>
    <col min="1" max="1" width="5.33203125" style="99" customWidth="1"/>
    <col min="2" max="2" width="23" style="99" customWidth="1"/>
    <col min="3" max="3" width="50.33203125" style="99" customWidth="1"/>
    <col min="4" max="4" width="8" style="99" customWidth="1"/>
    <col min="5" max="5" width="9.88671875" style="99" bestFit="1" customWidth="1"/>
    <col min="6" max="6" width="10.88671875" style="99" bestFit="1" customWidth="1"/>
    <col min="7" max="7" width="10.88671875" style="99" customWidth="1"/>
    <col min="8" max="8" width="12.5546875" style="99" bestFit="1" customWidth="1"/>
    <col min="9" max="9" width="9.109375" style="99"/>
    <col min="10" max="10" width="10.44140625" style="99" customWidth="1"/>
    <col min="11" max="16384" width="9.109375" style="99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419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404</v>
      </c>
      <c r="E25" s="6">
        <f>Individual!C8*7</f>
        <v>63315</v>
      </c>
      <c r="F25" s="6">
        <f t="shared" ref="F25:F32" si="0">(E25*1.05)*1.12</f>
        <v>74458.44</v>
      </c>
      <c r="G25" s="6">
        <f t="shared" ref="G25:G32" si="1">(E25*1.08)*1.12</f>
        <v>76585.824000000022</v>
      </c>
      <c r="H25" s="6">
        <f>(E25*1.2)*1.12</f>
        <v>85095.360000000015</v>
      </c>
    </row>
    <row r="26" spans="1:8" x14ac:dyDescent="0.3">
      <c r="A26" s="6">
        <v>2</v>
      </c>
      <c r="B26" s="7" t="s">
        <v>19</v>
      </c>
      <c r="C26" s="7" t="s">
        <v>405</v>
      </c>
      <c r="D26" s="6" t="s">
        <v>5</v>
      </c>
      <c r="E26" s="6">
        <f>Individual!C13</f>
        <v>16500</v>
      </c>
      <c r="F26" s="6">
        <f t="shared" si="0"/>
        <v>19404.000000000004</v>
      </c>
      <c r="G26" s="6">
        <f t="shared" si="1"/>
        <v>19958.400000000001</v>
      </c>
      <c r="H26" s="6">
        <f t="shared" ref="H26:H32" si="2">(E26*1.2)*1.12</f>
        <v>22176.000000000004</v>
      </c>
    </row>
    <row r="27" spans="1:8" ht="28.8" x14ac:dyDescent="0.3">
      <c r="A27" s="6">
        <v>3</v>
      </c>
      <c r="B27" s="7" t="s">
        <v>6</v>
      </c>
      <c r="C27" s="7" t="s">
        <v>406</v>
      </c>
      <c r="D27" s="6" t="s">
        <v>5</v>
      </c>
      <c r="E27" s="6">
        <f>Individual!K6</f>
        <v>16850</v>
      </c>
      <c r="F27" s="6">
        <f t="shared" si="0"/>
        <v>19815.600000000002</v>
      </c>
      <c r="G27" s="6">
        <f t="shared" si="1"/>
        <v>20381.760000000002</v>
      </c>
      <c r="H27" s="6">
        <f t="shared" si="2"/>
        <v>22646.400000000001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22</v>
      </c>
      <c r="E28" s="6">
        <f>Individual!C59*30</f>
        <v>1050</v>
      </c>
      <c r="F28" s="6">
        <f t="shared" si="0"/>
        <v>1234.8000000000002</v>
      </c>
      <c r="G28" s="6">
        <f t="shared" si="1"/>
        <v>1270.0800000000002</v>
      </c>
      <c r="H28" s="6">
        <f t="shared" si="2"/>
        <v>1411.2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3978.2400000000002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4704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Individual!C139</f>
        <v>7000</v>
      </c>
      <c r="F31" s="6">
        <f t="shared" si="0"/>
        <v>8232</v>
      </c>
      <c r="G31" s="6">
        <f t="shared" si="1"/>
        <v>8467.2000000000025</v>
      </c>
      <c r="H31" s="6">
        <f t="shared" si="2"/>
        <v>9408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Individual!C145</f>
        <v>4000</v>
      </c>
      <c r="F32" s="6">
        <f t="shared" si="0"/>
        <v>4704</v>
      </c>
      <c r="G32" s="6">
        <f t="shared" si="1"/>
        <v>4838.4000000000005</v>
      </c>
      <c r="H32" s="6">
        <f t="shared" si="2"/>
        <v>5376.0000000000009</v>
      </c>
    </row>
    <row r="33" spans="1:8" ht="18" x14ac:dyDescent="0.3">
      <c r="A33" s="6"/>
      <c r="B33" s="6"/>
      <c r="C33" s="6" t="s">
        <v>14</v>
      </c>
      <c r="D33" s="6"/>
      <c r="E33" s="88">
        <f>SUM(E25:E32)</f>
        <v>115175</v>
      </c>
      <c r="F33" s="88">
        <f>SUM(F25:F32)</f>
        <v>135445.80000000002</v>
      </c>
      <c r="G33" s="88">
        <f>SUM(G25:G32)</f>
        <v>139315.68000000002</v>
      </c>
      <c r="H33" s="88">
        <f>SUM(H25:H32)</f>
        <v>154795.20000000001</v>
      </c>
    </row>
    <row r="35" spans="1:8" ht="28.8" x14ac:dyDescent="0.3">
      <c r="A35" s="6">
        <v>9</v>
      </c>
      <c r="B35" s="7" t="s">
        <v>20</v>
      </c>
      <c r="C35" s="7" t="s">
        <v>407</v>
      </c>
      <c r="D35" s="6" t="s">
        <v>5</v>
      </c>
      <c r="E35" s="6">
        <f>Individual!K104</f>
        <v>13359</v>
      </c>
      <c r="F35" s="6">
        <f>(E35*1.05)*1.12</f>
        <v>15710.184000000003</v>
      </c>
      <c r="G35" s="6">
        <f>(E35*1.08)*1.12</f>
        <v>16159.046400000003</v>
      </c>
      <c r="H35" s="6">
        <f>(E35*1.2)*1.12</f>
        <v>17954.495999999999</v>
      </c>
    </row>
    <row r="36" spans="1:8" ht="18" x14ac:dyDescent="0.3">
      <c r="A36" s="10"/>
      <c r="B36" s="11"/>
      <c r="C36" s="6" t="s">
        <v>14</v>
      </c>
      <c r="D36" s="6"/>
      <c r="E36" s="88">
        <f>SUM(E33:E35)</f>
        <v>128534</v>
      </c>
      <c r="F36" s="88">
        <f t="shared" ref="F36" si="3">SUM(F33:F35)</f>
        <v>151155.98400000003</v>
      </c>
      <c r="G36" s="88">
        <f>SUM(G33:G35)</f>
        <v>155474.72640000001</v>
      </c>
      <c r="H36" s="88">
        <f>SUM(H33:H35)</f>
        <v>172749.696</v>
      </c>
    </row>
    <row r="37" spans="1:8" x14ac:dyDescent="0.3">
      <c r="B37" s="99" t="s">
        <v>23</v>
      </c>
    </row>
    <row r="38" spans="1:8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(E38*1.2)*1.12</f>
        <v>9374.4000000000015</v>
      </c>
    </row>
    <row r="39" spans="1:8" ht="18" x14ac:dyDescent="0.3">
      <c r="C39" s="6" t="s">
        <v>14</v>
      </c>
      <c r="D39" s="6"/>
      <c r="E39" s="88">
        <f>SUM(E36:E38)</f>
        <v>135509</v>
      </c>
      <c r="F39" s="88">
        <f>SUM(F36:F38)</f>
        <v>159358.58400000003</v>
      </c>
      <c r="G39" s="88">
        <f>SUM(G36:G38)</f>
        <v>163911.68640000001</v>
      </c>
      <c r="H39" s="88">
        <f>SUM(H36:H38)</f>
        <v>182124.09599999999</v>
      </c>
    </row>
    <row r="40" spans="1:8" x14ac:dyDescent="0.3">
      <c r="B40" s="99" t="s">
        <v>23</v>
      </c>
    </row>
    <row r="41" spans="1:8" x14ac:dyDescent="0.3">
      <c r="A41" s="6">
        <v>11</v>
      </c>
      <c r="B41" s="6" t="s">
        <v>287</v>
      </c>
      <c r="C41" s="7" t="s">
        <v>7</v>
      </c>
      <c r="D41" s="6" t="s">
        <v>21</v>
      </c>
      <c r="E41" s="6">
        <f>Individual!C97*15</f>
        <v>2787.5</v>
      </c>
      <c r="F41" s="6">
        <f t="shared" ref="F41:F44" si="4">(E41*1.05)*1.12</f>
        <v>3278.1000000000004</v>
      </c>
      <c r="G41" s="6">
        <f t="shared" ref="G41:G44" si="5">(E41*1.08)*1.12</f>
        <v>3371.76</v>
      </c>
      <c r="H41" s="6">
        <f>(E41*1.2)*1.12</f>
        <v>3746.4000000000005</v>
      </c>
    </row>
    <row r="42" spans="1:8" x14ac:dyDescent="0.3">
      <c r="A42" s="6">
        <v>12</v>
      </c>
      <c r="B42" s="6" t="s">
        <v>25</v>
      </c>
      <c r="C42" s="7" t="s">
        <v>7</v>
      </c>
      <c r="D42" s="6" t="s">
        <v>408</v>
      </c>
      <c r="E42" s="6">
        <f>Individual!C69*20</f>
        <v>1355.9322033898306</v>
      </c>
      <c r="F42" s="6">
        <f t="shared" si="4"/>
        <v>1594.5762711864409</v>
      </c>
      <c r="G42" s="6">
        <f t="shared" si="5"/>
        <v>1640.1355932203394</v>
      </c>
      <c r="H42" s="6">
        <f t="shared" ref="H42:H44" si="6">(E42*1.2)*1.12</f>
        <v>1822.3728813559326</v>
      </c>
    </row>
    <row r="43" spans="1:8" x14ac:dyDescent="0.3">
      <c r="A43" s="6">
        <v>13</v>
      </c>
      <c r="B43" s="7" t="s">
        <v>26</v>
      </c>
      <c r="C43" s="7" t="s">
        <v>7</v>
      </c>
      <c r="D43" s="6" t="s">
        <v>408</v>
      </c>
      <c r="E43" s="6">
        <f>Individual!C74*20</f>
        <v>440</v>
      </c>
      <c r="F43" s="6">
        <f t="shared" si="4"/>
        <v>517.44000000000005</v>
      </c>
      <c r="G43" s="6">
        <f t="shared" si="5"/>
        <v>532.22400000000005</v>
      </c>
      <c r="H43" s="6">
        <f t="shared" si="6"/>
        <v>591.36</v>
      </c>
    </row>
    <row r="44" spans="1:8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Individual!C80</f>
        <v>3205</v>
      </c>
      <c r="F44" s="6">
        <f t="shared" si="4"/>
        <v>3769.0800000000004</v>
      </c>
      <c r="G44" s="6">
        <f t="shared" si="5"/>
        <v>3876.7680000000005</v>
      </c>
      <c r="H44" s="6">
        <f t="shared" si="6"/>
        <v>4307.5200000000004</v>
      </c>
    </row>
    <row r="45" spans="1:8" ht="18" x14ac:dyDescent="0.3">
      <c r="C45" s="6" t="s">
        <v>14</v>
      </c>
      <c r="D45" s="6"/>
      <c r="E45" s="88">
        <f>SUM(E39:E44)</f>
        <v>143297.43220338982</v>
      </c>
      <c r="F45" s="88">
        <f>SUM(F39:F44)</f>
        <v>168517.78027118646</v>
      </c>
      <c r="G45" s="88">
        <f>SUM(G39:G44)</f>
        <v>173332.57399322034</v>
      </c>
      <c r="H45" s="88">
        <f>SUM(H39:H44)</f>
        <v>192591.74888135589</v>
      </c>
    </row>
    <row r="46" spans="1:8" ht="18" x14ac:dyDescent="0.3">
      <c r="C46" s="10"/>
      <c r="D46" s="10"/>
      <c r="E46" s="31"/>
      <c r="F46" s="31"/>
      <c r="G46" s="31"/>
      <c r="H46" s="31"/>
    </row>
    <row r="47" spans="1:8" ht="18" x14ac:dyDescent="0.3">
      <c r="C47" s="10"/>
      <c r="D47" s="10"/>
      <c r="E47" s="31"/>
      <c r="F47" s="31"/>
      <c r="G47" s="31"/>
      <c r="H47" s="31"/>
    </row>
    <row r="48" spans="1:8" ht="18" x14ac:dyDescent="0.3">
      <c r="C48" s="10"/>
      <c r="D48" s="10"/>
      <c r="E48" s="31"/>
      <c r="F48" s="31"/>
      <c r="G48" s="31"/>
      <c r="H48" s="31"/>
    </row>
    <row r="49" spans="1:13" ht="18" x14ac:dyDescent="0.3">
      <c r="C49" s="10"/>
      <c r="D49" s="10"/>
      <c r="E49" s="31"/>
      <c r="F49" s="31"/>
      <c r="G49" s="31"/>
      <c r="H49" s="31"/>
    </row>
    <row r="50" spans="1:13" ht="18" x14ac:dyDescent="0.3">
      <c r="C50" s="10"/>
      <c r="D50" s="10"/>
      <c r="E50" s="31"/>
      <c r="F50" s="31"/>
      <c r="G50" s="31"/>
      <c r="H50" s="31"/>
    </row>
    <row r="52" spans="1:13" ht="25.8" x14ac:dyDescent="0.5">
      <c r="A52" s="16" t="s">
        <v>33</v>
      </c>
      <c r="B52"/>
      <c r="C52"/>
      <c r="D52"/>
      <c r="E52"/>
      <c r="F52"/>
      <c r="G52"/>
      <c r="H52"/>
      <c r="I52"/>
      <c r="J52"/>
      <c r="K52"/>
      <c r="L52"/>
      <c r="M52"/>
    </row>
    <row r="53" spans="1:13" x14ac:dyDescent="0.3">
      <c r="A53" s="13"/>
      <c r="B53"/>
      <c r="C53"/>
      <c r="D53"/>
      <c r="E53"/>
      <c r="F53"/>
      <c r="G53"/>
      <c r="H53"/>
      <c r="I53"/>
      <c r="J53"/>
      <c r="K53"/>
      <c r="L53"/>
      <c r="M53"/>
    </row>
    <row r="54" spans="1:13" x14ac:dyDescent="0.3">
      <c r="A54" s="13"/>
      <c r="B54" s="13"/>
      <c r="C54" s="14"/>
      <c r="D54" s="14"/>
      <c r="E54" s="14"/>
      <c r="F54" s="14"/>
      <c r="G54" s="14"/>
      <c r="H54"/>
      <c r="I54"/>
      <c r="J54"/>
      <c r="K54"/>
      <c r="L54"/>
      <c r="M54"/>
    </row>
    <row r="55" spans="1:13" x14ac:dyDescent="0.3">
      <c r="A55" s="15"/>
      <c r="B55" s="15"/>
      <c r="C55" s="14"/>
      <c r="D55" s="14"/>
      <c r="E55" s="14"/>
      <c r="F55" s="14"/>
      <c r="G55" s="14"/>
      <c r="H55"/>
      <c r="I55"/>
      <c r="J55"/>
      <c r="K55"/>
      <c r="L55"/>
      <c r="M55"/>
    </row>
    <row r="56" spans="1:13" ht="22.2" x14ac:dyDescent="0.35">
      <c r="A56" s="182" t="s">
        <v>32</v>
      </c>
      <c r="B56" s="182"/>
      <c r="C56" s="182"/>
      <c r="D56" s="182"/>
      <c r="E56" s="182"/>
      <c r="F56" s="182"/>
      <c r="G56" s="182"/>
      <c r="H56" s="182"/>
      <c r="I56" s="17"/>
      <c r="J56" s="17"/>
      <c r="K56" s="17"/>
      <c r="L56" s="17"/>
      <c r="M56" s="17"/>
    </row>
    <row r="57" spans="1:13" ht="15" customHeight="1" x14ac:dyDescent="0.35">
      <c r="A57" s="183" t="s">
        <v>35</v>
      </c>
      <c r="B57" s="183"/>
      <c r="C57" s="183"/>
      <c r="D57" s="183"/>
      <c r="E57" s="183"/>
      <c r="F57" s="183"/>
      <c r="G57" s="183"/>
      <c r="H57" s="183"/>
      <c r="I57" s="18"/>
      <c r="J57" s="18"/>
      <c r="K57" s="18"/>
      <c r="L57" s="18"/>
      <c r="M57" s="18"/>
    </row>
    <row r="58" spans="1:13" ht="15" customHeight="1" x14ac:dyDescent="0.35">
      <c r="A58" s="183" t="s">
        <v>34</v>
      </c>
      <c r="B58" s="183"/>
      <c r="C58" s="183"/>
      <c r="D58" s="183"/>
      <c r="E58" s="183"/>
      <c r="F58" s="183"/>
      <c r="G58" s="183"/>
      <c r="H58" s="183"/>
      <c r="I58" s="18"/>
      <c r="J58" s="18"/>
      <c r="K58" s="18"/>
      <c r="L58" s="18"/>
      <c r="M58" s="18"/>
    </row>
    <row r="59" spans="1:13" ht="15.6" x14ac:dyDescent="0.3">
      <c r="A59" s="176" t="s">
        <v>36</v>
      </c>
      <c r="B59" s="176"/>
      <c r="C59" s="176"/>
      <c r="D59" s="176"/>
      <c r="E59" s="176"/>
      <c r="F59" s="176"/>
      <c r="G59" s="176"/>
      <c r="H59" s="176"/>
      <c r="I59" s="19"/>
      <c r="J59" s="19"/>
      <c r="K59" s="19"/>
      <c r="L59" s="19"/>
      <c r="M59" s="19"/>
    </row>
  </sheetData>
  <mergeCells count="7">
    <mergeCell ref="A59:H59"/>
    <mergeCell ref="B18:C21"/>
    <mergeCell ref="A22:H22"/>
    <mergeCell ref="A23:H23"/>
    <mergeCell ref="A56:H56"/>
    <mergeCell ref="A57:H57"/>
    <mergeCell ref="A58:H58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6:M61"/>
  <sheetViews>
    <sheetView topLeftCell="A28" zoomScale="85" zoomScaleNormal="85" workbookViewId="0">
      <selection activeCell="H45" sqref="H45"/>
    </sheetView>
  </sheetViews>
  <sheetFormatPr defaultColWidth="9.109375" defaultRowHeight="14.4" x14ac:dyDescent="0.3"/>
  <cols>
    <col min="1" max="1" width="5.33203125" style="139" customWidth="1"/>
    <col min="2" max="2" width="23" style="139" customWidth="1"/>
    <col min="3" max="3" width="50.33203125" style="139" customWidth="1"/>
    <col min="4" max="4" width="8" style="139" customWidth="1"/>
    <col min="5" max="5" width="9.88671875" style="139" bestFit="1" customWidth="1"/>
    <col min="6" max="6" width="10.88671875" style="139" bestFit="1" customWidth="1"/>
    <col min="7" max="7" width="10.88671875" style="139" customWidth="1"/>
    <col min="8" max="8" width="12.5546875" style="139" bestFit="1" customWidth="1"/>
    <col min="9" max="9" width="9.109375" style="139"/>
    <col min="10" max="10" width="10.44140625" style="139" customWidth="1"/>
    <col min="11" max="16384" width="9.109375" style="139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420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404</v>
      </c>
      <c r="E25" s="6">
        <f>Individual!C8*7</f>
        <v>63315</v>
      </c>
      <c r="F25" s="6">
        <f t="shared" ref="F25:F32" si="0">(E25*1.05)*1.12</f>
        <v>74458.44</v>
      </c>
      <c r="G25" s="6">
        <f t="shared" ref="G25:G32" si="1">(E25*1.08)*1.12</f>
        <v>76585.824000000022</v>
      </c>
      <c r="H25" s="6">
        <f>(E25*1.15)*1.12</f>
        <v>81549.72</v>
      </c>
    </row>
    <row r="26" spans="1:8" x14ac:dyDescent="0.3">
      <c r="A26" s="6">
        <v>2</v>
      </c>
      <c r="B26" s="7" t="s">
        <v>19</v>
      </c>
      <c r="C26" s="7" t="s">
        <v>405</v>
      </c>
      <c r="D26" s="6" t="s">
        <v>5</v>
      </c>
      <c r="E26" s="6">
        <v>16500</v>
      </c>
      <c r="F26" s="6">
        <f t="shared" si="0"/>
        <v>19404.000000000004</v>
      </c>
      <c r="G26" s="6">
        <f t="shared" si="1"/>
        <v>19958.400000000001</v>
      </c>
      <c r="H26" s="6">
        <f t="shared" ref="H26:H32" si="2">(E26*1.15)*1.12</f>
        <v>21252.000000000004</v>
      </c>
    </row>
    <row r="27" spans="1:8" ht="28.8" x14ac:dyDescent="0.3">
      <c r="A27" s="6">
        <v>3</v>
      </c>
      <c r="B27" s="7" t="s">
        <v>6</v>
      </c>
      <c r="C27" s="7" t="s">
        <v>406</v>
      </c>
      <c r="D27" s="6" t="s">
        <v>5</v>
      </c>
      <c r="E27" s="6">
        <v>16425</v>
      </c>
      <c r="F27" s="6">
        <f t="shared" si="0"/>
        <v>19315.800000000003</v>
      </c>
      <c r="G27" s="6">
        <f t="shared" si="1"/>
        <v>19867.68</v>
      </c>
      <c r="H27" s="6">
        <f t="shared" si="2"/>
        <v>21155.4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22</v>
      </c>
      <c r="E28" s="6">
        <f>Individual!C59*30</f>
        <v>1050</v>
      </c>
      <c r="F28" s="6">
        <f t="shared" si="0"/>
        <v>1234.8000000000002</v>
      </c>
      <c r="G28" s="6">
        <f t="shared" si="1"/>
        <v>1270.0800000000002</v>
      </c>
      <c r="H28" s="6">
        <f t="shared" si="2"/>
        <v>1352.4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3812.48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4508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Individual!C139</f>
        <v>7000</v>
      </c>
      <c r="F31" s="6">
        <f t="shared" si="0"/>
        <v>8232</v>
      </c>
      <c r="G31" s="6">
        <f t="shared" si="1"/>
        <v>8467.2000000000025</v>
      </c>
      <c r="H31" s="6">
        <f t="shared" si="2"/>
        <v>9016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Individual!C145</f>
        <v>4000</v>
      </c>
      <c r="F32" s="6">
        <f t="shared" si="0"/>
        <v>4704</v>
      </c>
      <c r="G32" s="6">
        <f t="shared" si="1"/>
        <v>4838.4000000000005</v>
      </c>
      <c r="H32" s="6">
        <f t="shared" si="2"/>
        <v>5152.0000000000009</v>
      </c>
    </row>
    <row r="33" spans="1:8" ht="18" x14ac:dyDescent="0.3">
      <c r="A33" s="6"/>
      <c r="B33" s="6"/>
      <c r="C33" s="6" t="s">
        <v>14</v>
      </c>
      <c r="D33" s="6"/>
      <c r="E33" s="88">
        <f>SUM(E25:E32)</f>
        <v>114750</v>
      </c>
      <c r="F33" s="88">
        <f>SUM(F25:F32)</f>
        <v>134946</v>
      </c>
      <c r="G33" s="88">
        <f>SUM(G25:G32)</f>
        <v>138801.60000000001</v>
      </c>
      <c r="H33" s="88">
        <f>SUM(H25:H32)</f>
        <v>147798</v>
      </c>
    </row>
    <row r="35" spans="1:8" ht="28.8" x14ac:dyDescent="0.3">
      <c r="A35" s="6">
        <v>9</v>
      </c>
      <c r="B35" s="7" t="s">
        <v>20</v>
      </c>
      <c r="C35" s="7" t="s">
        <v>421</v>
      </c>
      <c r="D35" s="6" t="s">
        <v>5</v>
      </c>
      <c r="E35" s="6">
        <f>Individual!K37</f>
        <v>25000</v>
      </c>
      <c r="F35" s="6">
        <f>(E35*1.05)*1.12</f>
        <v>29400.000000000004</v>
      </c>
      <c r="G35" s="6">
        <f>(E35*1.08)*1.12</f>
        <v>30240.000000000004</v>
      </c>
      <c r="H35" s="6">
        <f>(E35*1.15)*1.12</f>
        <v>32200</v>
      </c>
    </row>
    <row r="36" spans="1:8" ht="18" x14ac:dyDescent="0.3">
      <c r="A36" s="10"/>
      <c r="B36" s="11"/>
      <c r="C36" s="6" t="s">
        <v>14</v>
      </c>
      <c r="D36" s="6"/>
      <c r="E36" s="88">
        <f>SUM(E33:E35)</f>
        <v>139750</v>
      </c>
      <c r="F36" s="88">
        <f t="shared" ref="F36" si="3">SUM(F33:F35)</f>
        <v>164346</v>
      </c>
      <c r="G36" s="88">
        <f>SUM(G33:G35)</f>
        <v>169041.6</v>
      </c>
      <c r="H36" s="88">
        <f>SUM(H33:H35)</f>
        <v>179998</v>
      </c>
    </row>
    <row r="37" spans="1:8" x14ac:dyDescent="0.3">
      <c r="B37" s="139" t="s">
        <v>23</v>
      </c>
    </row>
    <row r="38" spans="1:8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(E38*1.15)*1.12</f>
        <v>8983.7999999999993</v>
      </c>
    </row>
    <row r="39" spans="1:8" ht="18" x14ac:dyDescent="0.3">
      <c r="C39" s="6" t="s">
        <v>14</v>
      </c>
      <c r="D39" s="6"/>
      <c r="E39" s="88">
        <f>SUM(E36:E38)</f>
        <v>146725</v>
      </c>
      <c r="F39" s="88">
        <f>SUM(F36:F38)</f>
        <v>172548.6</v>
      </c>
      <c r="G39" s="88">
        <f>SUM(G36:G38)</f>
        <v>177478.56</v>
      </c>
      <c r="H39" s="88">
        <f>SUM(H36:H38)</f>
        <v>188981.8</v>
      </c>
    </row>
    <row r="40" spans="1:8" x14ac:dyDescent="0.3">
      <c r="B40" s="139" t="s">
        <v>23</v>
      </c>
    </row>
    <row r="41" spans="1:8" x14ac:dyDescent="0.3">
      <c r="A41" s="6">
        <v>11</v>
      </c>
      <c r="B41" s="6" t="s">
        <v>309</v>
      </c>
      <c r="C41" s="7" t="s">
        <v>7</v>
      </c>
      <c r="D41" s="6" t="s">
        <v>408</v>
      </c>
      <c r="E41" s="6">
        <f>Individual!C101*20</f>
        <v>5750</v>
      </c>
      <c r="F41" s="6">
        <f t="shared" ref="F41:F44" si="4">(E41*1.05)*1.12</f>
        <v>6762.0000000000009</v>
      </c>
      <c r="G41" s="6">
        <f t="shared" ref="G41:G44" si="5">(E41*1.08)*1.12</f>
        <v>6955.2000000000007</v>
      </c>
      <c r="H41" s="6">
        <f t="shared" ref="H41:H44" si="6">(E41*1.15)*1.12</f>
        <v>7406</v>
      </c>
    </row>
    <row r="42" spans="1:8" x14ac:dyDescent="0.3">
      <c r="A42" s="6">
        <v>12</v>
      </c>
      <c r="B42" s="6" t="s">
        <v>25</v>
      </c>
      <c r="C42" s="7" t="s">
        <v>7</v>
      </c>
      <c r="D42" s="6" t="s">
        <v>22</v>
      </c>
      <c r="E42" s="6">
        <f>Individual!C69*30</f>
        <v>2033.898305084746</v>
      </c>
      <c r="F42" s="6">
        <f t="shared" si="4"/>
        <v>2391.8644067796617</v>
      </c>
      <c r="G42" s="6">
        <f t="shared" si="5"/>
        <v>2460.2033898305094</v>
      </c>
      <c r="H42" s="6">
        <f t="shared" si="6"/>
        <v>2619.6610169491532</v>
      </c>
    </row>
    <row r="43" spans="1:8" x14ac:dyDescent="0.3">
      <c r="A43" s="6">
        <v>13</v>
      </c>
      <c r="B43" s="7" t="s">
        <v>26</v>
      </c>
      <c r="C43" s="7" t="s">
        <v>7</v>
      </c>
      <c r="D43" s="6" t="s">
        <v>22</v>
      </c>
      <c r="E43" s="6">
        <f>Individual!C74*30</f>
        <v>660</v>
      </c>
      <c r="F43" s="6">
        <f t="shared" si="4"/>
        <v>776.16000000000008</v>
      </c>
      <c r="G43" s="6">
        <f t="shared" si="5"/>
        <v>798.33600000000013</v>
      </c>
      <c r="H43" s="6">
        <f t="shared" si="6"/>
        <v>850.07999999999993</v>
      </c>
    </row>
    <row r="44" spans="1:8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Individual!C82</f>
        <v>4345</v>
      </c>
      <c r="F44" s="6">
        <f t="shared" si="4"/>
        <v>5109.72</v>
      </c>
      <c r="G44" s="6">
        <f t="shared" si="5"/>
        <v>5255.7120000000014</v>
      </c>
      <c r="H44" s="6">
        <f t="shared" si="6"/>
        <v>5596.3600000000006</v>
      </c>
    </row>
    <row r="45" spans="1:8" ht="18" x14ac:dyDescent="0.3">
      <c r="C45" s="6" t="s">
        <v>14</v>
      </c>
      <c r="D45" s="6"/>
      <c r="E45" s="88">
        <f>SUM(E39:E44)</f>
        <v>159513.89830508476</v>
      </c>
      <c r="F45" s="88">
        <f>SUM(F39:F44)</f>
        <v>187588.34440677968</v>
      </c>
      <c r="G45" s="88">
        <f>SUM(G39:G44)</f>
        <v>192948.01138983053</v>
      </c>
      <c r="H45" s="88">
        <f>SUM(H39:H44)</f>
        <v>205453.90101694915</v>
      </c>
    </row>
    <row r="46" spans="1:8" ht="18" x14ac:dyDescent="0.3">
      <c r="C46" s="10"/>
      <c r="D46" s="10"/>
      <c r="E46" s="31"/>
      <c r="F46" s="31"/>
      <c r="G46" s="31"/>
      <c r="H46" s="31"/>
    </row>
    <row r="47" spans="1:8" ht="18" x14ac:dyDescent="0.3">
      <c r="C47" s="10"/>
      <c r="D47" s="10"/>
      <c r="E47" s="31"/>
      <c r="F47" s="31"/>
      <c r="G47" s="31"/>
      <c r="H47" s="31"/>
    </row>
    <row r="48" spans="1:8" ht="18" x14ac:dyDescent="0.3">
      <c r="C48" s="10"/>
      <c r="D48" s="10"/>
      <c r="E48" s="31"/>
      <c r="F48" s="31"/>
      <c r="G48" s="31"/>
      <c r="H48" s="31"/>
    </row>
    <row r="50" spans="1:13" ht="25.8" x14ac:dyDescent="0.5">
      <c r="A50" s="16" t="s">
        <v>33</v>
      </c>
      <c r="B50"/>
      <c r="C50"/>
      <c r="D50"/>
      <c r="E50"/>
      <c r="F50"/>
      <c r="G50"/>
      <c r="H50"/>
    </row>
    <row r="51" spans="1:13" x14ac:dyDescent="0.3">
      <c r="A51" s="13"/>
      <c r="B51"/>
      <c r="C51"/>
      <c r="D51"/>
      <c r="E51"/>
      <c r="F51"/>
      <c r="G51"/>
      <c r="H51"/>
    </row>
    <row r="52" spans="1:13" x14ac:dyDescent="0.3">
      <c r="A52" s="13"/>
      <c r="B52" s="13"/>
      <c r="C52" s="14"/>
      <c r="D52" s="14"/>
      <c r="E52" s="14"/>
      <c r="F52" s="14"/>
      <c r="G52" s="14"/>
      <c r="H52"/>
    </row>
    <row r="53" spans="1:13" x14ac:dyDescent="0.3">
      <c r="A53" s="15"/>
      <c r="B53" s="15"/>
      <c r="C53" s="14"/>
      <c r="D53" s="14"/>
      <c r="E53" s="14"/>
      <c r="F53" s="14"/>
      <c r="G53" s="14"/>
      <c r="H53"/>
    </row>
    <row r="54" spans="1:13" ht="22.2" x14ac:dyDescent="0.35">
      <c r="A54" s="182" t="s">
        <v>32</v>
      </c>
      <c r="B54" s="182"/>
      <c r="C54" s="182"/>
      <c r="D54" s="182"/>
      <c r="E54" s="182"/>
      <c r="F54" s="182"/>
      <c r="G54" s="182"/>
      <c r="H54" s="182"/>
      <c r="I54"/>
      <c r="J54"/>
      <c r="K54"/>
      <c r="L54"/>
      <c r="M54"/>
    </row>
    <row r="55" spans="1:13" ht="18" x14ac:dyDescent="0.35">
      <c r="A55" s="183" t="s">
        <v>35</v>
      </c>
      <c r="B55" s="183"/>
      <c r="C55" s="183"/>
      <c r="D55" s="183"/>
      <c r="E55" s="183"/>
      <c r="F55" s="183"/>
      <c r="G55" s="183"/>
      <c r="H55" s="183"/>
      <c r="I55"/>
      <c r="J55"/>
      <c r="K55"/>
      <c r="L55"/>
      <c r="M55"/>
    </row>
    <row r="56" spans="1:13" ht="18" x14ac:dyDescent="0.35">
      <c r="A56" s="183" t="s">
        <v>34</v>
      </c>
      <c r="B56" s="183"/>
      <c r="C56" s="183"/>
      <c r="D56" s="183"/>
      <c r="E56" s="183"/>
      <c r="F56" s="183"/>
      <c r="G56" s="183"/>
      <c r="H56" s="183"/>
      <c r="I56"/>
      <c r="J56"/>
      <c r="K56"/>
      <c r="L56"/>
      <c r="M56"/>
    </row>
    <row r="57" spans="1:13" ht="15.6" x14ac:dyDescent="0.3">
      <c r="A57" s="176" t="s">
        <v>36</v>
      </c>
      <c r="B57" s="176"/>
      <c r="C57" s="176"/>
      <c r="D57" s="176"/>
      <c r="E57" s="176"/>
      <c r="F57" s="176"/>
      <c r="G57" s="176"/>
      <c r="H57" s="176"/>
      <c r="I57"/>
      <c r="J57"/>
      <c r="K57"/>
      <c r="L57"/>
      <c r="M57"/>
    </row>
    <row r="58" spans="1:13" ht="22.2" x14ac:dyDescent="0.35">
      <c r="I58" s="17"/>
      <c r="J58" s="17"/>
      <c r="K58" s="17"/>
      <c r="L58" s="17"/>
      <c r="M58" s="17"/>
    </row>
    <row r="59" spans="1:13" ht="15" customHeight="1" x14ac:dyDescent="0.3">
      <c r="I59" s="18"/>
      <c r="J59" s="18"/>
      <c r="K59" s="18"/>
      <c r="L59" s="18"/>
      <c r="M59" s="18"/>
    </row>
    <row r="60" spans="1:13" ht="15" customHeight="1" x14ac:dyDescent="0.3">
      <c r="I60" s="18"/>
      <c r="J60" s="18"/>
      <c r="K60" s="18"/>
      <c r="L60" s="18"/>
      <c r="M60" s="18"/>
    </row>
    <row r="61" spans="1:13" x14ac:dyDescent="0.3">
      <c r="I61" s="19"/>
      <c r="J61" s="19"/>
      <c r="K61" s="19"/>
      <c r="L61" s="19"/>
      <c r="M61" s="19"/>
    </row>
  </sheetData>
  <mergeCells count="7">
    <mergeCell ref="A57:H57"/>
    <mergeCell ref="B18:C21"/>
    <mergeCell ref="A22:H22"/>
    <mergeCell ref="A23:H23"/>
    <mergeCell ref="A54:H54"/>
    <mergeCell ref="A55:H55"/>
    <mergeCell ref="A56:H56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6:M61"/>
  <sheetViews>
    <sheetView topLeftCell="A30" zoomScale="85" zoomScaleNormal="85" workbookViewId="0">
      <selection activeCell="E50" sqref="E50"/>
    </sheetView>
  </sheetViews>
  <sheetFormatPr defaultColWidth="9.109375" defaultRowHeight="14.4" x14ac:dyDescent="0.3"/>
  <cols>
    <col min="1" max="1" width="5.33203125" style="99" customWidth="1"/>
    <col min="2" max="2" width="23" style="99" customWidth="1"/>
    <col min="3" max="3" width="50.33203125" style="99" customWidth="1"/>
    <col min="4" max="4" width="8" style="99" customWidth="1"/>
    <col min="5" max="5" width="9.88671875" style="99" bestFit="1" customWidth="1"/>
    <col min="6" max="6" width="10.88671875" style="99" bestFit="1" customWidth="1"/>
    <col min="7" max="7" width="10.88671875" style="99" customWidth="1"/>
    <col min="8" max="8" width="12.5546875" style="99" bestFit="1" customWidth="1"/>
    <col min="9" max="9" width="9.109375" style="99"/>
    <col min="10" max="10" width="10.44140625" style="99" customWidth="1"/>
    <col min="11" max="16384" width="9.109375" style="99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424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404</v>
      </c>
      <c r="E25" s="6">
        <f>Individual!C8*7</f>
        <v>63315</v>
      </c>
      <c r="F25" s="6">
        <f t="shared" ref="F25:F32" si="0">(E25*1.05)*1.12</f>
        <v>74458.44</v>
      </c>
      <c r="G25" s="6">
        <f t="shared" ref="G25:G32" si="1">(E25*1.08)*1.12</f>
        <v>76585.824000000022</v>
      </c>
      <c r="H25" s="6">
        <f>(E25*1.15)*1.12</f>
        <v>81549.72</v>
      </c>
    </row>
    <row r="26" spans="1:8" x14ac:dyDescent="0.3">
      <c r="A26" s="6">
        <v>2</v>
      </c>
      <c r="B26" s="7" t="s">
        <v>19</v>
      </c>
      <c r="C26" s="7" t="s">
        <v>405</v>
      </c>
      <c r="D26" s="6" t="s">
        <v>5</v>
      </c>
      <c r="E26" s="6">
        <v>16500</v>
      </c>
      <c r="F26" s="6">
        <f t="shared" si="0"/>
        <v>19404.000000000004</v>
      </c>
      <c r="G26" s="6">
        <f t="shared" si="1"/>
        <v>19958.400000000001</v>
      </c>
      <c r="H26" s="6">
        <f t="shared" ref="H26:H32" si="2">(E26*1.15)*1.12</f>
        <v>21252.000000000004</v>
      </c>
    </row>
    <row r="27" spans="1:8" ht="28.8" x14ac:dyDescent="0.3">
      <c r="A27" s="6">
        <v>3</v>
      </c>
      <c r="B27" s="7" t="s">
        <v>6</v>
      </c>
      <c r="C27" s="7" t="s">
        <v>406</v>
      </c>
      <c r="D27" s="6" t="s">
        <v>5</v>
      </c>
      <c r="E27" s="6">
        <f>Individual!K6</f>
        <v>16850</v>
      </c>
      <c r="F27" s="6">
        <f t="shared" si="0"/>
        <v>19815.600000000002</v>
      </c>
      <c r="G27" s="6">
        <f t="shared" si="1"/>
        <v>20381.760000000002</v>
      </c>
      <c r="H27" s="6">
        <f t="shared" si="2"/>
        <v>21702.800000000003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22</v>
      </c>
      <c r="E28" s="6">
        <f>Individual!C59*30</f>
        <v>1050</v>
      </c>
      <c r="F28" s="6">
        <f t="shared" si="0"/>
        <v>1234.8000000000002</v>
      </c>
      <c r="G28" s="6">
        <f t="shared" si="1"/>
        <v>1270.0800000000002</v>
      </c>
      <c r="H28" s="6">
        <f t="shared" si="2"/>
        <v>1352.4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3812.48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4508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Individual!C139</f>
        <v>7000</v>
      </c>
      <c r="F31" s="6">
        <f t="shared" si="0"/>
        <v>8232</v>
      </c>
      <c r="G31" s="6">
        <f t="shared" si="1"/>
        <v>8467.2000000000025</v>
      </c>
      <c r="H31" s="6">
        <f t="shared" si="2"/>
        <v>9016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Individual!C145</f>
        <v>4000</v>
      </c>
      <c r="F32" s="6">
        <f t="shared" si="0"/>
        <v>4704</v>
      </c>
      <c r="G32" s="6">
        <f t="shared" si="1"/>
        <v>4838.4000000000005</v>
      </c>
      <c r="H32" s="6">
        <f t="shared" si="2"/>
        <v>5152.0000000000009</v>
      </c>
    </row>
    <row r="33" spans="1:9" ht="18" x14ac:dyDescent="0.3">
      <c r="A33" s="6"/>
      <c r="B33" s="6"/>
      <c r="C33" s="6" t="s">
        <v>14</v>
      </c>
      <c r="D33" s="6"/>
      <c r="E33" s="88">
        <f>SUM(E25:E32)</f>
        <v>115175</v>
      </c>
      <c r="F33" s="88">
        <f>SUM(F25:F32)</f>
        <v>135445.80000000002</v>
      </c>
      <c r="G33" s="88">
        <f>SUM(G25:G32)</f>
        <v>139315.68000000002</v>
      </c>
      <c r="H33" s="88">
        <f>SUM(H25:H32)</f>
        <v>148345.4</v>
      </c>
    </row>
    <row r="35" spans="1:9" ht="28.8" x14ac:dyDescent="0.3">
      <c r="A35" s="6">
        <v>9</v>
      </c>
      <c r="B35" s="7" t="s">
        <v>20</v>
      </c>
      <c r="C35" s="7" t="s">
        <v>422</v>
      </c>
      <c r="D35" s="6" t="s">
        <v>5</v>
      </c>
      <c r="E35" s="6">
        <f>Individual!K38</f>
        <v>18000</v>
      </c>
      <c r="F35" s="6">
        <f>(E35*1.05)*1.12</f>
        <v>21168.000000000004</v>
      </c>
      <c r="G35" s="6">
        <f>(E35*1.08)*1.12</f>
        <v>21772.800000000003</v>
      </c>
      <c r="H35" s="6">
        <f>(E35*1.15)*1.12</f>
        <v>23184.000000000004</v>
      </c>
    </row>
    <row r="36" spans="1:9" ht="18" x14ac:dyDescent="0.3">
      <c r="A36" s="10"/>
      <c r="B36" s="11"/>
      <c r="C36" s="6" t="s">
        <v>14</v>
      </c>
      <c r="D36" s="6"/>
      <c r="E36" s="88">
        <f>SUM(E33:E35)</f>
        <v>133175</v>
      </c>
      <c r="F36" s="88">
        <f t="shared" ref="F36" si="3">SUM(F33:F35)</f>
        <v>156613.80000000002</v>
      </c>
      <c r="G36" s="88">
        <f>SUM(G33:G35)</f>
        <v>161088.48000000004</v>
      </c>
      <c r="H36" s="88">
        <f>SUM(H33:H35)</f>
        <v>171529.4</v>
      </c>
    </row>
    <row r="37" spans="1:9" x14ac:dyDescent="0.3">
      <c r="B37" s="99" t="s">
        <v>23</v>
      </c>
    </row>
    <row r="38" spans="1:9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(E38*1.15)*1.12</f>
        <v>8983.7999999999993</v>
      </c>
    </row>
    <row r="39" spans="1:9" ht="18" x14ac:dyDescent="0.3">
      <c r="C39" s="6" t="s">
        <v>14</v>
      </c>
      <c r="D39" s="6"/>
      <c r="E39" s="88">
        <f>SUM(E36:E38)</f>
        <v>140150</v>
      </c>
      <c r="F39" s="88">
        <f>SUM(F36:F38)</f>
        <v>164816.40000000002</v>
      </c>
      <c r="G39" s="88">
        <f>SUM(G36:G38)</f>
        <v>169525.44000000003</v>
      </c>
      <c r="H39" s="88">
        <f>SUM(H36:H38)</f>
        <v>180513.19999999998</v>
      </c>
    </row>
    <row r="40" spans="1:9" x14ac:dyDescent="0.3">
      <c r="B40" s="99" t="s">
        <v>23</v>
      </c>
    </row>
    <row r="41" spans="1:9" x14ac:dyDescent="0.3">
      <c r="A41" s="6">
        <v>11</v>
      </c>
      <c r="B41" s="6" t="s">
        <v>287</v>
      </c>
      <c r="C41" s="7" t="s">
        <v>7</v>
      </c>
      <c r="D41" s="6" t="s">
        <v>22</v>
      </c>
      <c r="E41" s="6">
        <f>Individual!C97*15</f>
        <v>2787.5</v>
      </c>
      <c r="F41" s="6">
        <f t="shared" ref="F41:F44" si="4">(E41*1.05)*1.12</f>
        <v>3278.1000000000004</v>
      </c>
      <c r="G41" s="6">
        <f t="shared" ref="G41:G44" si="5">(E41*1.08)*1.12</f>
        <v>3371.76</v>
      </c>
      <c r="H41" s="6">
        <f t="shared" ref="H41:H44" si="6">(E41*1.15)*1.12</f>
        <v>3590.2999999999997</v>
      </c>
    </row>
    <row r="42" spans="1:9" x14ac:dyDescent="0.3">
      <c r="A42" s="6">
        <v>12</v>
      </c>
      <c r="B42" s="6" t="s">
        <v>25</v>
      </c>
      <c r="C42" s="7" t="s">
        <v>7</v>
      </c>
      <c r="D42" s="6" t="s">
        <v>30</v>
      </c>
      <c r="E42" s="6">
        <f>Individual!C69*20</f>
        <v>1355.9322033898306</v>
      </c>
      <c r="F42" s="6">
        <f t="shared" si="4"/>
        <v>1594.5762711864409</v>
      </c>
      <c r="G42" s="6">
        <f t="shared" si="5"/>
        <v>1640.1355932203394</v>
      </c>
      <c r="H42" s="6">
        <f t="shared" si="6"/>
        <v>1746.4406779661019</v>
      </c>
    </row>
    <row r="43" spans="1:9" x14ac:dyDescent="0.3">
      <c r="A43" s="6">
        <v>13</v>
      </c>
      <c r="B43" s="7" t="s">
        <v>26</v>
      </c>
      <c r="C43" s="7" t="s">
        <v>7</v>
      </c>
      <c r="D43" s="6" t="s">
        <v>30</v>
      </c>
      <c r="E43" s="6">
        <f>Individual!C74*20</f>
        <v>440</v>
      </c>
      <c r="F43" s="6">
        <f t="shared" si="4"/>
        <v>517.44000000000005</v>
      </c>
      <c r="G43" s="6">
        <f t="shared" si="5"/>
        <v>532.22400000000005</v>
      </c>
      <c r="H43" s="6">
        <f t="shared" si="6"/>
        <v>566.72</v>
      </c>
    </row>
    <row r="44" spans="1:9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Individual!C80</f>
        <v>3205</v>
      </c>
      <c r="F44" s="6">
        <f t="shared" si="4"/>
        <v>3769.0800000000004</v>
      </c>
      <c r="G44" s="6">
        <f t="shared" si="5"/>
        <v>3876.7680000000005</v>
      </c>
      <c r="H44" s="6">
        <f t="shared" si="6"/>
        <v>4128.04</v>
      </c>
    </row>
    <row r="45" spans="1:9" ht="18" x14ac:dyDescent="0.3">
      <c r="C45" s="6" t="s">
        <v>14</v>
      </c>
      <c r="D45" s="6"/>
      <c r="E45" s="88">
        <f>SUM(E39:E44)</f>
        <v>147938.43220338982</v>
      </c>
      <c r="F45" s="88">
        <f>SUM(F39:F44)</f>
        <v>173975.59627118646</v>
      </c>
      <c r="G45" s="88">
        <f>SUM(G39:G44)</f>
        <v>178946.32759322037</v>
      </c>
      <c r="H45" s="88">
        <f>SUM(H39:H44)</f>
        <v>190544.70067796609</v>
      </c>
      <c r="I45" s="141">
        <f>E45*1.12-H45</f>
        <v>-24853.656610169477</v>
      </c>
    </row>
    <row r="46" spans="1:9" ht="18" x14ac:dyDescent="0.3">
      <c r="C46" s="10"/>
      <c r="D46" s="10"/>
      <c r="E46" s="31"/>
      <c r="F46" s="31"/>
      <c r="G46" s="31"/>
      <c r="H46" s="31"/>
    </row>
    <row r="47" spans="1:9" ht="18" x14ac:dyDescent="0.3">
      <c r="A47" s="6">
        <v>15</v>
      </c>
      <c r="B47" s="6" t="s">
        <v>70</v>
      </c>
      <c r="C47" s="7" t="s">
        <v>7</v>
      </c>
      <c r="D47" s="6" t="s">
        <v>423</v>
      </c>
      <c r="E47" s="101">
        <f>Individual!C129*10</f>
        <v>7985.1851851851843</v>
      </c>
      <c r="F47" s="6">
        <f t="shared" ref="F47" si="7">(E47*1.05)*1.12</f>
        <v>9390.5777777777766</v>
      </c>
      <c r="G47" s="6">
        <f t="shared" ref="G47" si="8">(E47*1.08)*1.12</f>
        <v>9658.880000000001</v>
      </c>
      <c r="H47" s="6">
        <f>(E47*1.15)*1.12</f>
        <v>10284.918518518518</v>
      </c>
    </row>
    <row r="48" spans="1:9" ht="18" x14ac:dyDescent="0.3">
      <c r="C48" s="10"/>
      <c r="D48" s="10"/>
      <c r="E48" s="31">
        <f>E39+E42+E43+E44+E47</f>
        <v>153136.11738857502</v>
      </c>
      <c r="F48" s="31">
        <f>F39+F42+F43+F44+F47</f>
        <v>180088.07404896422</v>
      </c>
      <c r="G48" s="31">
        <f t="shared" ref="G48:H48" si="9">G39+G42+G43+G44+G47</f>
        <v>185233.44759322036</v>
      </c>
      <c r="H48" s="31">
        <f t="shared" si="9"/>
        <v>197239.3191964846</v>
      </c>
    </row>
    <row r="49" spans="1:13" ht="18" x14ac:dyDescent="0.3">
      <c r="C49" s="10"/>
      <c r="D49" s="10"/>
      <c r="E49" s="31"/>
      <c r="F49" s="31"/>
      <c r="G49" s="31"/>
      <c r="H49" s="31"/>
    </row>
    <row r="50" spans="1:13" ht="18" x14ac:dyDescent="0.3">
      <c r="C50" s="10"/>
      <c r="D50" s="10"/>
      <c r="E50" s="31"/>
      <c r="F50" s="31"/>
      <c r="G50" s="31"/>
      <c r="H50" s="31"/>
    </row>
    <row r="51" spans="1:13" ht="18" x14ac:dyDescent="0.3">
      <c r="C51" s="10"/>
      <c r="D51" s="10"/>
      <c r="E51" s="31"/>
      <c r="F51" s="31"/>
      <c r="G51" s="31"/>
      <c r="H51" s="31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6:M61"/>
  <sheetViews>
    <sheetView topLeftCell="A28" zoomScale="85" zoomScaleNormal="85" workbookViewId="0">
      <selection activeCell="E33" sqref="E33"/>
    </sheetView>
  </sheetViews>
  <sheetFormatPr defaultColWidth="9.109375" defaultRowHeight="14.4" x14ac:dyDescent="0.3"/>
  <cols>
    <col min="1" max="1" width="5.33203125" style="99" customWidth="1"/>
    <col min="2" max="2" width="23" style="99" customWidth="1"/>
    <col min="3" max="3" width="50.33203125" style="99" customWidth="1"/>
    <col min="4" max="4" width="8" style="99" customWidth="1"/>
    <col min="5" max="5" width="9.88671875" style="99" bestFit="1" customWidth="1"/>
    <col min="6" max="6" width="10.88671875" style="99" bestFit="1" customWidth="1"/>
    <col min="7" max="7" width="10.88671875" style="99" customWidth="1"/>
    <col min="8" max="8" width="12.5546875" style="99" bestFit="1" customWidth="1"/>
    <col min="9" max="9" width="9.109375" style="99"/>
    <col min="10" max="10" width="10.44140625" style="99" customWidth="1"/>
    <col min="11" max="16384" width="9.109375" style="99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425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404</v>
      </c>
      <c r="E25" s="6">
        <f>Individual!C8*7</f>
        <v>63315</v>
      </c>
      <c r="F25" s="6">
        <f t="shared" ref="F25:F32" si="0">(E25*1.05)*1.12</f>
        <v>74458.44</v>
      </c>
      <c r="G25" s="6">
        <f t="shared" ref="G25:G32" si="1">(E25*1.08)*1.12</f>
        <v>76585.824000000022</v>
      </c>
      <c r="H25" s="6">
        <f>(E25*1.15)*1.12</f>
        <v>81549.72</v>
      </c>
    </row>
    <row r="26" spans="1:8" x14ac:dyDescent="0.3">
      <c r="A26" s="6">
        <v>2</v>
      </c>
      <c r="B26" s="7" t="s">
        <v>19</v>
      </c>
      <c r="C26" s="7" t="s">
        <v>405</v>
      </c>
      <c r="D26" s="6" t="s">
        <v>5</v>
      </c>
      <c r="E26" s="6">
        <f>Individual!C13</f>
        <v>16500</v>
      </c>
      <c r="F26" s="6">
        <f t="shared" si="0"/>
        <v>19404.000000000004</v>
      </c>
      <c r="G26" s="6">
        <f t="shared" si="1"/>
        <v>19958.400000000001</v>
      </c>
      <c r="H26" s="6">
        <f t="shared" ref="H26:H32" si="2">(E26*1.15)*1.12</f>
        <v>21252.000000000004</v>
      </c>
    </row>
    <row r="27" spans="1:8" ht="28.8" x14ac:dyDescent="0.3">
      <c r="A27" s="6">
        <v>3</v>
      </c>
      <c r="B27" s="7" t="s">
        <v>6</v>
      </c>
      <c r="C27" s="7" t="s">
        <v>406</v>
      </c>
      <c r="D27" s="6" t="s">
        <v>5</v>
      </c>
      <c r="E27" s="6">
        <v>16425</v>
      </c>
      <c r="F27" s="6">
        <f t="shared" si="0"/>
        <v>19315.800000000003</v>
      </c>
      <c r="G27" s="6">
        <f t="shared" si="1"/>
        <v>19867.68</v>
      </c>
      <c r="H27" s="6">
        <f t="shared" si="2"/>
        <v>21155.4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22</v>
      </c>
      <c r="E28" s="6">
        <f>Individual!C59*30</f>
        <v>1050</v>
      </c>
      <c r="F28" s="6">
        <f t="shared" si="0"/>
        <v>1234.8000000000002</v>
      </c>
      <c r="G28" s="6">
        <f t="shared" si="1"/>
        <v>1270.0800000000002</v>
      </c>
      <c r="H28" s="6">
        <f t="shared" si="2"/>
        <v>1352.4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3812.48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4508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Individual!C139</f>
        <v>7000</v>
      </c>
      <c r="F31" s="6">
        <f t="shared" si="0"/>
        <v>8232</v>
      </c>
      <c r="G31" s="6">
        <f t="shared" si="1"/>
        <v>8467.2000000000025</v>
      </c>
      <c r="H31" s="6">
        <f t="shared" si="2"/>
        <v>9016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Individual!C145</f>
        <v>4000</v>
      </c>
      <c r="F32" s="6">
        <f t="shared" si="0"/>
        <v>4704</v>
      </c>
      <c r="G32" s="6">
        <f t="shared" si="1"/>
        <v>4838.4000000000005</v>
      </c>
      <c r="H32" s="6">
        <f t="shared" si="2"/>
        <v>5152.0000000000009</v>
      </c>
    </row>
    <row r="33" spans="1:8" ht="18" x14ac:dyDescent="0.3">
      <c r="A33" s="6"/>
      <c r="B33" s="6"/>
      <c r="C33" s="6" t="s">
        <v>14</v>
      </c>
      <c r="D33" s="6"/>
      <c r="E33" s="88">
        <f>SUM(E25:E32)</f>
        <v>114750</v>
      </c>
      <c r="F33" s="88">
        <f>SUM(F25:F32)</f>
        <v>134946</v>
      </c>
      <c r="G33" s="88">
        <f>SUM(G25:G32)</f>
        <v>138801.60000000001</v>
      </c>
      <c r="H33" s="88">
        <f>SUM(H25:H32)</f>
        <v>147798</v>
      </c>
    </row>
    <row r="35" spans="1:8" ht="28.8" x14ac:dyDescent="0.3">
      <c r="A35" s="6">
        <v>9</v>
      </c>
      <c r="B35" s="7" t="s">
        <v>20</v>
      </c>
      <c r="C35" s="7" t="s">
        <v>426</v>
      </c>
      <c r="D35" s="6" t="s">
        <v>5</v>
      </c>
      <c r="E35" s="6">
        <f>Individual!K41</f>
        <v>20500</v>
      </c>
      <c r="F35" s="6">
        <f>(E35*1.05)*1.12</f>
        <v>24108.000000000004</v>
      </c>
      <c r="G35" s="6">
        <f>(E35*1.08)*1.12</f>
        <v>24796.800000000003</v>
      </c>
      <c r="H35" s="6">
        <f>(E35*1.15)*1.12</f>
        <v>26404</v>
      </c>
    </row>
    <row r="36" spans="1:8" ht="18" x14ac:dyDescent="0.3">
      <c r="A36" s="10"/>
      <c r="B36" s="11"/>
      <c r="C36" s="6" t="s">
        <v>14</v>
      </c>
      <c r="D36" s="6"/>
      <c r="E36" s="88">
        <f>SUM(E33:E35)</f>
        <v>135250</v>
      </c>
      <c r="F36" s="88">
        <f t="shared" ref="F36" si="3">SUM(F33:F35)</f>
        <v>159054</v>
      </c>
      <c r="G36" s="88">
        <f>SUM(G33:G35)</f>
        <v>163598.40000000002</v>
      </c>
      <c r="H36" s="88">
        <f>SUM(H33:H35)</f>
        <v>174202</v>
      </c>
    </row>
    <row r="37" spans="1:8" x14ac:dyDescent="0.3">
      <c r="B37" s="99" t="s">
        <v>23</v>
      </c>
    </row>
    <row r="38" spans="1:8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(E38*1.15)*1.12</f>
        <v>8983.7999999999993</v>
      </c>
    </row>
    <row r="39" spans="1:8" ht="18" x14ac:dyDescent="0.3">
      <c r="C39" s="6" t="s">
        <v>14</v>
      </c>
      <c r="D39" s="6"/>
      <c r="E39" s="88">
        <f>SUM(E36:E38)</f>
        <v>142225</v>
      </c>
      <c r="F39" s="88">
        <f>SUM(F36:F38)</f>
        <v>167256.6</v>
      </c>
      <c r="G39" s="88">
        <f>SUM(G36:G38)</f>
        <v>172035.36000000002</v>
      </c>
      <c r="H39" s="88">
        <f>SUM(H36:H38)</f>
        <v>183185.8</v>
      </c>
    </row>
    <row r="40" spans="1:8" x14ac:dyDescent="0.3">
      <c r="B40" s="99" t="s">
        <v>23</v>
      </c>
    </row>
    <row r="41" spans="1:8" x14ac:dyDescent="0.3">
      <c r="A41" s="6">
        <v>11</v>
      </c>
      <c r="B41" s="6" t="s">
        <v>310</v>
      </c>
      <c r="C41" s="7" t="s">
        <v>7</v>
      </c>
      <c r="D41" s="6" t="s">
        <v>304</v>
      </c>
      <c r="E41" s="6">
        <f>Individual!C93*50</f>
        <v>6041.666666666667</v>
      </c>
      <c r="F41" s="6">
        <f t="shared" ref="F41:F44" si="4">(E41*1.05)*1.12</f>
        <v>7105.0000000000018</v>
      </c>
      <c r="G41" s="6">
        <f t="shared" ref="G41:G44" si="5">(E41*1.08)*1.12</f>
        <v>7308.0000000000018</v>
      </c>
      <c r="H41" s="6">
        <f t="shared" ref="H41:H44" si="6">(E41*1.15)*1.12</f>
        <v>7781.666666666667</v>
      </c>
    </row>
    <row r="42" spans="1:8" x14ac:dyDescent="0.3">
      <c r="A42" s="6">
        <v>12</v>
      </c>
      <c r="B42" s="6" t="s">
        <v>25</v>
      </c>
      <c r="C42" s="7" t="s">
        <v>7</v>
      </c>
      <c r="D42" s="6" t="s">
        <v>305</v>
      </c>
      <c r="E42" s="6">
        <f>Individual!C69*60</f>
        <v>4067.7966101694919</v>
      </c>
      <c r="F42" s="6">
        <f t="shared" si="4"/>
        <v>4783.7288135593235</v>
      </c>
      <c r="G42" s="6">
        <f t="shared" si="5"/>
        <v>4920.4067796610188</v>
      </c>
      <c r="H42" s="6">
        <f t="shared" si="6"/>
        <v>5239.3220338983065</v>
      </c>
    </row>
    <row r="43" spans="1:8" x14ac:dyDescent="0.3">
      <c r="A43" s="6">
        <v>13</v>
      </c>
      <c r="B43" s="7" t="s">
        <v>26</v>
      </c>
      <c r="C43" s="7" t="s">
        <v>7</v>
      </c>
      <c r="D43" s="6" t="s">
        <v>305</v>
      </c>
      <c r="E43" s="6">
        <f>Individual!C74*60</f>
        <v>1320</v>
      </c>
      <c r="F43" s="6">
        <f t="shared" si="4"/>
        <v>1552.3200000000002</v>
      </c>
      <c r="G43" s="6">
        <f t="shared" si="5"/>
        <v>1596.6720000000003</v>
      </c>
      <c r="H43" s="6">
        <f t="shared" si="6"/>
        <v>1700.1599999999999</v>
      </c>
    </row>
    <row r="44" spans="1:8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Individual!C79</f>
        <v>2280</v>
      </c>
      <c r="F44" s="6">
        <f t="shared" si="4"/>
        <v>2681.28</v>
      </c>
      <c r="G44" s="6">
        <f t="shared" si="5"/>
        <v>2757.8880000000004</v>
      </c>
      <c r="H44" s="6">
        <f t="shared" si="6"/>
        <v>2936.6400000000003</v>
      </c>
    </row>
    <row r="45" spans="1:8" ht="18" x14ac:dyDescent="0.3">
      <c r="C45" s="6" t="s">
        <v>14</v>
      </c>
      <c r="D45" s="6"/>
      <c r="E45" s="88">
        <f>SUM(E39:E44)</f>
        <v>155934.46327683615</v>
      </c>
      <c r="F45" s="88">
        <f>SUM(F39:F44)</f>
        <v>183378.92881355932</v>
      </c>
      <c r="G45" s="88">
        <f>SUM(G39:G44)</f>
        <v>188618.32677966103</v>
      </c>
      <c r="H45" s="88">
        <f>SUM(H39:H44)</f>
        <v>200843.58870056496</v>
      </c>
    </row>
    <row r="46" spans="1:8" ht="18" x14ac:dyDescent="0.3">
      <c r="C46" s="10"/>
      <c r="D46" s="10"/>
      <c r="E46" s="31"/>
      <c r="F46" s="31"/>
      <c r="G46" s="31"/>
      <c r="H46" s="31"/>
    </row>
    <row r="47" spans="1:8" ht="18" x14ac:dyDescent="0.3">
      <c r="A47" s="6">
        <v>15</v>
      </c>
      <c r="B47" s="6" t="s">
        <v>70</v>
      </c>
      <c r="C47" s="7" t="s">
        <v>7</v>
      </c>
      <c r="D47" s="6" t="s">
        <v>429</v>
      </c>
      <c r="E47" s="101">
        <f>Individual!C123*17</f>
        <v>10426.666666666666</v>
      </c>
      <c r="F47" s="6">
        <f t="shared" ref="F47" si="7">(E47*1.05)*1.12</f>
        <v>12261.760000000002</v>
      </c>
      <c r="G47" s="6">
        <f t="shared" ref="G47" si="8">(E47*1.08)*1.12</f>
        <v>12612.096</v>
      </c>
      <c r="H47" s="6">
        <f>(E47*1.15)*1.12</f>
        <v>13429.546666666665</v>
      </c>
    </row>
    <row r="48" spans="1:8" ht="18" x14ac:dyDescent="0.3">
      <c r="C48" s="10"/>
      <c r="D48" s="10"/>
      <c r="E48" s="31">
        <f>E39+E42+E43+E44+E47</f>
        <v>160319.46327683615</v>
      </c>
      <c r="F48" s="31">
        <f>F39+F42+F43+F44+F47</f>
        <v>188535.68881355933</v>
      </c>
      <c r="G48" s="31">
        <f t="shared" ref="G48:H48" si="9">G39+G42+G43+G44+G47</f>
        <v>193922.42277966102</v>
      </c>
      <c r="H48" s="31">
        <f t="shared" si="9"/>
        <v>206491.46870056496</v>
      </c>
    </row>
    <row r="49" spans="1:13" ht="18" x14ac:dyDescent="0.3">
      <c r="C49" s="10"/>
      <c r="D49" s="10"/>
      <c r="E49" s="31"/>
      <c r="F49" s="31"/>
      <c r="G49" s="31"/>
      <c r="H49" s="31"/>
    </row>
    <row r="50" spans="1:13" ht="18" x14ac:dyDescent="0.3">
      <c r="C50" s="10"/>
      <c r="D50" s="10"/>
      <c r="E50" s="31"/>
      <c r="F50" s="31"/>
      <c r="G50" s="31"/>
      <c r="H50" s="31"/>
    </row>
    <row r="51" spans="1:13" ht="18" x14ac:dyDescent="0.3">
      <c r="C51" s="10"/>
      <c r="D51" s="10"/>
      <c r="E51" s="31"/>
      <c r="F51" s="31"/>
      <c r="G51" s="31"/>
      <c r="H51" s="31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6:M61"/>
  <sheetViews>
    <sheetView topLeftCell="A31" zoomScale="85" zoomScaleNormal="85" workbookViewId="0">
      <selection activeCell="E33" sqref="E33"/>
    </sheetView>
  </sheetViews>
  <sheetFormatPr defaultColWidth="9.109375" defaultRowHeight="14.4" x14ac:dyDescent="0.3"/>
  <cols>
    <col min="1" max="1" width="5.33203125" style="99" customWidth="1"/>
    <col min="2" max="2" width="23" style="99" customWidth="1"/>
    <col min="3" max="3" width="50.33203125" style="99" customWidth="1"/>
    <col min="4" max="4" width="8" style="99" customWidth="1"/>
    <col min="5" max="5" width="9.88671875" style="99" bestFit="1" customWidth="1"/>
    <col min="6" max="6" width="10.88671875" style="99" bestFit="1" customWidth="1"/>
    <col min="7" max="7" width="10.88671875" style="99" customWidth="1"/>
    <col min="8" max="8" width="12.5546875" style="99" bestFit="1" customWidth="1"/>
    <col min="9" max="9" width="9.109375" style="99"/>
    <col min="10" max="10" width="10.44140625" style="99" customWidth="1"/>
    <col min="11" max="16384" width="9.109375" style="99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430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404</v>
      </c>
      <c r="E25" s="6">
        <f>Individual!C8*7</f>
        <v>63315</v>
      </c>
      <c r="F25" s="6">
        <f t="shared" ref="F25:F32" si="0">(E25*1.05)*1.12</f>
        <v>74458.44</v>
      </c>
      <c r="G25" s="6">
        <f t="shared" ref="G25:G32" si="1">(E25*1.08)*1.12</f>
        <v>76585.824000000022</v>
      </c>
      <c r="H25" s="6">
        <f>(E25*1.15)*1.12</f>
        <v>81549.72</v>
      </c>
    </row>
    <row r="26" spans="1:8" x14ac:dyDescent="0.3">
      <c r="A26" s="6">
        <v>2</v>
      </c>
      <c r="B26" s="7" t="s">
        <v>19</v>
      </c>
      <c r="C26" s="7" t="s">
        <v>405</v>
      </c>
      <c r="D26" s="6" t="s">
        <v>5</v>
      </c>
      <c r="E26" s="6">
        <f>Individual!C13</f>
        <v>16500</v>
      </c>
      <c r="F26" s="6">
        <f t="shared" si="0"/>
        <v>19404.000000000004</v>
      </c>
      <c r="G26" s="6">
        <f t="shared" si="1"/>
        <v>19958.400000000001</v>
      </c>
      <c r="H26" s="6">
        <f t="shared" ref="H26:H32" si="2">(E26*1.15)*1.12</f>
        <v>21252.000000000004</v>
      </c>
    </row>
    <row r="27" spans="1:8" ht="28.8" x14ac:dyDescent="0.3">
      <c r="A27" s="6">
        <v>3</v>
      </c>
      <c r="B27" s="7" t="s">
        <v>6</v>
      </c>
      <c r="C27" s="7" t="s">
        <v>406</v>
      </c>
      <c r="D27" s="6" t="s">
        <v>5</v>
      </c>
      <c r="E27" s="6">
        <v>16425</v>
      </c>
      <c r="F27" s="6">
        <f t="shared" si="0"/>
        <v>19315.800000000003</v>
      </c>
      <c r="G27" s="6">
        <f t="shared" si="1"/>
        <v>19867.68</v>
      </c>
      <c r="H27" s="6">
        <f t="shared" si="2"/>
        <v>21155.4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22</v>
      </c>
      <c r="E28" s="6">
        <f>Individual!C59*30</f>
        <v>1050</v>
      </c>
      <c r="F28" s="6">
        <f t="shared" si="0"/>
        <v>1234.8000000000002</v>
      </c>
      <c r="G28" s="6">
        <f t="shared" si="1"/>
        <v>1270.0800000000002</v>
      </c>
      <c r="H28" s="6">
        <f t="shared" si="2"/>
        <v>1352.4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3812.48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4508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Individual!C139</f>
        <v>7000</v>
      </c>
      <c r="F31" s="6">
        <f t="shared" si="0"/>
        <v>8232</v>
      </c>
      <c r="G31" s="6">
        <f t="shared" si="1"/>
        <v>8467.2000000000025</v>
      </c>
      <c r="H31" s="6">
        <f t="shared" si="2"/>
        <v>9016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Individual!C145</f>
        <v>4000</v>
      </c>
      <c r="F32" s="6">
        <f t="shared" si="0"/>
        <v>4704</v>
      </c>
      <c r="G32" s="6">
        <f t="shared" si="1"/>
        <v>4838.4000000000005</v>
      </c>
      <c r="H32" s="6">
        <f t="shared" si="2"/>
        <v>5152.0000000000009</v>
      </c>
    </row>
    <row r="33" spans="1:8" ht="18" x14ac:dyDescent="0.3">
      <c r="A33" s="6"/>
      <c r="B33" s="6"/>
      <c r="C33" s="6" t="s">
        <v>14</v>
      </c>
      <c r="D33" s="6"/>
      <c r="E33" s="88">
        <f>SUM(E25:E32)</f>
        <v>114750</v>
      </c>
      <c r="F33" s="88">
        <f>SUM(F25:F32)</f>
        <v>134946</v>
      </c>
      <c r="G33" s="88">
        <f>SUM(G25:G32)</f>
        <v>138801.60000000001</v>
      </c>
      <c r="H33" s="88">
        <f>SUM(H25:H32)</f>
        <v>147798</v>
      </c>
    </row>
    <row r="35" spans="1:8" ht="28.8" x14ac:dyDescent="0.3">
      <c r="A35" s="6">
        <v>9</v>
      </c>
      <c r="B35" s="7" t="s">
        <v>20</v>
      </c>
      <c r="C35" s="7" t="s">
        <v>431</v>
      </c>
      <c r="D35" s="6" t="s">
        <v>5</v>
      </c>
      <c r="E35" s="6">
        <f>Individual!K44</f>
        <v>22000</v>
      </c>
      <c r="F35" s="6">
        <f>(E35*1.05)*1.12</f>
        <v>25872.000000000004</v>
      </c>
      <c r="G35" s="6">
        <f>(E35*1.08)*1.12</f>
        <v>26611.200000000001</v>
      </c>
      <c r="H35" s="6">
        <f>(E35*1.15)*1.12</f>
        <v>28336</v>
      </c>
    </row>
    <row r="36" spans="1:8" ht="18" x14ac:dyDescent="0.3">
      <c r="A36" s="10"/>
      <c r="B36" s="11"/>
      <c r="C36" s="6" t="s">
        <v>14</v>
      </c>
      <c r="D36" s="6"/>
      <c r="E36" s="88">
        <f>SUM(E33:E35)</f>
        <v>136750</v>
      </c>
      <c r="F36" s="88">
        <f t="shared" ref="F36" si="3">SUM(F33:F35)</f>
        <v>160818</v>
      </c>
      <c r="G36" s="88">
        <f>SUM(G33:G35)</f>
        <v>165412.80000000002</v>
      </c>
      <c r="H36" s="88">
        <f>SUM(H33:H35)</f>
        <v>176134</v>
      </c>
    </row>
    <row r="37" spans="1:8" x14ac:dyDescent="0.3">
      <c r="B37" s="99" t="s">
        <v>23</v>
      </c>
    </row>
    <row r="38" spans="1:8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(E38*1.15)*1.12</f>
        <v>8983.7999999999993</v>
      </c>
    </row>
    <row r="39" spans="1:8" ht="18" x14ac:dyDescent="0.3">
      <c r="C39" s="6" t="s">
        <v>14</v>
      </c>
      <c r="D39" s="6"/>
      <c r="E39" s="88">
        <f>SUM(E36:E38)</f>
        <v>143725</v>
      </c>
      <c r="F39" s="88">
        <f>SUM(F36:F38)</f>
        <v>169020.6</v>
      </c>
      <c r="G39" s="88">
        <f>SUM(G36:G38)</f>
        <v>173849.76</v>
      </c>
      <c r="H39" s="88">
        <f>SUM(H36:H38)</f>
        <v>185117.8</v>
      </c>
    </row>
    <row r="40" spans="1:8" x14ac:dyDescent="0.3">
      <c r="B40" s="99" t="s">
        <v>23</v>
      </c>
    </row>
    <row r="41" spans="1:8" x14ac:dyDescent="0.3">
      <c r="A41" s="6">
        <v>11</v>
      </c>
      <c r="B41" s="6" t="s">
        <v>310</v>
      </c>
      <c r="C41" s="7" t="s">
        <v>7</v>
      </c>
      <c r="D41" s="6" t="s">
        <v>306</v>
      </c>
      <c r="E41" s="6">
        <f>Individual!C94*90</f>
        <v>12975.000000000002</v>
      </c>
      <c r="F41" s="6">
        <f t="shared" ref="F41:F44" si="4">(E41*1.05)*1.12</f>
        <v>15258.600000000004</v>
      </c>
      <c r="G41" s="6">
        <f t="shared" ref="G41:G44" si="5">(E41*1.08)*1.12</f>
        <v>15694.560000000005</v>
      </c>
      <c r="H41" s="6">
        <f t="shared" ref="H41:H44" si="6">(E41*1.15)*1.12</f>
        <v>16711.800000000003</v>
      </c>
    </row>
    <row r="42" spans="1:8" x14ac:dyDescent="0.3">
      <c r="A42" s="6">
        <v>12</v>
      </c>
      <c r="B42" s="6" t="s">
        <v>25</v>
      </c>
      <c r="C42" s="7" t="s">
        <v>7</v>
      </c>
      <c r="D42" s="6" t="s">
        <v>307</v>
      </c>
      <c r="E42" s="6">
        <f>Individual!C69*100</f>
        <v>6779.6610169491532</v>
      </c>
      <c r="F42" s="6">
        <f t="shared" si="4"/>
        <v>7972.8813559322052</v>
      </c>
      <c r="G42" s="6">
        <f t="shared" si="5"/>
        <v>8200.6779661016972</v>
      </c>
      <c r="H42" s="6">
        <f t="shared" si="6"/>
        <v>8732.2033898305108</v>
      </c>
    </row>
    <row r="43" spans="1:8" x14ac:dyDescent="0.3">
      <c r="A43" s="6">
        <v>13</v>
      </c>
      <c r="B43" s="7" t="s">
        <v>26</v>
      </c>
      <c r="C43" s="7" t="s">
        <v>7</v>
      </c>
      <c r="D43" s="6" t="s">
        <v>307</v>
      </c>
      <c r="E43" s="6">
        <f>Individual!C74*100</f>
        <v>2200</v>
      </c>
      <c r="F43" s="6">
        <f t="shared" si="4"/>
        <v>2587.2000000000003</v>
      </c>
      <c r="G43" s="6">
        <f t="shared" si="5"/>
        <v>2661.1200000000003</v>
      </c>
      <c r="H43" s="6">
        <f t="shared" si="6"/>
        <v>2833.6000000000004</v>
      </c>
    </row>
    <row r="44" spans="1:8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Individual!C79</f>
        <v>2280</v>
      </c>
      <c r="F44" s="6">
        <f t="shared" si="4"/>
        <v>2681.28</v>
      </c>
      <c r="G44" s="6">
        <f t="shared" si="5"/>
        <v>2757.8880000000004</v>
      </c>
      <c r="H44" s="6">
        <f t="shared" si="6"/>
        <v>2936.6400000000003</v>
      </c>
    </row>
    <row r="45" spans="1:8" ht="18" x14ac:dyDescent="0.3">
      <c r="C45" s="6" t="s">
        <v>14</v>
      </c>
      <c r="D45" s="6"/>
      <c r="E45" s="88">
        <f>SUM(E39:E44)</f>
        <v>167959.66101694916</v>
      </c>
      <c r="F45" s="88">
        <f>SUM(F39:F44)</f>
        <v>197520.56135593224</v>
      </c>
      <c r="G45" s="88">
        <f>SUM(G39:G44)</f>
        <v>203164.00596610171</v>
      </c>
      <c r="H45" s="88">
        <f>SUM(H39:H44)</f>
        <v>216332.04338983051</v>
      </c>
    </row>
    <row r="46" spans="1:8" ht="18" x14ac:dyDescent="0.3">
      <c r="C46" s="10"/>
      <c r="D46" s="10"/>
      <c r="E46" s="31"/>
      <c r="F46" s="31"/>
      <c r="G46" s="31"/>
      <c r="H46" s="31"/>
    </row>
    <row r="47" spans="1:8" ht="18" x14ac:dyDescent="0.3">
      <c r="A47" s="6">
        <v>15</v>
      </c>
      <c r="B47" s="6" t="s">
        <v>70</v>
      </c>
      <c r="C47" s="7" t="s">
        <v>7</v>
      </c>
      <c r="D47" s="6" t="s">
        <v>418</v>
      </c>
      <c r="E47" s="101">
        <f>Individual!C125*30</f>
        <v>21600</v>
      </c>
      <c r="F47" s="6">
        <f t="shared" ref="F47" si="7">(E47*1.05)*1.12</f>
        <v>25401.600000000002</v>
      </c>
      <c r="G47" s="6">
        <f t="shared" ref="G47" si="8">(E47*1.08)*1.12</f>
        <v>26127.360000000004</v>
      </c>
      <c r="H47" s="6">
        <f>(E47*1.15)*1.12</f>
        <v>27820.799999999999</v>
      </c>
    </row>
    <row r="48" spans="1:8" ht="18" x14ac:dyDescent="0.3">
      <c r="C48" s="10"/>
      <c r="D48" s="10"/>
      <c r="E48" s="31">
        <f>E39+E42+E43+E44+E47</f>
        <v>176584.66101694916</v>
      </c>
      <c r="F48" s="31">
        <f>F39+F42+F43+F44+F47</f>
        <v>207663.56135593224</v>
      </c>
      <c r="G48" s="31">
        <f t="shared" ref="G48:H48" si="9">G39+G42+G43+G44+G47</f>
        <v>213596.80596610173</v>
      </c>
      <c r="H48" s="31">
        <f t="shared" si="9"/>
        <v>227441.04338983051</v>
      </c>
    </row>
    <row r="49" spans="1:13" ht="18" x14ac:dyDescent="0.3">
      <c r="C49" s="10"/>
      <c r="D49" s="10"/>
      <c r="E49" s="31"/>
      <c r="F49" s="31"/>
      <c r="G49" s="31"/>
      <c r="H49" s="31"/>
    </row>
    <row r="50" spans="1:13" ht="18" x14ac:dyDescent="0.3">
      <c r="C50" s="10"/>
      <c r="D50" s="10"/>
      <c r="E50" s="31"/>
      <c r="F50" s="31"/>
      <c r="G50" s="31"/>
      <c r="H50" s="31"/>
    </row>
    <row r="51" spans="1:13" ht="18" x14ac:dyDescent="0.3">
      <c r="C51" s="10"/>
      <c r="D51" s="10"/>
      <c r="E51" s="31"/>
      <c r="F51" s="31"/>
      <c r="G51" s="31"/>
      <c r="H51" s="31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6:M61"/>
  <sheetViews>
    <sheetView topLeftCell="A28" zoomScale="85" zoomScaleNormal="85" workbookViewId="0">
      <selection activeCell="I45" sqref="I45"/>
    </sheetView>
  </sheetViews>
  <sheetFormatPr defaultColWidth="9.109375" defaultRowHeight="14.4" x14ac:dyDescent="0.3"/>
  <cols>
    <col min="1" max="1" width="5.33203125" style="139" customWidth="1"/>
    <col min="2" max="2" width="23" style="139" customWidth="1"/>
    <col min="3" max="3" width="50.33203125" style="139" customWidth="1"/>
    <col min="4" max="4" width="8" style="139" customWidth="1"/>
    <col min="5" max="5" width="9.88671875" style="139" bestFit="1" customWidth="1"/>
    <col min="6" max="6" width="10.88671875" style="139" bestFit="1" customWidth="1"/>
    <col min="7" max="7" width="10.88671875" style="139" customWidth="1"/>
    <col min="8" max="8" width="12.5546875" style="139" bestFit="1" customWidth="1"/>
    <col min="9" max="9" width="9.109375" style="139"/>
    <col min="10" max="10" width="10.44140625" style="139" customWidth="1"/>
    <col min="11" max="16384" width="9.109375" style="139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432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404</v>
      </c>
      <c r="E25" s="6">
        <f>Individual!C8*7</f>
        <v>63315</v>
      </c>
      <c r="F25" s="6">
        <f t="shared" ref="F25:F32" si="0">(E25*1.05)*1.12</f>
        <v>74458.44</v>
      </c>
      <c r="G25" s="6">
        <f t="shared" ref="G25:G32" si="1">(E25*1.08)*1.12</f>
        <v>76585.824000000022</v>
      </c>
      <c r="H25" s="6">
        <f>(E25*1.15)*1.12</f>
        <v>81549.72</v>
      </c>
    </row>
    <row r="26" spans="1:8" x14ac:dyDescent="0.3">
      <c r="A26" s="6">
        <v>2</v>
      </c>
      <c r="B26" s="7" t="s">
        <v>19</v>
      </c>
      <c r="C26" s="7" t="s">
        <v>405</v>
      </c>
      <c r="D26" s="6" t="s">
        <v>5</v>
      </c>
      <c r="E26" s="6">
        <f>Individual!C13</f>
        <v>16500</v>
      </c>
      <c r="F26" s="6">
        <f t="shared" si="0"/>
        <v>19404.000000000004</v>
      </c>
      <c r="G26" s="6">
        <f t="shared" si="1"/>
        <v>19958.400000000001</v>
      </c>
      <c r="H26" s="6">
        <f t="shared" ref="H26:H32" si="2">(E26*1.15)*1.12</f>
        <v>21252.000000000004</v>
      </c>
    </row>
    <row r="27" spans="1:8" ht="28.8" x14ac:dyDescent="0.3">
      <c r="A27" s="6">
        <v>3</v>
      </c>
      <c r="B27" s="7" t="s">
        <v>6</v>
      </c>
      <c r="C27" s="7" t="s">
        <v>406</v>
      </c>
      <c r="D27" s="6" t="s">
        <v>5</v>
      </c>
      <c r="E27" s="6">
        <v>16425</v>
      </c>
      <c r="F27" s="6">
        <f t="shared" si="0"/>
        <v>19315.800000000003</v>
      </c>
      <c r="G27" s="6">
        <f t="shared" si="1"/>
        <v>19867.68</v>
      </c>
      <c r="H27" s="6">
        <f t="shared" si="2"/>
        <v>21155.4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22</v>
      </c>
      <c r="E28" s="6">
        <f>Individual!C59*30</f>
        <v>1050</v>
      </c>
      <c r="F28" s="6">
        <f t="shared" si="0"/>
        <v>1234.8000000000002</v>
      </c>
      <c r="G28" s="6">
        <f t="shared" si="1"/>
        <v>1270.0800000000002</v>
      </c>
      <c r="H28" s="6">
        <f t="shared" si="2"/>
        <v>1352.4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3812.48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4508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Individual!C139</f>
        <v>7000</v>
      </c>
      <c r="F31" s="6">
        <f t="shared" si="0"/>
        <v>8232</v>
      </c>
      <c r="G31" s="6">
        <f t="shared" si="1"/>
        <v>8467.2000000000025</v>
      </c>
      <c r="H31" s="6">
        <f t="shared" si="2"/>
        <v>9016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Individual!C145</f>
        <v>4000</v>
      </c>
      <c r="F32" s="6">
        <f t="shared" si="0"/>
        <v>4704</v>
      </c>
      <c r="G32" s="6">
        <f t="shared" si="1"/>
        <v>4838.4000000000005</v>
      </c>
      <c r="H32" s="6">
        <f t="shared" si="2"/>
        <v>5152.0000000000009</v>
      </c>
    </row>
    <row r="33" spans="1:9" ht="18" x14ac:dyDescent="0.3">
      <c r="A33" s="6"/>
      <c r="B33" s="6"/>
      <c r="C33" s="6" t="s">
        <v>14</v>
      </c>
      <c r="D33" s="6"/>
      <c r="E33" s="88">
        <f>SUM(E25:E32)</f>
        <v>114750</v>
      </c>
      <c r="F33" s="88">
        <f>SUM(F25:F32)</f>
        <v>134946</v>
      </c>
      <c r="G33" s="88">
        <f>SUM(G25:G32)</f>
        <v>138801.60000000001</v>
      </c>
      <c r="H33" s="88">
        <f>SUM(H25:H32)</f>
        <v>147798</v>
      </c>
    </row>
    <row r="35" spans="1:9" ht="28.8" x14ac:dyDescent="0.3">
      <c r="A35" s="6">
        <v>9</v>
      </c>
      <c r="B35" s="7" t="s">
        <v>20</v>
      </c>
      <c r="C35" s="7" t="s">
        <v>433</v>
      </c>
      <c r="D35" s="6" t="s">
        <v>5</v>
      </c>
      <c r="E35" s="6">
        <f>Individual!K46</f>
        <v>31500</v>
      </c>
      <c r="F35" s="6">
        <f>(E35*1.05)*1.12</f>
        <v>37044</v>
      </c>
      <c r="G35" s="6">
        <f>(E35*1.08)*1.12</f>
        <v>38102.400000000001</v>
      </c>
      <c r="H35" s="6">
        <f>(E35*1.15)*1.12</f>
        <v>40572.000000000007</v>
      </c>
    </row>
    <row r="36" spans="1:9" ht="18" x14ac:dyDescent="0.3">
      <c r="A36" s="10"/>
      <c r="B36" s="11"/>
      <c r="C36" s="6" t="s">
        <v>14</v>
      </c>
      <c r="D36" s="6"/>
      <c r="E36" s="88">
        <f>SUM(E33:E35)</f>
        <v>146250</v>
      </c>
      <c r="F36" s="88">
        <f t="shared" ref="F36" si="3">SUM(F33:F35)</f>
        <v>171990</v>
      </c>
      <c r="G36" s="88">
        <f>SUM(G33:G35)</f>
        <v>176904</v>
      </c>
      <c r="H36" s="88">
        <f>SUM(H33:H35)</f>
        <v>188370</v>
      </c>
    </row>
    <row r="37" spans="1:9" x14ac:dyDescent="0.3">
      <c r="B37" s="139" t="s">
        <v>23</v>
      </c>
    </row>
    <row r="38" spans="1:9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(E38*1.15)*1.12</f>
        <v>8983.7999999999993</v>
      </c>
    </row>
    <row r="39" spans="1:9" ht="18" x14ac:dyDescent="0.3">
      <c r="C39" s="6" t="s">
        <v>14</v>
      </c>
      <c r="D39" s="6"/>
      <c r="E39" s="88">
        <f>SUM(E36:E38)</f>
        <v>153225</v>
      </c>
      <c r="F39" s="88">
        <f>SUM(F36:F38)</f>
        <v>180192.6</v>
      </c>
      <c r="G39" s="88">
        <f>SUM(G36:G38)</f>
        <v>185340.96</v>
      </c>
      <c r="H39" s="88">
        <f>SUM(H36:H38)</f>
        <v>197353.8</v>
      </c>
    </row>
    <row r="40" spans="1:9" x14ac:dyDescent="0.3">
      <c r="B40" s="139" t="s">
        <v>23</v>
      </c>
    </row>
    <row r="41" spans="1:9" x14ac:dyDescent="0.3">
      <c r="A41" s="6">
        <v>11</v>
      </c>
      <c r="B41" s="6" t="s">
        <v>303</v>
      </c>
      <c r="C41" s="7" t="s">
        <v>7</v>
      </c>
      <c r="D41" s="6" t="s">
        <v>301</v>
      </c>
      <c r="E41" s="6">
        <f>Individual!C90*150</f>
        <v>13750</v>
      </c>
      <c r="F41" s="6">
        <f t="shared" ref="F41:F44" si="4">(E41*1.05)*1.12</f>
        <v>16170.000000000002</v>
      </c>
      <c r="G41" s="6">
        <f t="shared" ref="G41:G44" si="5">(E41*1.08)*1.12</f>
        <v>16632.000000000004</v>
      </c>
      <c r="H41" s="6">
        <f t="shared" ref="H41:H44" si="6">(E41*1.15)*1.12</f>
        <v>17710</v>
      </c>
    </row>
    <row r="42" spans="1:9" x14ac:dyDescent="0.3">
      <c r="A42" s="6">
        <v>12</v>
      </c>
      <c r="B42" s="6" t="s">
        <v>25</v>
      </c>
      <c r="C42" s="7" t="s">
        <v>7</v>
      </c>
      <c r="D42" s="6" t="s">
        <v>302</v>
      </c>
      <c r="E42" s="6">
        <f>Individual!C69*160</f>
        <v>10847.457627118645</v>
      </c>
      <c r="F42" s="6">
        <f t="shared" si="4"/>
        <v>12756.610169491527</v>
      </c>
      <c r="G42" s="6">
        <f t="shared" si="5"/>
        <v>13121.084745762715</v>
      </c>
      <c r="H42" s="6">
        <f t="shared" si="6"/>
        <v>13971.525423728815</v>
      </c>
    </row>
    <row r="43" spans="1:9" x14ac:dyDescent="0.3">
      <c r="A43" s="6">
        <v>13</v>
      </c>
      <c r="B43" s="7" t="s">
        <v>26</v>
      </c>
      <c r="C43" s="7" t="s">
        <v>7</v>
      </c>
      <c r="D43" s="6" t="s">
        <v>302</v>
      </c>
      <c r="E43" s="6">
        <f>Individual!C74*160</f>
        <v>3520</v>
      </c>
      <c r="F43" s="6">
        <f t="shared" si="4"/>
        <v>4139.5200000000004</v>
      </c>
      <c r="G43" s="6">
        <f t="shared" si="5"/>
        <v>4257.7920000000004</v>
      </c>
      <c r="H43" s="6">
        <f t="shared" si="6"/>
        <v>4533.76</v>
      </c>
    </row>
    <row r="44" spans="1:9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Individual!C78</f>
        <v>1952</v>
      </c>
      <c r="F44" s="6">
        <f t="shared" si="4"/>
        <v>2295.5520000000001</v>
      </c>
      <c r="G44" s="6">
        <f t="shared" si="5"/>
        <v>2361.1392000000005</v>
      </c>
      <c r="H44" s="6">
        <f t="shared" si="6"/>
        <v>2514.1759999999999</v>
      </c>
    </row>
    <row r="45" spans="1:9" ht="18" x14ac:dyDescent="0.3">
      <c r="C45" s="6" t="s">
        <v>14</v>
      </c>
      <c r="D45" s="6"/>
      <c r="E45" s="88">
        <f>SUM(E39:E44)</f>
        <v>183294.45762711865</v>
      </c>
      <c r="F45" s="88">
        <f>SUM(F39:F44)</f>
        <v>215554.28216949152</v>
      </c>
      <c r="G45" s="88">
        <f>SUM(G39:G44)</f>
        <v>221712.97594576271</v>
      </c>
      <c r="H45" s="88">
        <f>SUM(H39:H44)</f>
        <v>236083.26142372881</v>
      </c>
      <c r="I45" s="141">
        <f>E45*1.12-H45</f>
        <v>-30793.46888135589</v>
      </c>
    </row>
    <row r="46" spans="1:9" ht="18" x14ac:dyDescent="0.3">
      <c r="C46" s="10"/>
      <c r="D46" s="10"/>
      <c r="E46" s="31"/>
      <c r="F46" s="31"/>
      <c r="G46" s="31"/>
      <c r="H46" s="31"/>
    </row>
    <row r="47" spans="1:9" ht="18" x14ac:dyDescent="0.3">
      <c r="A47" s="6">
        <v>15</v>
      </c>
      <c r="B47" s="6" t="s">
        <v>70</v>
      </c>
      <c r="C47" s="7" t="s">
        <v>7</v>
      </c>
      <c r="D47" s="6" t="s">
        <v>434</v>
      </c>
      <c r="E47" s="101">
        <f>Individual!C116*50</f>
        <v>28222.222222222223</v>
      </c>
      <c r="F47" s="6">
        <f t="shared" ref="F47" si="7">(E47*1.05)*1.12</f>
        <v>33189.333333333336</v>
      </c>
      <c r="G47" s="6">
        <f t="shared" ref="G47" si="8">(E47*1.08)*1.12</f>
        <v>34137.600000000006</v>
      </c>
      <c r="H47" s="6">
        <f>(E47*1.15)*1.12</f>
        <v>36350.222222222226</v>
      </c>
    </row>
    <row r="48" spans="1:9" ht="18" x14ac:dyDescent="0.3">
      <c r="C48" s="10"/>
      <c r="D48" s="10"/>
      <c r="E48" s="31">
        <f>E39+E42+E43+E44+E47</f>
        <v>197766.67984934087</v>
      </c>
      <c r="F48" s="31">
        <f>F39+F42+F43+F44+F47</f>
        <v>232573.61550282486</v>
      </c>
      <c r="G48" s="31">
        <f t="shared" ref="G48:H48" si="9">G39+G42+G43+G44+G47</f>
        <v>239218.57594576271</v>
      </c>
      <c r="H48" s="31">
        <f t="shared" si="9"/>
        <v>254723.48364595103</v>
      </c>
    </row>
    <row r="49" spans="1:13" ht="18" x14ac:dyDescent="0.3">
      <c r="C49" s="10"/>
      <c r="D49" s="10"/>
      <c r="E49" s="31"/>
      <c r="F49" s="31"/>
      <c r="G49" s="31"/>
      <c r="H49" s="31"/>
    </row>
    <row r="50" spans="1:13" ht="18" x14ac:dyDescent="0.3">
      <c r="C50" s="10"/>
      <c r="D50" s="10"/>
      <c r="E50" s="31"/>
      <c r="F50" s="31"/>
      <c r="G50" s="31"/>
      <c r="H50" s="31"/>
    </row>
    <row r="51" spans="1:13" ht="18" x14ac:dyDescent="0.3">
      <c r="C51" s="10"/>
      <c r="D51" s="10"/>
      <c r="E51" s="31"/>
      <c r="F51" s="31"/>
      <c r="G51" s="31"/>
      <c r="H51" s="31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6:M61"/>
  <sheetViews>
    <sheetView topLeftCell="A25" zoomScale="85" zoomScaleNormal="85" workbookViewId="0">
      <selection activeCell="I40" sqref="I40"/>
    </sheetView>
  </sheetViews>
  <sheetFormatPr defaultColWidth="9.109375" defaultRowHeight="14.4" x14ac:dyDescent="0.3"/>
  <cols>
    <col min="1" max="1" width="5.33203125" style="99" customWidth="1"/>
    <col min="2" max="2" width="23" style="99" customWidth="1"/>
    <col min="3" max="3" width="50.33203125" style="99" customWidth="1"/>
    <col min="4" max="4" width="8" style="99" customWidth="1"/>
    <col min="5" max="5" width="9.88671875" style="99" bestFit="1" customWidth="1"/>
    <col min="6" max="6" width="10.88671875" style="99" bestFit="1" customWidth="1"/>
    <col min="7" max="7" width="10.88671875" style="99" customWidth="1"/>
    <col min="8" max="8" width="12.5546875" style="99" bestFit="1" customWidth="1"/>
    <col min="9" max="9" width="9.109375" style="99"/>
    <col min="10" max="10" width="10.44140625" style="99" customWidth="1"/>
    <col min="11" max="16384" width="9.109375" style="99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435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28</v>
      </c>
      <c r="E25" s="6">
        <f>Individual!C8*10</f>
        <v>90450</v>
      </c>
      <c r="F25" s="6">
        <f t="shared" ref="F25:F32" si="0">(E25*1.05)*1.12</f>
        <v>106369.20000000001</v>
      </c>
      <c r="G25" s="6">
        <f t="shared" ref="G25:G32" si="1">(E25*1.08)*1.12</f>
        <v>109408.32000000001</v>
      </c>
      <c r="H25" s="6">
        <f>(E25*1.15)*1.12</f>
        <v>116499.59999999999</v>
      </c>
    </row>
    <row r="26" spans="1:8" x14ac:dyDescent="0.3">
      <c r="A26" s="6">
        <v>2</v>
      </c>
      <c r="B26" s="7" t="s">
        <v>19</v>
      </c>
      <c r="C26" s="7" t="s">
        <v>436</v>
      </c>
      <c r="D26" s="6" t="s">
        <v>5</v>
      </c>
      <c r="E26" s="6">
        <v>17000</v>
      </c>
      <c r="F26" s="6">
        <f t="shared" si="0"/>
        <v>19992.000000000004</v>
      </c>
      <c r="G26" s="6">
        <f t="shared" si="1"/>
        <v>20563.2</v>
      </c>
      <c r="H26" s="6">
        <f t="shared" ref="H26:H32" si="2">(E26*1.15)*1.12</f>
        <v>21896.000000000004</v>
      </c>
    </row>
    <row r="27" spans="1:8" ht="28.8" x14ac:dyDescent="0.3">
      <c r="A27" s="6">
        <v>3</v>
      </c>
      <c r="B27" s="7" t="s">
        <v>6</v>
      </c>
      <c r="C27" s="7" t="s">
        <v>300</v>
      </c>
      <c r="D27" s="6" t="s">
        <v>5</v>
      </c>
      <c r="E27" s="6">
        <f>Individual!K7</f>
        <v>23400</v>
      </c>
      <c r="F27" s="6">
        <f t="shared" si="0"/>
        <v>27518.400000000001</v>
      </c>
      <c r="G27" s="6">
        <f t="shared" si="1"/>
        <v>28304.640000000003</v>
      </c>
      <c r="H27" s="6">
        <f t="shared" si="2"/>
        <v>30139.199999999997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22</v>
      </c>
      <c r="E28" s="6">
        <f>Individual!C59*30</f>
        <v>1050</v>
      </c>
      <c r="F28" s="6">
        <f t="shared" si="0"/>
        <v>1234.8000000000002</v>
      </c>
      <c r="G28" s="6">
        <f t="shared" si="1"/>
        <v>1270.0800000000002</v>
      </c>
      <c r="H28" s="6">
        <f t="shared" si="2"/>
        <v>1352.4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3812.48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4508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Individual!C140</f>
        <v>9000</v>
      </c>
      <c r="F31" s="6">
        <f t="shared" si="0"/>
        <v>10584.000000000002</v>
      </c>
      <c r="G31" s="6">
        <f t="shared" si="1"/>
        <v>10886.400000000001</v>
      </c>
      <c r="H31" s="6">
        <f t="shared" si="2"/>
        <v>11592.000000000002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Individual!C145</f>
        <v>4000</v>
      </c>
      <c r="F32" s="6">
        <f t="shared" si="0"/>
        <v>4704</v>
      </c>
      <c r="G32" s="6">
        <f t="shared" si="1"/>
        <v>4838.4000000000005</v>
      </c>
      <c r="H32" s="6">
        <f t="shared" si="2"/>
        <v>5152.0000000000009</v>
      </c>
    </row>
    <row r="33" spans="1:9" ht="18" x14ac:dyDescent="0.3">
      <c r="A33" s="6"/>
      <c r="B33" s="6"/>
      <c r="C33" s="6" t="s">
        <v>14</v>
      </c>
      <c r="D33" s="6"/>
      <c r="E33" s="88">
        <f>SUM(E25:E32)</f>
        <v>151360</v>
      </c>
      <c r="F33" s="88">
        <f>SUM(F25:F32)</f>
        <v>177999.35999999999</v>
      </c>
      <c r="G33" s="88">
        <f>SUM(G25:G32)</f>
        <v>183085.05599999998</v>
      </c>
      <c r="H33" s="88">
        <f>SUM(H25:H32)</f>
        <v>194951.67999999999</v>
      </c>
    </row>
    <row r="35" spans="1:9" ht="28.8" x14ac:dyDescent="0.3">
      <c r="A35" s="6">
        <v>9</v>
      </c>
      <c r="B35" s="7" t="s">
        <v>20</v>
      </c>
      <c r="C35" s="7" t="s">
        <v>437</v>
      </c>
      <c r="D35" s="6" t="s">
        <v>5</v>
      </c>
      <c r="E35" s="6">
        <f>Individual!K49</f>
        <v>26000</v>
      </c>
      <c r="F35" s="6">
        <f>(E35*1.05)*1.12</f>
        <v>30576.000000000004</v>
      </c>
      <c r="G35" s="6">
        <f>(E35*1.08)*1.12</f>
        <v>31449.600000000006</v>
      </c>
      <c r="H35" s="6">
        <f>(E35*1.15)*1.12</f>
        <v>33488</v>
      </c>
    </row>
    <row r="36" spans="1:9" ht="18" x14ac:dyDescent="0.3">
      <c r="A36" s="10"/>
      <c r="B36" s="11"/>
      <c r="C36" s="6" t="s">
        <v>14</v>
      </c>
      <c r="D36" s="6"/>
      <c r="E36" s="88">
        <f>SUM(E33:E35)</f>
        <v>177360</v>
      </c>
      <c r="F36" s="88">
        <f t="shared" ref="F36" si="3">SUM(F33:F35)</f>
        <v>208575.35999999999</v>
      </c>
      <c r="G36" s="88">
        <f>SUM(G33:G35)</f>
        <v>214534.65599999999</v>
      </c>
      <c r="H36" s="88">
        <f>SUM(H33:H35)</f>
        <v>228439.67999999999</v>
      </c>
    </row>
    <row r="37" spans="1:9" x14ac:dyDescent="0.3">
      <c r="B37" s="99" t="s">
        <v>23</v>
      </c>
    </row>
    <row r="38" spans="1:9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(E38*1.15)*1.12</f>
        <v>8983.7999999999993</v>
      </c>
    </row>
    <row r="39" spans="1:9" ht="18" x14ac:dyDescent="0.3">
      <c r="C39" s="6" t="s">
        <v>14</v>
      </c>
      <c r="D39" s="6"/>
      <c r="E39" s="88">
        <f>SUM(E36:E38)</f>
        <v>184335</v>
      </c>
      <c r="F39" s="88">
        <f>SUM(F36:F38)</f>
        <v>216777.96</v>
      </c>
      <c r="G39" s="88">
        <f>SUM(G36:G38)</f>
        <v>222971.61599999998</v>
      </c>
      <c r="H39" s="88">
        <f>SUM(H36:H38)</f>
        <v>237423.47999999998</v>
      </c>
      <c r="I39" s="99">
        <f>E39-E35</f>
        <v>158335</v>
      </c>
    </row>
    <row r="40" spans="1:9" x14ac:dyDescent="0.3">
      <c r="B40" s="99" t="s">
        <v>23</v>
      </c>
    </row>
    <row r="41" spans="1:9" x14ac:dyDescent="0.3">
      <c r="A41" s="6">
        <v>11</v>
      </c>
      <c r="B41" s="6" t="s">
        <v>309</v>
      </c>
      <c r="C41" s="7" t="s">
        <v>7</v>
      </c>
      <c r="D41" s="6" t="s">
        <v>408</v>
      </c>
      <c r="E41" s="6">
        <f>Individual!C101*20</f>
        <v>5750</v>
      </c>
      <c r="F41" s="6">
        <f t="shared" ref="F41:F44" si="4">(E41*1.05)*1.12</f>
        <v>6762.0000000000009</v>
      </c>
      <c r="G41" s="6">
        <f t="shared" ref="G41:G44" si="5">(E41*1.08)*1.12</f>
        <v>6955.2000000000007</v>
      </c>
      <c r="H41" s="6">
        <f t="shared" ref="H41:H44" si="6">(E41*1.15)*1.12</f>
        <v>7406</v>
      </c>
    </row>
    <row r="42" spans="1:9" x14ac:dyDescent="0.3">
      <c r="A42" s="6">
        <v>12</v>
      </c>
      <c r="B42" s="6" t="s">
        <v>25</v>
      </c>
      <c r="C42" s="7" t="s">
        <v>7</v>
      </c>
      <c r="D42" s="6" t="s">
        <v>22</v>
      </c>
      <c r="E42" s="6">
        <f>Individual!C69*30</f>
        <v>2033.898305084746</v>
      </c>
      <c r="F42" s="6">
        <f t="shared" si="4"/>
        <v>2391.8644067796617</v>
      </c>
      <c r="G42" s="6">
        <f t="shared" si="5"/>
        <v>2460.2033898305094</v>
      </c>
      <c r="H42" s="6">
        <f t="shared" si="6"/>
        <v>2619.6610169491532</v>
      </c>
    </row>
    <row r="43" spans="1:9" x14ac:dyDescent="0.3">
      <c r="A43" s="6">
        <v>13</v>
      </c>
      <c r="B43" s="7" t="s">
        <v>26</v>
      </c>
      <c r="C43" s="7" t="s">
        <v>7</v>
      </c>
      <c r="D43" s="6" t="s">
        <v>22</v>
      </c>
      <c r="E43" s="6">
        <f>Individual!C74*30</f>
        <v>660</v>
      </c>
      <c r="F43" s="6">
        <f t="shared" si="4"/>
        <v>776.16000000000008</v>
      </c>
      <c r="G43" s="6">
        <f t="shared" si="5"/>
        <v>798.33600000000013</v>
      </c>
      <c r="H43" s="6">
        <f t="shared" si="6"/>
        <v>850.07999999999993</v>
      </c>
    </row>
    <row r="44" spans="1:9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Individual!C81</f>
        <v>3510</v>
      </c>
      <c r="F44" s="6">
        <f t="shared" si="4"/>
        <v>4127.76</v>
      </c>
      <c r="G44" s="6">
        <f t="shared" si="5"/>
        <v>4245.6960000000008</v>
      </c>
      <c r="H44" s="6">
        <f t="shared" si="6"/>
        <v>4520.88</v>
      </c>
    </row>
    <row r="45" spans="1:9" ht="18" x14ac:dyDescent="0.3">
      <c r="C45" s="6" t="s">
        <v>14</v>
      </c>
      <c r="D45" s="6"/>
      <c r="E45" s="88">
        <f>SUM(E39:E44)</f>
        <v>196288.89830508476</v>
      </c>
      <c r="F45" s="88">
        <f>SUM(F39:F44)</f>
        <v>230835.74440677968</v>
      </c>
      <c r="G45" s="88">
        <f>SUM(G39:G44)</f>
        <v>237431.05138983051</v>
      </c>
      <c r="H45" s="88">
        <f>SUM(H39:H44)</f>
        <v>252820.10101694913</v>
      </c>
    </row>
    <row r="46" spans="1:9" ht="18" x14ac:dyDescent="0.3">
      <c r="C46" s="10"/>
      <c r="D46" s="10"/>
      <c r="E46" s="31"/>
      <c r="F46" s="31"/>
      <c r="G46" s="31"/>
      <c r="H46" s="31"/>
    </row>
    <row r="47" spans="1:9" ht="18" x14ac:dyDescent="0.3">
      <c r="A47" s="10"/>
      <c r="B47" s="10"/>
      <c r="C47" s="11"/>
      <c r="D47" s="10"/>
      <c r="E47" s="31"/>
      <c r="F47" s="10"/>
      <c r="G47" s="10"/>
      <c r="H47" s="10"/>
    </row>
    <row r="48" spans="1:9" ht="18" x14ac:dyDescent="0.3">
      <c r="A48" s="10"/>
      <c r="B48" s="10"/>
      <c r="C48" s="10"/>
      <c r="D48" s="10"/>
      <c r="E48" s="31"/>
      <c r="F48" s="31"/>
      <c r="G48" s="31"/>
      <c r="H48" s="31"/>
    </row>
    <row r="49" spans="1:13" ht="18" x14ac:dyDescent="0.3">
      <c r="A49" s="10"/>
      <c r="B49" s="10"/>
      <c r="C49" s="10"/>
      <c r="D49" s="10"/>
      <c r="E49" s="31"/>
      <c r="F49" s="31"/>
      <c r="G49" s="31"/>
      <c r="H49" s="31"/>
    </row>
    <row r="50" spans="1:13" ht="18" x14ac:dyDescent="0.3">
      <c r="C50" s="10"/>
      <c r="D50" s="10"/>
      <c r="E50" s="31"/>
      <c r="F50" s="31"/>
      <c r="G50" s="31"/>
      <c r="H50" s="31"/>
    </row>
    <row r="51" spans="1:13" ht="18" x14ac:dyDescent="0.3">
      <c r="C51" s="10"/>
      <c r="D51" s="10"/>
      <c r="E51" s="31"/>
      <c r="F51" s="31"/>
      <c r="G51" s="31"/>
      <c r="H51" s="31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6:M61"/>
  <sheetViews>
    <sheetView topLeftCell="A28" zoomScale="85" zoomScaleNormal="85" workbookViewId="0">
      <selection activeCell="I39" sqref="I39"/>
    </sheetView>
  </sheetViews>
  <sheetFormatPr defaultColWidth="9.109375" defaultRowHeight="14.4" x14ac:dyDescent="0.3"/>
  <cols>
    <col min="1" max="1" width="5.33203125" style="99" customWidth="1"/>
    <col min="2" max="2" width="23" style="99" customWidth="1"/>
    <col min="3" max="3" width="50.33203125" style="99" customWidth="1"/>
    <col min="4" max="4" width="8" style="99" customWidth="1"/>
    <col min="5" max="5" width="9.88671875" style="99" bestFit="1" customWidth="1"/>
    <col min="6" max="6" width="10.88671875" style="99" bestFit="1" customWidth="1"/>
    <col min="7" max="7" width="10.88671875" style="99" customWidth="1"/>
    <col min="8" max="8" width="12.5546875" style="99" bestFit="1" customWidth="1"/>
    <col min="9" max="9" width="9.109375" style="99"/>
    <col min="10" max="10" width="10.44140625" style="99" customWidth="1"/>
    <col min="11" max="16384" width="9.109375" style="99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438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28</v>
      </c>
      <c r="E25" s="6">
        <f>Individual!C8*10</f>
        <v>90450</v>
      </c>
      <c r="F25" s="6">
        <f t="shared" ref="F25:F32" si="0">(E25*1.05)*1.12</f>
        <v>106369.20000000001</v>
      </c>
      <c r="G25" s="6">
        <f t="shared" ref="G25:G32" si="1">(E25*1.08)*1.12</f>
        <v>109408.32000000001</v>
      </c>
      <c r="H25" s="6">
        <f>(E25*1.15)*1.12</f>
        <v>116499.59999999999</v>
      </c>
    </row>
    <row r="26" spans="1:8" x14ac:dyDescent="0.3">
      <c r="A26" s="6">
        <v>2</v>
      </c>
      <c r="B26" s="7" t="s">
        <v>19</v>
      </c>
      <c r="C26" s="7" t="s">
        <v>436</v>
      </c>
      <c r="D26" s="6" t="s">
        <v>5</v>
      </c>
      <c r="E26" s="6">
        <v>17000</v>
      </c>
      <c r="F26" s="6">
        <f t="shared" si="0"/>
        <v>19992.000000000004</v>
      </c>
      <c r="G26" s="6">
        <f t="shared" si="1"/>
        <v>20563.2</v>
      </c>
      <c r="H26" s="6">
        <f t="shared" ref="H26:H32" si="2">(E26*1.15)*1.12</f>
        <v>21896.000000000004</v>
      </c>
    </row>
    <row r="27" spans="1:8" ht="28.8" x14ac:dyDescent="0.3">
      <c r="A27" s="6">
        <v>3</v>
      </c>
      <c r="B27" s="7" t="s">
        <v>6</v>
      </c>
      <c r="C27" s="7" t="s">
        <v>300</v>
      </c>
      <c r="D27" s="6" t="s">
        <v>5</v>
      </c>
      <c r="E27" s="6">
        <f>Individual!K7</f>
        <v>23400</v>
      </c>
      <c r="F27" s="6">
        <f t="shared" si="0"/>
        <v>27518.400000000001</v>
      </c>
      <c r="G27" s="6">
        <f t="shared" si="1"/>
        <v>28304.640000000003</v>
      </c>
      <c r="H27" s="6">
        <f t="shared" si="2"/>
        <v>30139.199999999997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22</v>
      </c>
      <c r="E28" s="6">
        <f>Individual!C59*30</f>
        <v>1050</v>
      </c>
      <c r="F28" s="6">
        <f t="shared" si="0"/>
        <v>1234.8000000000002</v>
      </c>
      <c r="G28" s="6">
        <f t="shared" si="1"/>
        <v>1270.0800000000002</v>
      </c>
      <c r="H28" s="6">
        <f t="shared" si="2"/>
        <v>1352.4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3812.48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4508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Individual!C140</f>
        <v>9000</v>
      </c>
      <c r="F31" s="6">
        <f t="shared" si="0"/>
        <v>10584.000000000002</v>
      </c>
      <c r="G31" s="6">
        <f t="shared" si="1"/>
        <v>10886.400000000001</v>
      </c>
      <c r="H31" s="6">
        <f t="shared" si="2"/>
        <v>11592.000000000002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Individual!C145</f>
        <v>4000</v>
      </c>
      <c r="F32" s="6">
        <f t="shared" si="0"/>
        <v>4704</v>
      </c>
      <c r="G32" s="6">
        <f t="shared" si="1"/>
        <v>4838.4000000000005</v>
      </c>
      <c r="H32" s="6">
        <f t="shared" si="2"/>
        <v>5152.0000000000009</v>
      </c>
    </row>
    <row r="33" spans="1:9" ht="18" x14ac:dyDescent="0.3">
      <c r="A33" s="6"/>
      <c r="B33" s="6"/>
      <c r="C33" s="6" t="s">
        <v>14</v>
      </c>
      <c r="D33" s="6"/>
      <c r="E33" s="88">
        <f>SUM(E25:E32)</f>
        <v>151360</v>
      </c>
      <c r="F33" s="88">
        <f>SUM(F25:F32)</f>
        <v>177999.35999999999</v>
      </c>
      <c r="G33" s="88">
        <f>SUM(G25:G32)</f>
        <v>183085.05599999998</v>
      </c>
      <c r="H33" s="88">
        <f>SUM(H25:H32)</f>
        <v>194951.67999999999</v>
      </c>
    </row>
    <row r="35" spans="1:9" ht="28.8" x14ac:dyDescent="0.3">
      <c r="A35" s="6">
        <v>9</v>
      </c>
      <c r="B35" s="7" t="s">
        <v>20</v>
      </c>
      <c r="C35" s="7" t="s">
        <v>439</v>
      </c>
      <c r="D35" s="6" t="s">
        <v>5</v>
      </c>
      <c r="E35" s="6">
        <f>Individual!K50</f>
        <v>19000</v>
      </c>
      <c r="F35" s="6">
        <f>(E35*1.05)*1.12</f>
        <v>22344.000000000004</v>
      </c>
      <c r="G35" s="6">
        <f>(E35*1.08)*1.12</f>
        <v>22982.400000000001</v>
      </c>
      <c r="H35" s="6">
        <f>(E35*1.15)*1.12</f>
        <v>24472.000000000004</v>
      </c>
    </row>
    <row r="36" spans="1:9" ht="18" x14ac:dyDescent="0.3">
      <c r="A36" s="10"/>
      <c r="B36" s="11"/>
      <c r="C36" s="6" t="s">
        <v>14</v>
      </c>
      <c r="D36" s="6"/>
      <c r="E36" s="88">
        <f>SUM(E33:E35)</f>
        <v>170360</v>
      </c>
      <c r="F36" s="88">
        <f t="shared" ref="F36" si="3">SUM(F33:F35)</f>
        <v>200343.36</v>
      </c>
      <c r="G36" s="88">
        <f>SUM(G33:G35)</f>
        <v>206067.45599999998</v>
      </c>
      <c r="H36" s="88">
        <f>SUM(H33:H35)</f>
        <v>219423.68</v>
      </c>
    </row>
    <row r="37" spans="1:9" x14ac:dyDescent="0.3">
      <c r="B37" s="99" t="s">
        <v>23</v>
      </c>
    </row>
    <row r="38" spans="1:9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(E38*1.15)*1.12</f>
        <v>8983.7999999999993</v>
      </c>
    </row>
    <row r="39" spans="1:9" ht="18" x14ac:dyDescent="0.3">
      <c r="C39" s="6" t="s">
        <v>14</v>
      </c>
      <c r="D39" s="6"/>
      <c r="E39" s="88">
        <f>SUM(E36:E38)</f>
        <v>177335</v>
      </c>
      <c r="F39" s="88">
        <f>SUM(F36:F38)</f>
        <v>208545.96</v>
      </c>
      <c r="G39" s="88">
        <f>SUM(G36:G38)</f>
        <v>214504.41599999997</v>
      </c>
      <c r="H39" s="88">
        <f>SUM(H36:H38)</f>
        <v>228407.47999999998</v>
      </c>
      <c r="I39" s="99">
        <f>E39-E35</f>
        <v>158335</v>
      </c>
    </row>
    <row r="40" spans="1:9" x14ac:dyDescent="0.3">
      <c r="B40" s="99" t="s">
        <v>23</v>
      </c>
    </row>
    <row r="41" spans="1:9" x14ac:dyDescent="0.3">
      <c r="A41" s="6">
        <v>11</v>
      </c>
      <c r="B41" s="6" t="s">
        <v>285</v>
      </c>
      <c r="C41" s="7" t="s">
        <v>7</v>
      </c>
      <c r="D41" s="6" t="s">
        <v>22</v>
      </c>
      <c r="E41" s="6">
        <f>Individual!C100*30</f>
        <v>6125.0000000000009</v>
      </c>
      <c r="F41" s="6">
        <f t="shared" ref="F41:F44" si="4">(E41*1.05)*1.12</f>
        <v>7203.0000000000018</v>
      </c>
      <c r="G41" s="6">
        <f t="shared" ref="G41:G44" si="5">(E41*1.08)*1.12</f>
        <v>7408.8000000000029</v>
      </c>
      <c r="H41" s="6">
        <f t="shared" ref="H41:H44" si="6">(E41*1.15)*1.12</f>
        <v>7889.0000000000018</v>
      </c>
    </row>
    <row r="42" spans="1:9" x14ac:dyDescent="0.3">
      <c r="A42" s="6">
        <v>12</v>
      </c>
      <c r="B42" s="6" t="s">
        <v>25</v>
      </c>
      <c r="C42" s="7" t="s">
        <v>7</v>
      </c>
      <c r="D42" s="6" t="s">
        <v>30</v>
      </c>
      <c r="E42" s="6">
        <f>Individual!C69*40</f>
        <v>2711.8644067796613</v>
      </c>
      <c r="F42" s="6">
        <f t="shared" si="4"/>
        <v>3189.1525423728817</v>
      </c>
      <c r="G42" s="6">
        <f t="shared" si="5"/>
        <v>3280.2711864406788</v>
      </c>
      <c r="H42" s="6">
        <f t="shared" si="6"/>
        <v>3492.8813559322039</v>
      </c>
    </row>
    <row r="43" spans="1:9" x14ac:dyDescent="0.3">
      <c r="A43" s="6">
        <v>13</v>
      </c>
      <c r="B43" s="7" t="s">
        <v>26</v>
      </c>
      <c r="C43" s="7" t="s">
        <v>7</v>
      </c>
      <c r="D43" s="6" t="s">
        <v>30</v>
      </c>
      <c r="E43" s="6">
        <f>Individual!C74*40</f>
        <v>880</v>
      </c>
      <c r="F43" s="6">
        <f t="shared" si="4"/>
        <v>1034.8800000000001</v>
      </c>
      <c r="G43" s="6">
        <f t="shared" si="5"/>
        <v>1064.4480000000001</v>
      </c>
      <c r="H43" s="6">
        <f t="shared" si="6"/>
        <v>1133.44</v>
      </c>
    </row>
    <row r="44" spans="1:9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Individual!C81</f>
        <v>3510</v>
      </c>
      <c r="F44" s="6">
        <f t="shared" si="4"/>
        <v>4127.76</v>
      </c>
      <c r="G44" s="6">
        <f t="shared" si="5"/>
        <v>4245.6960000000008</v>
      </c>
      <c r="H44" s="6">
        <f t="shared" si="6"/>
        <v>4520.88</v>
      </c>
    </row>
    <row r="45" spans="1:9" ht="18" x14ac:dyDescent="0.3">
      <c r="C45" s="6" t="s">
        <v>14</v>
      </c>
      <c r="D45" s="6"/>
      <c r="E45" s="88">
        <f>SUM(E39:E44)</f>
        <v>190561.86440677967</v>
      </c>
      <c r="F45" s="88">
        <f>SUM(F39:F44)</f>
        <v>224100.75254237288</v>
      </c>
      <c r="G45" s="88">
        <f>SUM(G39:G44)</f>
        <v>230503.63118644065</v>
      </c>
      <c r="H45" s="88">
        <f>SUM(H39:H44)</f>
        <v>245443.6813559322</v>
      </c>
      <c r="I45" s="141">
        <f>E45*1.12-H45</f>
        <v>-32014.393220338941</v>
      </c>
    </row>
    <row r="46" spans="1:9" ht="18" x14ac:dyDescent="0.3">
      <c r="C46" s="10"/>
      <c r="D46" s="10"/>
      <c r="E46" s="31"/>
      <c r="F46" s="31"/>
      <c r="G46" s="31"/>
      <c r="H46" s="31"/>
    </row>
    <row r="47" spans="1:9" ht="18" x14ac:dyDescent="0.3">
      <c r="A47" s="6">
        <v>15</v>
      </c>
      <c r="B47" s="6" t="s">
        <v>70</v>
      </c>
      <c r="C47" s="7" t="s">
        <v>7</v>
      </c>
      <c r="D47" s="6" t="s">
        <v>423</v>
      </c>
      <c r="E47" s="88">
        <f>Individual!C135*10</f>
        <v>14740.740740740739</v>
      </c>
      <c r="F47" s="6">
        <f t="shared" ref="F47" si="7">(E47*1.05)*1.12</f>
        <v>17335.111111111113</v>
      </c>
      <c r="G47" s="6">
        <f t="shared" ref="G47" si="8">(E47*1.08)*1.12</f>
        <v>17830.400000000001</v>
      </c>
      <c r="H47" s="6">
        <f>(E47*1.15)*1.12</f>
        <v>18986.074074074073</v>
      </c>
    </row>
    <row r="48" spans="1:9" ht="18" x14ac:dyDescent="0.3">
      <c r="C48" s="10"/>
      <c r="D48" s="10"/>
      <c r="E48" s="31">
        <f>E39+E42+E43+E44+E47</f>
        <v>199177.6051475204</v>
      </c>
      <c r="F48" s="31">
        <f>F39+F42+F43+F44+F47</f>
        <v>234232.863653484</v>
      </c>
      <c r="G48" s="31">
        <f t="shared" ref="G48:H48" si="9">G39+G42+G43+G44+G47</f>
        <v>240925.23118644065</v>
      </c>
      <c r="H48" s="31">
        <f t="shared" si="9"/>
        <v>256540.75543000628</v>
      </c>
    </row>
    <row r="49" spans="1:13" ht="18" x14ac:dyDescent="0.3">
      <c r="C49" s="10"/>
      <c r="D49" s="10"/>
      <c r="E49" s="31"/>
      <c r="F49" s="31"/>
      <c r="G49" s="31"/>
      <c r="H49" s="31"/>
    </row>
    <row r="50" spans="1:13" ht="18" x14ac:dyDescent="0.3">
      <c r="C50" s="10"/>
      <c r="D50" s="10"/>
      <c r="E50" s="31"/>
      <c r="F50" s="31"/>
      <c r="G50" s="31"/>
      <c r="H50" s="31"/>
    </row>
    <row r="51" spans="1:13" ht="18" x14ac:dyDescent="0.3">
      <c r="C51" s="10"/>
      <c r="D51" s="10"/>
      <c r="E51" s="31"/>
      <c r="F51" s="31"/>
      <c r="G51" s="31"/>
      <c r="H51" s="31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6:M61"/>
  <sheetViews>
    <sheetView topLeftCell="A28" zoomScale="85" zoomScaleNormal="85" workbookViewId="0">
      <selection activeCell="I39" sqref="I39"/>
    </sheetView>
  </sheetViews>
  <sheetFormatPr defaultColWidth="9.109375" defaultRowHeight="14.4" x14ac:dyDescent="0.3"/>
  <cols>
    <col min="1" max="1" width="5.33203125" style="99" customWidth="1"/>
    <col min="2" max="2" width="23" style="99" customWidth="1"/>
    <col min="3" max="3" width="50.33203125" style="99" customWidth="1"/>
    <col min="4" max="4" width="8" style="99" customWidth="1"/>
    <col min="5" max="5" width="9.88671875" style="99" bestFit="1" customWidth="1"/>
    <col min="6" max="6" width="10.88671875" style="99" bestFit="1" customWidth="1"/>
    <col min="7" max="7" width="10.88671875" style="99" customWidth="1"/>
    <col min="8" max="8" width="12.5546875" style="99" bestFit="1" customWidth="1"/>
    <col min="9" max="9" width="9.109375" style="99"/>
    <col min="10" max="10" width="10.44140625" style="99" customWidth="1"/>
    <col min="11" max="16384" width="9.109375" style="99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441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28</v>
      </c>
      <c r="E25" s="6">
        <f>Individual!C8*10</f>
        <v>90450</v>
      </c>
      <c r="F25" s="6">
        <f t="shared" ref="F25:F32" si="0">(E25*1.05)*1.12</f>
        <v>106369.20000000001</v>
      </c>
      <c r="G25" s="6">
        <f t="shared" ref="G25:G32" si="1">(E25*1.08)*1.12</f>
        <v>109408.32000000001</v>
      </c>
      <c r="H25" s="6">
        <f>(E25*1.15)*1.12</f>
        <v>116499.59999999999</v>
      </c>
    </row>
    <row r="26" spans="1:8" x14ac:dyDescent="0.3">
      <c r="A26" s="6">
        <v>2</v>
      </c>
      <c r="B26" s="7" t="s">
        <v>19</v>
      </c>
      <c r="C26" s="7" t="s">
        <v>440</v>
      </c>
      <c r="D26" s="6" t="s">
        <v>5</v>
      </c>
      <c r="E26" s="6">
        <f>Individual!C14</f>
        <v>17000</v>
      </c>
      <c r="F26" s="6">
        <f t="shared" si="0"/>
        <v>19992.000000000004</v>
      </c>
      <c r="G26" s="6">
        <f t="shared" si="1"/>
        <v>20563.2</v>
      </c>
      <c r="H26" s="6">
        <f t="shared" ref="H26:H32" si="2">(E26*1.15)*1.12</f>
        <v>21896.000000000004</v>
      </c>
    </row>
    <row r="27" spans="1:8" ht="28.8" x14ac:dyDescent="0.3">
      <c r="A27" s="6">
        <v>3</v>
      </c>
      <c r="B27" s="7" t="s">
        <v>6</v>
      </c>
      <c r="C27" s="7" t="s">
        <v>300</v>
      </c>
      <c r="D27" s="6" t="s">
        <v>5</v>
      </c>
      <c r="E27" s="6">
        <f>Individual!K7</f>
        <v>23400</v>
      </c>
      <c r="F27" s="6">
        <f t="shared" si="0"/>
        <v>27518.400000000001</v>
      </c>
      <c r="G27" s="6">
        <f t="shared" si="1"/>
        <v>28304.640000000003</v>
      </c>
      <c r="H27" s="6">
        <f t="shared" si="2"/>
        <v>30139.199999999997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22</v>
      </c>
      <c r="E28" s="6">
        <f>Individual!C59*30</f>
        <v>1050</v>
      </c>
      <c r="F28" s="6">
        <f t="shared" si="0"/>
        <v>1234.8000000000002</v>
      </c>
      <c r="G28" s="6">
        <f t="shared" si="1"/>
        <v>1270.0800000000002</v>
      </c>
      <c r="H28" s="6">
        <f t="shared" si="2"/>
        <v>1352.4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3812.48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4508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Individual!C140</f>
        <v>9000</v>
      </c>
      <c r="F31" s="6">
        <f t="shared" si="0"/>
        <v>10584.000000000002</v>
      </c>
      <c r="G31" s="6">
        <f t="shared" si="1"/>
        <v>10886.400000000001</v>
      </c>
      <c r="H31" s="6">
        <f t="shared" si="2"/>
        <v>11592.000000000002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Individual!C145</f>
        <v>4000</v>
      </c>
      <c r="F32" s="6">
        <f t="shared" si="0"/>
        <v>4704</v>
      </c>
      <c r="G32" s="6">
        <f t="shared" si="1"/>
        <v>4838.4000000000005</v>
      </c>
      <c r="H32" s="6">
        <f t="shared" si="2"/>
        <v>5152.0000000000009</v>
      </c>
    </row>
    <row r="33" spans="1:9" ht="18" x14ac:dyDescent="0.3">
      <c r="A33" s="6"/>
      <c r="B33" s="6"/>
      <c r="C33" s="6" t="s">
        <v>14</v>
      </c>
      <c r="D33" s="6"/>
      <c r="E33" s="88">
        <f>SUM(E25:E32)</f>
        <v>151360</v>
      </c>
      <c r="F33" s="88">
        <f>SUM(F25:F32)</f>
        <v>177999.35999999999</v>
      </c>
      <c r="G33" s="88">
        <f>SUM(G25:G32)</f>
        <v>183085.05599999998</v>
      </c>
      <c r="H33" s="88">
        <f>SUM(H25:H32)</f>
        <v>194951.67999999999</v>
      </c>
    </row>
    <row r="35" spans="1:9" ht="28.8" x14ac:dyDescent="0.3">
      <c r="A35" s="6">
        <v>9</v>
      </c>
      <c r="B35" s="7" t="s">
        <v>20</v>
      </c>
      <c r="C35" s="7" t="s">
        <v>442</v>
      </c>
      <c r="D35" s="6" t="s">
        <v>5</v>
      </c>
      <c r="E35" s="6">
        <f>Individual!K52</f>
        <v>23000</v>
      </c>
      <c r="F35" s="6">
        <f>(E35*1.05)*1.12</f>
        <v>27048.000000000004</v>
      </c>
      <c r="G35" s="6">
        <f>(E35*1.08)*1.12</f>
        <v>27820.800000000003</v>
      </c>
      <c r="H35" s="6">
        <f>(E35*1.15)*1.12</f>
        <v>29624</v>
      </c>
    </row>
    <row r="36" spans="1:9" ht="18" x14ac:dyDescent="0.3">
      <c r="A36" s="10"/>
      <c r="B36" s="11"/>
      <c r="C36" s="6" t="s">
        <v>14</v>
      </c>
      <c r="D36" s="6"/>
      <c r="E36" s="88">
        <f>SUM(E33:E35)</f>
        <v>174360</v>
      </c>
      <c r="F36" s="88">
        <f t="shared" ref="F36" si="3">SUM(F33:F35)</f>
        <v>205047.36</v>
      </c>
      <c r="G36" s="88">
        <f>SUM(G33:G35)</f>
        <v>210905.85599999997</v>
      </c>
      <c r="H36" s="88">
        <f>SUM(H33:H35)</f>
        <v>224575.68</v>
      </c>
    </row>
    <row r="37" spans="1:9" x14ac:dyDescent="0.3">
      <c r="B37" s="99" t="s">
        <v>23</v>
      </c>
    </row>
    <row r="38" spans="1:9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(E38*1.15)*1.12</f>
        <v>8983.7999999999993</v>
      </c>
    </row>
    <row r="39" spans="1:9" ht="18" x14ac:dyDescent="0.3">
      <c r="C39" s="6" t="s">
        <v>14</v>
      </c>
      <c r="D39" s="6"/>
      <c r="E39" s="88">
        <f>SUM(E36:E38)</f>
        <v>181335</v>
      </c>
      <c r="F39" s="88">
        <f>SUM(F36:F38)</f>
        <v>213249.96</v>
      </c>
      <c r="G39" s="88">
        <f>SUM(G36:G38)</f>
        <v>219342.81599999996</v>
      </c>
      <c r="H39" s="88">
        <f>SUM(H36:H38)</f>
        <v>233559.47999999998</v>
      </c>
      <c r="I39" s="99">
        <f>E39-E35</f>
        <v>158335</v>
      </c>
    </row>
    <row r="40" spans="1:9" x14ac:dyDescent="0.3">
      <c r="B40" s="99" t="s">
        <v>23</v>
      </c>
    </row>
    <row r="41" spans="1:9" x14ac:dyDescent="0.3">
      <c r="A41" s="6">
        <v>11</v>
      </c>
      <c r="B41" s="6" t="s">
        <v>287</v>
      </c>
      <c r="C41" s="7" t="s">
        <v>7</v>
      </c>
      <c r="D41" s="6" t="s">
        <v>443</v>
      </c>
      <c r="E41" s="6">
        <f>Individual!C98*70</f>
        <v>15341.666666666668</v>
      </c>
      <c r="F41" s="6">
        <f t="shared" ref="F41:F44" si="4">(E41*1.05)*1.12</f>
        <v>18041.800000000003</v>
      </c>
      <c r="G41" s="6">
        <f t="shared" ref="G41:G44" si="5">(E41*1.08)*1.12</f>
        <v>18557.280000000006</v>
      </c>
      <c r="H41" s="6">
        <f t="shared" ref="H41:H44" si="6">(E41*1.15)*1.12</f>
        <v>19760.066666666669</v>
      </c>
    </row>
    <row r="42" spans="1:9" x14ac:dyDescent="0.3">
      <c r="A42" s="6">
        <v>12</v>
      </c>
      <c r="B42" s="6" t="s">
        <v>25</v>
      </c>
      <c r="C42" s="7" t="s">
        <v>7</v>
      </c>
      <c r="D42" s="6" t="s">
        <v>444</v>
      </c>
      <c r="E42" s="6">
        <f>Individual!C69*80</f>
        <v>5423.7288135593226</v>
      </c>
      <c r="F42" s="6">
        <f t="shared" si="4"/>
        <v>6378.3050847457635</v>
      </c>
      <c r="G42" s="6">
        <f t="shared" si="5"/>
        <v>6560.5423728813576</v>
      </c>
      <c r="H42" s="6">
        <f t="shared" si="6"/>
        <v>6985.7627118644077</v>
      </c>
    </row>
    <row r="43" spans="1:9" x14ac:dyDescent="0.3">
      <c r="A43" s="6">
        <v>13</v>
      </c>
      <c r="B43" s="7" t="s">
        <v>26</v>
      </c>
      <c r="C43" s="7" t="s">
        <v>7</v>
      </c>
      <c r="D43" s="6" t="s">
        <v>444</v>
      </c>
      <c r="E43" s="6">
        <f>Individual!C74*80</f>
        <v>1760</v>
      </c>
      <c r="F43" s="6">
        <f t="shared" si="4"/>
        <v>2069.7600000000002</v>
      </c>
      <c r="G43" s="6">
        <f t="shared" si="5"/>
        <v>2128.8960000000002</v>
      </c>
      <c r="H43" s="6">
        <f t="shared" si="6"/>
        <v>2266.88</v>
      </c>
    </row>
    <row r="44" spans="1:9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Individual!C80</f>
        <v>3205</v>
      </c>
      <c r="F44" s="6">
        <f t="shared" si="4"/>
        <v>3769.0800000000004</v>
      </c>
      <c r="G44" s="6">
        <f t="shared" si="5"/>
        <v>3876.7680000000005</v>
      </c>
      <c r="H44" s="6">
        <f t="shared" si="6"/>
        <v>4128.04</v>
      </c>
    </row>
    <row r="45" spans="1:9" ht="18" x14ac:dyDescent="0.3">
      <c r="C45" s="6" t="s">
        <v>14</v>
      </c>
      <c r="D45" s="6"/>
      <c r="E45" s="88">
        <f>SUM(E39:E44)</f>
        <v>207065.39548022597</v>
      </c>
      <c r="F45" s="88">
        <f>SUM(F39:F44)</f>
        <v>243508.90508474575</v>
      </c>
      <c r="G45" s="88">
        <f>SUM(G39:G44)</f>
        <v>250466.30237288133</v>
      </c>
      <c r="H45" s="88">
        <f>SUM(H39:H44)</f>
        <v>266700.22937853105</v>
      </c>
    </row>
    <row r="46" spans="1:9" ht="18" x14ac:dyDescent="0.3">
      <c r="C46" s="10"/>
      <c r="D46" s="10"/>
      <c r="E46" s="31"/>
      <c r="F46" s="31"/>
      <c r="G46" s="31"/>
      <c r="H46" s="31"/>
    </row>
    <row r="47" spans="1:9" ht="18" x14ac:dyDescent="0.3">
      <c r="A47" s="6">
        <v>15</v>
      </c>
      <c r="B47" s="6" t="s">
        <v>70</v>
      </c>
      <c r="C47" s="7" t="s">
        <v>7</v>
      </c>
      <c r="D47" s="6" t="s">
        <v>445</v>
      </c>
      <c r="E47" s="88">
        <f>Individual!C130*23</f>
        <v>24652.592592592591</v>
      </c>
      <c r="F47" s="6">
        <f t="shared" ref="F47" si="7">(E47*1.05)*1.12</f>
        <v>28991.448888888892</v>
      </c>
      <c r="G47" s="6">
        <f t="shared" ref="G47" si="8">(E47*1.08)*1.12</f>
        <v>29819.776000000002</v>
      </c>
      <c r="H47" s="6">
        <f>(E47*1.15)*1.12</f>
        <v>31752.539259259258</v>
      </c>
    </row>
    <row r="48" spans="1:9" ht="18" x14ac:dyDescent="0.3">
      <c r="C48" s="10"/>
      <c r="D48" s="10"/>
      <c r="E48" s="31">
        <f>E39+E42+E43+E44+E47</f>
        <v>216376.3214061519</v>
      </c>
      <c r="F48" s="31">
        <f>F39+F42+F43+F44+F47</f>
        <v>254458.55397363467</v>
      </c>
      <c r="G48" s="31">
        <f t="shared" ref="G48:H48" si="9">G39+G42+G43+G44+G47</f>
        <v>261728.79837288134</v>
      </c>
      <c r="H48" s="31">
        <f t="shared" si="9"/>
        <v>278692.70197112364</v>
      </c>
    </row>
    <row r="49" spans="1:13" ht="18" x14ac:dyDescent="0.3">
      <c r="C49" s="10"/>
      <c r="D49" s="10"/>
      <c r="E49" s="31"/>
      <c r="F49" s="31"/>
      <c r="G49" s="31"/>
      <c r="H49" s="31"/>
    </row>
    <row r="50" spans="1:13" ht="18" x14ac:dyDescent="0.3">
      <c r="C50" s="10"/>
      <c r="D50" s="10"/>
      <c r="E50" s="31"/>
      <c r="F50" s="31"/>
      <c r="G50" s="31"/>
      <c r="H50" s="31"/>
    </row>
    <row r="51" spans="1:13" ht="18" x14ac:dyDescent="0.3">
      <c r="C51" s="10"/>
      <c r="D51" s="10"/>
      <c r="E51" s="31"/>
      <c r="F51" s="31"/>
      <c r="G51" s="31"/>
      <c r="H51" s="31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6:M61"/>
  <sheetViews>
    <sheetView topLeftCell="A19" zoomScale="85" zoomScaleNormal="85" workbookViewId="0">
      <selection activeCell="E25" sqref="E25"/>
    </sheetView>
  </sheetViews>
  <sheetFormatPr defaultColWidth="9.109375" defaultRowHeight="14.4" x14ac:dyDescent="0.3"/>
  <cols>
    <col min="1" max="1" width="5.33203125" style="99" customWidth="1"/>
    <col min="2" max="2" width="23" style="99" customWidth="1"/>
    <col min="3" max="3" width="50.33203125" style="99" customWidth="1"/>
    <col min="4" max="4" width="8" style="99" customWidth="1"/>
    <col min="5" max="5" width="9.88671875" style="99" bestFit="1" customWidth="1"/>
    <col min="6" max="6" width="10.88671875" style="99" bestFit="1" customWidth="1"/>
    <col min="7" max="7" width="10.88671875" style="99" customWidth="1"/>
    <col min="8" max="8" width="12.5546875" style="99" bestFit="1" customWidth="1"/>
    <col min="9" max="9" width="9.109375" style="99"/>
    <col min="10" max="10" width="10.44140625" style="99" customWidth="1"/>
    <col min="11" max="16384" width="9.109375" style="99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446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28</v>
      </c>
      <c r="E25" s="6">
        <f>Individual!C8*10</f>
        <v>90450</v>
      </c>
      <c r="F25" s="6">
        <f t="shared" ref="F25:F32" si="0">(E25*1.05)*1.12</f>
        <v>106369.20000000001</v>
      </c>
      <c r="G25" s="6">
        <f t="shared" ref="G25:G32" si="1">(E25*1.08)*1.12</f>
        <v>109408.32000000001</v>
      </c>
      <c r="H25" s="6">
        <f>(E25*1.15)*1.12</f>
        <v>116499.59999999999</v>
      </c>
    </row>
    <row r="26" spans="1:8" x14ac:dyDescent="0.3">
      <c r="A26" s="6">
        <v>2</v>
      </c>
      <c r="B26" s="7" t="s">
        <v>19</v>
      </c>
      <c r="C26" s="7" t="s">
        <v>436</v>
      </c>
      <c r="D26" s="6" t="s">
        <v>5</v>
      </c>
      <c r="E26" s="6">
        <f>Individual!C14</f>
        <v>17000</v>
      </c>
      <c r="F26" s="6">
        <f t="shared" si="0"/>
        <v>19992.000000000004</v>
      </c>
      <c r="G26" s="6">
        <f t="shared" si="1"/>
        <v>20563.2</v>
      </c>
      <c r="H26" s="6">
        <f t="shared" ref="H26:H32" si="2">(E26*1.15)*1.12</f>
        <v>21896.000000000004</v>
      </c>
    </row>
    <row r="27" spans="1:8" ht="28.8" x14ac:dyDescent="0.3">
      <c r="A27" s="6">
        <v>3</v>
      </c>
      <c r="B27" s="7" t="s">
        <v>6</v>
      </c>
      <c r="C27" s="7" t="s">
        <v>300</v>
      </c>
      <c r="D27" s="6" t="s">
        <v>5</v>
      </c>
      <c r="E27" s="6">
        <f>Individual!K7</f>
        <v>23400</v>
      </c>
      <c r="F27" s="6">
        <f t="shared" si="0"/>
        <v>27518.400000000001</v>
      </c>
      <c r="G27" s="6">
        <f t="shared" si="1"/>
        <v>28304.640000000003</v>
      </c>
      <c r="H27" s="6">
        <f t="shared" si="2"/>
        <v>30139.199999999997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22</v>
      </c>
      <c r="E28" s="6">
        <f>Individual!C59*30</f>
        <v>1050</v>
      </c>
      <c r="F28" s="6">
        <f t="shared" si="0"/>
        <v>1234.8000000000002</v>
      </c>
      <c r="G28" s="6">
        <f t="shared" si="1"/>
        <v>1270.0800000000002</v>
      </c>
      <c r="H28" s="6">
        <f t="shared" si="2"/>
        <v>1352.4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3812.48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4508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Individual!C140</f>
        <v>9000</v>
      </c>
      <c r="F31" s="6">
        <f t="shared" si="0"/>
        <v>10584.000000000002</v>
      </c>
      <c r="G31" s="6">
        <f t="shared" si="1"/>
        <v>10886.400000000001</v>
      </c>
      <c r="H31" s="6">
        <f t="shared" si="2"/>
        <v>11592.000000000002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Individual!C145</f>
        <v>4000</v>
      </c>
      <c r="F32" s="6">
        <f t="shared" si="0"/>
        <v>4704</v>
      </c>
      <c r="G32" s="6">
        <f t="shared" si="1"/>
        <v>4838.4000000000005</v>
      </c>
      <c r="H32" s="6">
        <f t="shared" si="2"/>
        <v>5152.0000000000009</v>
      </c>
    </row>
    <row r="33" spans="1:9" ht="18" x14ac:dyDescent="0.3">
      <c r="A33" s="6"/>
      <c r="B33" s="6"/>
      <c r="C33" s="6" t="s">
        <v>14</v>
      </c>
      <c r="D33" s="6"/>
      <c r="E33" s="88">
        <f>SUM(E25:E32)</f>
        <v>151360</v>
      </c>
      <c r="F33" s="88">
        <f>SUM(F25:F32)</f>
        <v>177999.35999999999</v>
      </c>
      <c r="G33" s="88">
        <f>SUM(G25:G32)</f>
        <v>183085.05599999998</v>
      </c>
      <c r="H33" s="88">
        <f>SUM(H25:H32)</f>
        <v>194951.67999999999</v>
      </c>
    </row>
    <row r="35" spans="1:9" ht="28.8" x14ac:dyDescent="0.3">
      <c r="A35" s="6">
        <v>9</v>
      </c>
      <c r="B35" s="7" t="s">
        <v>20</v>
      </c>
      <c r="C35" s="7" t="s">
        <v>497</v>
      </c>
      <c r="D35" s="6" t="s">
        <v>5</v>
      </c>
      <c r="E35" s="6">
        <f>Individual!K57</f>
        <v>29000</v>
      </c>
      <c r="F35" s="6">
        <f>(E35*1.05)*1.12</f>
        <v>34104</v>
      </c>
      <c r="G35" s="6">
        <f>(E35*1.08)*1.12</f>
        <v>35078.400000000009</v>
      </c>
      <c r="H35" s="6">
        <f>(E35*1.15)*1.12</f>
        <v>37352</v>
      </c>
    </row>
    <row r="36" spans="1:9" ht="18" x14ac:dyDescent="0.3">
      <c r="A36" s="10"/>
      <c r="B36" s="11"/>
      <c r="C36" s="6" t="s">
        <v>14</v>
      </c>
      <c r="D36" s="6"/>
      <c r="E36" s="88">
        <f>SUM(E33:E35)</f>
        <v>180360</v>
      </c>
      <c r="F36" s="88">
        <f t="shared" ref="F36" si="3">SUM(F33:F35)</f>
        <v>212103.36</v>
      </c>
      <c r="G36" s="88">
        <f>SUM(G33:G35)</f>
        <v>218163.45600000001</v>
      </c>
      <c r="H36" s="88">
        <f>SUM(H33:H35)</f>
        <v>232303.68</v>
      </c>
    </row>
    <row r="37" spans="1:9" x14ac:dyDescent="0.3">
      <c r="B37" s="99" t="s">
        <v>23</v>
      </c>
    </row>
    <row r="38" spans="1:9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(E38*1.15)*1.12</f>
        <v>8983.7999999999993</v>
      </c>
    </row>
    <row r="39" spans="1:9" ht="18" x14ac:dyDescent="0.3">
      <c r="C39" s="6" t="s">
        <v>14</v>
      </c>
      <c r="D39" s="6"/>
      <c r="E39" s="88">
        <f>SUM(E36:E38)</f>
        <v>187335</v>
      </c>
      <c r="F39" s="88">
        <f>SUM(F36:F38)</f>
        <v>220305.96</v>
      </c>
      <c r="G39" s="88">
        <f>SUM(G36:G38)</f>
        <v>226600.416</v>
      </c>
      <c r="H39" s="88">
        <f>SUM(H36:H38)</f>
        <v>241287.47999999998</v>
      </c>
      <c r="I39" s="99">
        <f>E39-E35</f>
        <v>158335</v>
      </c>
    </row>
    <row r="40" spans="1:9" x14ac:dyDescent="0.3">
      <c r="B40" s="99" t="s">
        <v>23</v>
      </c>
    </row>
    <row r="41" spans="1:9" x14ac:dyDescent="0.3">
      <c r="A41" s="6">
        <v>11</v>
      </c>
      <c r="B41" s="6" t="s">
        <v>310</v>
      </c>
      <c r="C41" s="7" t="s">
        <v>7</v>
      </c>
      <c r="D41" s="6" t="s">
        <v>447</v>
      </c>
      <c r="E41" s="6">
        <f>Individual!C94*140</f>
        <v>20183.333333333336</v>
      </c>
      <c r="F41" s="6">
        <f t="shared" ref="F41:F44" si="4">(E41*1.05)*1.12</f>
        <v>23735.600000000006</v>
      </c>
      <c r="G41" s="6">
        <f t="shared" ref="G41:G44" si="5">(E41*1.08)*1.12</f>
        <v>24413.760000000006</v>
      </c>
      <c r="H41" s="6">
        <f t="shared" ref="H41:H44" si="6">(E41*1.15)*1.12</f>
        <v>25996.133333333339</v>
      </c>
    </row>
    <row r="42" spans="1:9" x14ac:dyDescent="0.3">
      <c r="A42" s="6">
        <v>12</v>
      </c>
      <c r="B42" s="6" t="s">
        <v>25</v>
      </c>
      <c r="C42" s="7" t="s">
        <v>7</v>
      </c>
      <c r="D42" s="6" t="s">
        <v>301</v>
      </c>
      <c r="E42" s="6">
        <f>Individual!C69*150</f>
        <v>10169.491525423729</v>
      </c>
      <c r="F42" s="6">
        <f t="shared" si="4"/>
        <v>11959.322033898306</v>
      </c>
      <c r="G42" s="6">
        <f t="shared" si="5"/>
        <v>12301.016949152545</v>
      </c>
      <c r="H42" s="6">
        <f t="shared" si="6"/>
        <v>13098.305084745765</v>
      </c>
    </row>
    <row r="43" spans="1:9" x14ac:dyDescent="0.3">
      <c r="A43" s="6">
        <v>13</v>
      </c>
      <c r="B43" s="7" t="s">
        <v>26</v>
      </c>
      <c r="C43" s="7" t="s">
        <v>7</v>
      </c>
      <c r="D43" s="6" t="s">
        <v>301</v>
      </c>
      <c r="E43" s="6">
        <f>Individual!C74*150</f>
        <v>3300</v>
      </c>
      <c r="F43" s="6">
        <f t="shared" si="4"/>
        <v>3880.8</v>
      </c>
      <c r="G43" s="6">
        <f t="shared" si="5"/>
        <v>3991.6800000000007</v>
      </c>
      <c r="H43" s="6">
        <f t="shared" si="6"/>
        <v>4250.3999999999996</v>
      </c>
    </row>
    <row r="44" spans="1:9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Individual!C6</f>
        <v>9660</v>
      </c>
      <c r="F44" s="6">
        <f t="shared" si="4"/>
        <v>11360.160000000002</v>
      </c>
      <c r="G44" s="6">
        <f t="shared" si="5"/>
        <v>11684.736000000003</v>
      </c>
      <c r="H44" s="6">
        <f t="shared" si="6"/>
        <v>12442.080000000002</v>
      </c>
    </row>
    <row r="45" spans="1:9" ht="18" x14ac:dyDescent="0.3">
      <c r="C45" s="6" t="s">
        <v>14</v>
      </c>
      <c r="D45" s="6"/>
      <c r="E45" s="88">
        <f>SUM(E39:E44)</f>
        <v>230647.82485875709</v>
      </c>
      <c r="F45" s="88">
        <f>SUM(F39:F44)</f>
        <v>271241.84203389828</v>
      </c>
      <c r="G45" s="88">
        <f>SUM(G39:G44)</f>
        <v>278991.60894915252</v>
      </c>
      <c r="H45" s="88">
        <f>SUM(H39:H44)</f>
        <v>297074.39841807913</v>
      </c>
    </row>
    <row r="46" spans="1:9" ht="18" x14ac:dyDescent="0.3">
      <c r="C46" s="10"/>
      <c r="D46" s="10"/>
      <c r="E46" s="31"/>
      <c r="F46" s="31"/>
      <c r="G46" s="31"/>
      <c r="H46" s="31"/>
    </row>
    <row r="47" spans="1:9" ht="18" x14ac:dyDescent="0.3">
      <c r="A47" s="6">
        <v>15</v>
      </c>
      <c r="B47" s="6" t="s">
        <v>70</v>
      </c>
      <c r="C47" s="7" t="s">
        <v>7</v>
      </c>
      <c r="D47" s="6" t="s">
        <v>448</v>
      </c>
      <c r="E47" s="88">
        <f>Individual!C125*46</f>
        <v>33120</v>
      </c>
      <c r="F47" s="6">
        <f t="shared" ref="F47" si="7">(E47*1.05)*1.12</f>
        <v>38949.120000000003</v>
      </c>
      <c r="G47" s="6">
        <f t="shared" ref="G47" si="8">(E47*1.08)*1.12</f>
        <v>40061.952000000012</v>
      </c>
      <c r="H47" s="6">
        <f>(E47*1.15)*1.12</f>
        <v>42658.560000000005</v>
      </c>
    </row>
    <row r="48" spans="1:9" ht="18" x14ac:dyDescent="0.3">
      <c r="C48" s="10"/>
      <c r="D48" s="10"/>
      <c r="E48" s="31">
        <f>E39+E42+E43+E44+E47</f>
        <v>243584.49152542374</v>
      </c>
      <c r="F48" s="31">
        <f>F39+F42+F43+F44+F47</f>
        <v>286455.3620338983</v>
      </c>
      <c r="G48" s="31">
        <f t="shared" ref="G48:H48" si="9">G39+G42+G43+G44+G47</f>
        <v>294639.80094915256</v>
      </c>
      <c r="H48" s="31">
        <f t="shared" si="9"/>
        <v>313736.82508474577</v>
      </c>
    </row>
    <row r="49" spans="1:13" ht="18" x14ac:dyDescent="0.3">
      <c r="C49" s="10"/>
      <c r="D49" s="10"/>
      <c r="E49" s="31"/>
      <c r="F49" s="31"/>
      <c r="G49" s="31"/>
      <c r="H49" s="31"/>
    </row>
    <row r="50" spans="1:13" ht="18" x14ac:dyDescent="0.3">
      <c r="C50" s="10"/>
      <c r="D50" s="10"/>
      <c r="E50" s="31"/>
      <c r="F50" s="31"/>
      <c r="G50" s="31"/>
      <c r="H50" s="31"/>
    </row>
    <row r="51" spans="1:13" ht="18" x14ac:dyDescent="0.3">
      <c r="C51" s="10"/>
      <c r="D51" s="10"/>
      <c r="E51" s="31"/>
      <c r="F51" s="31"/>
      <c r="G51" s="31"/>
      <c r="H51" s="31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4"/>
  <sheetViews>
    <sheetView workbookViewId="0">
      <selection activeCell="C146" sqref="C146"/>
    </sheetView>
  </sheetViews>
  <sheetFormatPr defaultRowHeight="14.4" x14ac:dyDescent="0.3"/>
  <cols>
    <col min="1" max="1" width="41.109375" customWidth="1"/>
    <col min="2" max="2" width="9" bestFit="1" customWidth="1"/>
    <col min="3" max="3" width="6.6640625" style="94" bestFit="1" customWidth="1"/>
    <col min="4" max="4" width="11.5546875" bestFit="1" customWidth="1"/>
    <col min="5" max="5" width="11" bestFit="1" customWidth="1"/>
    <col min="6" max="7" width="11.5546875" bestFit="1" customWidth="1"/>
    <col min="8" max="8" width="10.88671875" bestFit="1" customWidth="1"/>
    <col min="9" max="9" width="36.6640625" bestFit="1" customWidth="1"/>
    <col min="11" max="11" width="9.109375" style="95"/>
    <col min="12" max="15" width="11.5546875" bestFit="1" customWidth="1"/>
  </cols>
  <sheetData>
    <row r="1" spans="1:15" x14ac:dyDescent="0.3">
      <c r="C1" s="126"/>
      <c r="K1" s="132"/>
    </row>
    <row r="2" spans="1:15" ht="15.6" x14ac:dyDescent="0.3">
      <c r="A2" s="162" t="s">
        <v>263</v>
      </c>
      <c r="B2" s="162"/>
      <c r="C2" s="162"/>
      <c r="D2" s="162"/>
      <c r="E2" s="162"/>
      <c r="F2" s="162"/>
      <c r="G2" s="162"/>
      <c r="H2" s="102"/>
      <c r="I2" s="162" t="s">
        <v>265</v>
      </c>
      <c r="J2" s="162"/>
      <c r="K2" s="162"/>
      <c r="L2" s="162"/>
      <c r="M2" s="162"/>
      <c r="N2" s="162"/>
      <c r="O2" s="162"/>
    </row>
    <row r="3" spans="1:15" ht="15.6" x14ac:dyDescent="0.3">
      <c r="A3" s="121" t="s">
        <v>133</v>
      </c>
      <c r="B3" s="121" t="s">
        <v>134</v>
      </c>
      <c r="C3" s="104" t="s">
        <v>12</v>
      </c>
      <c r="D3" s="121" t="s">
        <v>16</v>
      </c>
      <c r="E3" s="121" t="s">
        <v>135</v>
      </c>
      <c r="F3" s="121" t="s">
        <v>136</v>
      </c>
      <c r="G3" s="121" t="s">
        <v>140</v>
      </c>
      <c r="H3" s="124"/>
      <c r="I3" s="103" t="s">
        <v>133</v>
      </c>
      <c r="J3" s="105" t="s">
        <v>134</v>
      </c>
      <c r="K3" s="106" t="s">
        <v>12</v>
      </c>
      <c r="L3" s="103" t="s">
        <v>16</v>
      </c>
      <c r="M3" s="103" t="s">
        <v>135</v>
      </c>
      <c r="N3" s="103" t="s">
        <v>136</v>
      </c>
      <c r="O3" s="103" t="s">
        <v>140</v>
      </c>
    </row>
    <row r="4" spans="1:15" ht="15.6" x14ac:dyDescent="0.3">
      <c r="A4" s="121" t="s">
        <v>137</v>
      </c>
      <c r="B4" s="121">
        <v>330</v>
      </c>
      <c r="C4" s="104">
        <f>B4*27</f>
        <v>8910</v>
      </c>
      <c r="D4" s="107">
        <f>C4*1.05*1.12</f>
        <v>10478.160000000002</v>
      </c>
      <c r="E4" s="107">
        <f>C4*1.08*1.12</f>
        <v>10777.536000000002</v>
      </c>
      <c r="F4" s="107">
        <f>C4*1.15*1.12</f>
        <v>11476.080000000002</v>
      </c>
      <c r="G4" s="107">
        <f>C4*1.2*1.12</f>
        <v>11975.04</v>
      </c>
      <c r="I4" s="103" t="s">
        <v>162</v>
      </c>
      <c r="J4" s="105">
        <v>1</v>
      </c>
      <c r="K4" s="106">
        <f>(40*145)+(30*130)</f>
        <v>9700</v>
      </c>
      <c r="L4" s="108">
        <f t="shared" ref="L4:L24" si="0">K4*1.1*1.18</f>
        <v>12590.599999999999</v>
      </c>
      <c r="M4" s="108">
        <f>K4*1.15*1.18</f>
        <v>13162.9</v>
      </c>
      <c r="N4" s="108">
        <f t="shared" ref="N4:N24" si="1">K4*1.25*1.18</f>
        <v>14307.5</v>
      </c>
      <c r="O4" s="108">
        <f t="shared" ref="O4:O24" si="2">K4*1.3*1.18</f>
        <v>14879.8</v>
      </c>
    </row>
    <row r="5" spans="1:15" ht="15.6" x14ac:dyDescent="0.3">
      <c r="A5" s="121" t="s">
        <v>139</v>
      </c>
      <c r="B5" s="121">
        <v>340</v>
      </c>
      <c r="C5" s="104">
        <f>B5*28</f>
        <v>9520</v>
      </c>
      <c r="D5" s="107">
        <f t="shared" ref="D5:D8" si="3">C5*1.05*1.12</f>
        <v>11195.52</v>
      </c>
      <c r="E5" s="107">
        <f t="shared" ref="E5:E8" si="4">C5*1.08*1.12</f>
        <v>11515.392000000002</v>
      </c>
      <c r="F5" s="107">
        <f t="shared" ref="F5:F8" si="5">C5*1.15*1.12</f>
        <v>12261.760000000002</v>
      </c>
      <c r="G5" s="107">
        <f t="shared" ref="G5:G8" si="6">C5*1.2*1.12</f>
        <v>12794.880000000001</v>
      </c>
      <c r="H5" s="125"/>
      <c r="I5" s="103" t="s">
        <v>163</v>
      </c>
      <c r="J5" s="105">
        <v>1.3</v>
      </c>
      <c r="K5" s="106">
        <f>(40*145)+(55*130)</f>
        <v>12950</v>
      </c>
      <c r="L5" s="108">
        <f t="shared" si="0"/>
        <v>16809.100000000002</v>
      </c>
      <c r="M5" s="108">
        <f t="shared" ref="M5:M24" si="7">K5*1.15*1.18</f>
        <v>17573.149999999998</v>
      </c>
      <c r="N5" s="108">
        <f t="shared" si="1"/>
        <v>19101.25</v>
      </c>
      <c r="O5" s="108">
        <f t="shared" si="2"/>
        <v>19865.3</v>
      </c>
    </row>
    <row r="6" spans="1:15" ht="15.6" x14ac:dyDescent="0.3">
      <c r="A6" s="121" t="s">
        <v>139</v>
      </c>
      <c r="B6" s="121">
        <v>345</v>
      </c>
      <c r="C6" s="104">
        <f>B6*28</f>
        <v>9660</v>
      </c>
      <c r="D6" s="107">
        <f t="shared" si="3"/>
        <v>11360.160000000002</v>
      </c>
      <c r="E6" s="107">
        <f t="shared" si="4"/>
        <v>11684.736000000003</v>
      </c>
      <c r="F6" s="107">
        <f t="shared" si="5"/>
        <v>12442.080000000002</v>
      </c>
      <c r="G6" s="107">
        <f t="shared" si="6"/>
        <v>12983.04</v>
      </c>
      <c r="H6" s="125"/>
      <c r="I6" s="103" t="s">
        <v>164</v>
      </c>
      <c r="J6" s="105">
        <v>2.7</v>
      </c>
      <c r="K6" s="106">
        <f>(40*145)+(85*130)</f>
        <v>16850</v>
      </c>
      <c r="L6" s="108">
        <f t="shared" si="0"/>
        <v>21871.3</v>
      </c>
      <c r="M6" s="108">
        <f t="shared" si="7"/>
        <v>22865.449999999997</v>
      </c>
      <c r="N6" s="108">
        <f t="shared" si="1"/>
        <v>24853.75</v>
      </c>
      <c r="O6" s="108">
        <f t="shared" si="2"/>
        <v>25847.899999999998</v>
      </c>
    </row>
    <row r="7" spans="1:15" ht="15.6" x14ac:dyDescent="0.3">
      <c r="A7" s="153" t="s">
        <v>139</v>
      </c>
      <c r="B7" s="153">
        <v>530</v>
      </c>
      <c r="C7" s="104">
        <f>B7*33</f>
        <v>17490</v>
      </c>
      <c r="D7" s="107">
        <f t="shared" ref="D7" si="8">C7*1.05*1.12</f>
        <v>20568.240000000002</v>
      </c>
      <c r="E7" s="107">
        <f t="shared" ref="E7" si="9">C7*1.08*1.12</f>
        <v>21155.904000000002</v>
      </c>
      <c r="F7" s="107">
        <f t="shared" ref="F7" si="10">C7*1.15*1.12</f>
        <v>22527.120000000003</v>
      </c>
      <c r="G7" s="107">
        <f t="shared" ref="G7" si="11">C7*1.2*1.12</f>
        <v>23506.560000000001</v>
      </c>
      <c r="H7" s="125"/>
      <c r="I7" s="103" t="s">
        <v>165</v>
      </c>
      <c r="J7" s="105">
        <v>3.3</v>
      </c>
      <c r="K7" s="106">
        <f>(60*140)+(120*125)</f>
        <v>23400</v>
      </c>
      <c r="L7" s="108">
        <f t="shared" si="0"/>
        <v>30373.200000000004</v>
      </c>
      <c r="M7" s="108">
        <f t="shared" si="7"/>
        <v>31753.799999999996</v>
      </c>
      <c r="N7" s="108">
        <f t="shared" si="1"/>
        <v>34515</v>
      </c>
      <c r="O7" s="108">
        <f t="shared" si="2"/>
        <v>35895.599999999999</v>
      </c>
    </row>
    <row r="8" spans="1:15" ht="15.6" x14ac:dyDescent="0.3">
      <c r="A8" s="123" t="s">
        <v>138</v>
      </c>
      <c r="B8" s="121">
        <v>335</v>
      </c>
      <c r="C8" s="104">
        <f>B8*27</f>
        <v>9045</v>
      </c>
      <c r="D8" s="107">
        <f t="shared" si="3"/>
        <v>10636.920000000002</v>
      </c>
      <c r="E8" s="107">
        <f t="shared" si="4"/>
        <v>10940.832000000002</v>
      </c>
      <c r="F8" s="107">
        <f t="shared" si="5"/>
        <v>11649.960000000001</v>
      </c>
      <c r="G8" s="107">
        <f t="shared" si="6"/>
        <v>12156.480000000001</v>
      </c>
      <c r="H8" s="102"/>
      <c r="I8" s="103" t="s">
        <v>166</v>
      </c>
      <c r="J8" s="105">
        <v>5.4</v>
      </c>
      <c r="K8" s="106">
        <f>(60*140)+(150*125)</f>
        <v>27150</v>
      </c>
      <c r="L8" s="108">
        <f t="shared" si="0"/>
        <v>35240.700000000004</v>
      </c>
      <c r="M8" s="108">
        <f t="shared" si="7"/>
        <v>36842.549999999996</v>
      </c>
      <c r="N8" s="108">
        <f t="shared" si="1"/>
        <v>40046.25</v>
      </c>
      <c r="O8" s="108">
        <f t="shared" si="2"/>
        <v>41648.1</v>
      </c>
    </row>
    <row r="9" spans="1:15" ht="15.6" x14ac:dyDescent="0.3">
      <c r="A9" s="162" t="s">
        <v>316</v>
      </c>
      <c r="B9" s="162"/>
      <c r="C9" s="162"/>
      <c r="D9" s="128" t="s">
        <v>312</v>
      </c>
      <c r="E9" s="128" t="s">
        <v>313</v>
      </c>
      <c r="F9" s="129" t="s">
        <v>314</v>
      </c>
      <c r="G9" s="129" t="s">
        <v>315</v>
      </c>
      <c r="H9" s="102"/>
      <c r="I9" s="103" t="s">
        <v>167</v>
      </c>
      <c r="J9" s="110">
        <v>8</v>
      </c>
      <c r="K9" s="106">
        <f>(80*140)+(240*125)</f>
        <v>41200</v>
      </c>
      <c r="L9" s="108">
        <f t="shared" si="0"/>
        <v>53477.600000000006</v>
      </c>
      <c r="M9" s="108">
        <f t="shared" si="7"/>
        <v>55908.399999999987</v>
      </c>
      <c r="N9" s="108">
        <f t="shared" si="1"/>
        <v>60770</v>
      </c>
      <c r="O9" s="108">
        <f t="shared" si="2"/>
        <v>63200.799999999996</v>
      </c>
    </row>
    <row r="10" spans="1:15" ht="15.6" x14ac:dyDescent="0.3">
      <c r="A10" s="162" t="s">
        <v>264</v>
      </c>
      <c r="B10" s="162"/>
      <c r="C10" s="162"/>
      <c r="D10" s="162"/>
      <c r="E10" s="162"/>
      <c r="F10" s="162"/>
      <c r="G10" s="162"/>
      <c r="H10" s="102"/>
      <c r="I10" s="103" t="s">
        <v>168</v>
      </c>
      <c r="J10" s="110">
        <v>10</v>
      </c>
      <c r="K10" s="106">
        <f>(100*140)+(270*125)</f>
        <v>47750</v>
      </c>
      <c r="L10" s="108">
        <f t="shared" si="0"/>
        <v>61979.500000000007</v>
      </c>
      <c r="M10" s="108">
        <f t="shared" si="7"/>
        <v>64796.749999999985</v>
      </c>
      <c r="N10" s="108">
        <f t="shared" si="1"/>
        <v>70431.25</v>
      </c>
      <c r="O10" s="108">
        <f t="shared" si="2"/>
        <v>73248.5</v>
      </c>
    </row>
    <row r="11" spans="1:15" ht="15.6" x14ac:dyDescent="0.3">
      <c r="A11" s="103" t="s">
        <v>133</v>
      </c>
      <c r="B11" s="103" t="s">
        <v>134</v>
      </c>
      <c r="C11" s="104" t="s">
        <v>12</v>
      </c>
      <c r="D11" s="103" t="s">
        <v>16</v>
      </c>
      <c r="E11" s="103" t="s">
        <v>135</v>
      </c>
      <c r="F11" s="103" t="s">
        <v>136</v>
      </c>
      <c r="G11" s="103" t="s">
        <v>140</v>
      </c>
      <c r="H11" s="102"/>
      <c r="I11" s="103" t="s">
        <v>169</v>
      </c>
      <c r="J11" s="105">
        <v>1</v>
      </c>
      <c r="K11" s="106">
        <f>50*140</f>
        <v>7000</v>
      </c>
      <c r="L11" s="108">
        <f t="shared" si="0"/>
        <v>9086</v>
      </c>
      <c r="M11" s="108">
        <f t="shared" si="7"/>
        <v>9498.9999999999982</v>
      </c>
      <c r="N11" s="108">
        <f t="shared" si="1"/>
        <v>10325</v>
      </c>
      <c r="O11" s="108">
        <f t="shared" si="2"/>
        <v>10738</v>
      </c>
    </row>
    <row r="12" spans="1:15" ht="15.6" x14ac:dyDescent="0.3">
      <c r="A12" s="103" t="s">
        <v>141</v>
      </c>
      <c r="B12" s="103">
        <v>1</v>
      </c>
      <c r="C12" s="104">
        <v>16000</v>
      </c>
      <c r="D12" s="107">
        <f>C12*1.15*1.12</f>
        <v>20608.000000000004</v>
      </c>
      <c r="E12" s="107">
        <f>C12*1.2*1.12</f>
        <v>21504.000000000004</v>
      </c>
      <c r="F12" s="107">
        <f>C12*1.3*1.12</f>
        <v>23296.000000000004</v>
      </c>
      <c r="G12" s="107">
        <f>C12*1.35*1.12</f>
        <v>24192.000000000004</v>
      </c>
      <c r="H12" s="102"/>
      <c r="I12" s="103" t="s">
        <v>170</v>
      </c>
      <c r="J12" s="105">
        <v>1.3</v>
      </c>
      <c r="K12" s="106">
        <f>60*140</f>
        <v>8400</v>
      </c>
      <c r="L12" s="108">
        <f t="shared" si="0"/>
        <v>10903.199999999999</v>
      </c>
      <c r="M12" s="108">
        <f t="shared" si="7"/>
        <v>11398.8</v>
      </c>
      <c r="N12" s="108">
        <f t="shared" si="1"/>
        <v>12390</v>
      </c>
      <c r="O12" s="108">
        <f t="shared" si="2"/>
        <v>12885.599999999999</v>
      </c>
    </row>
    <row r="13" spans="1:15" ht="15.6" x14ac:dyDescent="0.3">
      <c r="A13" s="103" t="s">
        <v>142</v>
      </c>
      <c r="B13" s="103">
        <v>2</v>
      </c>
      <c r="C13" s="104">
        <v>16500</v>
      </c>
      <c r="D13" s="107">
        <f t="shared" ref="D13:D16" si="12">C13*1.15*1.12</f>
        <v>21252.000000000004</v>
      </c>
      <c r="E13" s="107">
        <f t="shared" ref="E13:E16" si="13">C13*1.2*1.12</f>
        <v>22176.000000000004</v>
      </c>
      <c r="F13" s="107">
        <f t="shared" ref="F13:F16" si="14">C13*1.3*1.12</f>
        <v>24024.000000000004</v>
      </c>
      <c r="G13" s="107">
        <f t="shared" ref="G13:G16" si="15">C13*1.35*1.12</f>
        <v>24948.000000000004</v>
      </c>
      <c r="H13" s="102"/>
      <c r="I13" s="103" t="s">
        <v>171</v>
      </c>
      <c r="J13" s="105">
        <v>2.7</v>
      </c>
      <c r="K13" s="106">
        <f>100*140</f>
        <v>14000</v>
      </c>
      <c r="L13" s="108">
        <f t="shared" si="0"/>
        <v>18172</v>
      </c>
      <c r="M13" s="108">
        <f t="shared" si="7"/>
        <v>18997.999999999996</v>
      </c>
      <c r="N13" s="108">
        <f t="shared" si="1"/>
        <v>20650</v>
      </c>
      <c r="O13" s="108">
        <f t="shared" si="2"/>
        <v>21476</v>
      </c>
    </row>
    <row r="14" spans="1:15" ht="15.6" x14ac:dyDescent="0.3">
      <c r="A14" s="103" t="s">
        <v>143</v>
      </c>
      <c r="B14" s="103">
        <v>3</v>
      </c>
      <c r="C14" s="104">
        <v>17000</v>
      </c>
      <c r="D14" s="107">
        <f t="shared" si="12"/>
        <v>21896.000000000004</v>
      </c>
      <c r="E14" s="107">
        <f t="shared" si="13"/>
        <v>22848.000000000004</v>
      </c>
      <c r="F14" s="107">
        <f t="shared" si="14"/>
        <v>24752.000000000004</v>
      </c>
      <c r="G14" s="107">
        <f t="shared" si="15"/>
        <v>25704.000000000004</v>
      </c>
      <c r="H14" s="102"/>
      <c r="I14" s="103" t="s">
        <v>172</v>
      </c>
      <c r="J14" s="105">
        <v>3.3</v>
      </c>
      <c r="K14" s="106">
        <f>105*130</f>
        <v>13650</v>
      </c>
      <c r="L14" s="108">
        <f t="shared" si="0"/>
        <v>17717.7</v>
      </c>
      <c r="M14" s="108">
        <f t="shared" si="7"/>
        <v>18523.049999999996</v>
      </c>
      <c r="N14" s="108">
        <f t="shared" si="1"/>
        <v>20133.75</v>
      </c>
      <c r="O14" s="108">
        <f t="shared" si="2"/>
        <v>20939.099999999999</v>
      </c>
    </row>
    <row r="15" spans="1:15" ht="15.6" x14ac:dyDescent="0.3">
      <c r="A15" s="103" t="s">
        <v>144</v>
      </c>
      <c r="B15" s="103">
        <v>5</v>
      </c>
      <c r="C15" s="104">
        <v>19000</v>
      </c>
      <c r="D15" s="107">
        <f t="shared" si="12"/>
        <v>24472.000000000004</v>
      </c>
      <c r="E15" s="107">
        <f t="shared" si="13"/>
        <v>25536.000000000004</v>
      </c>
      <c r="F15" s="107">
        <f t="shared" si="14"/>
        <v>27664.000000000004</v>
      </c>
      <c r="G15" s="107">
        <f t="shared" si="15"/>
        <v>28728.000000000004</v>
      </c>
      <c r="H15" s="102"/>
      <c r="I15" s="103" t="s">
        <v>173</v>
      </c>
      <c r="J15" s="105">
        <v>5.4</v>
      </c>
      <c r="K15" s="106">
        <f>180*130</f>
        <v>23400</v>
      </c>
      <c r="L15" s="108">
        <f t="shared" si="0"/>
        <v>30373.200000000004</v>
      </c>
      <c r="M15" s="108">
        <f t="shared" si="7"/>
        <v>31753.799999999996</v>
      </c>
      <c r="N15" s="108">
        <f t="shared" si="1"/>
        <v>34515</v>
      </c>
      <c r="O15" s="108">
        <f t="shared" si="2"/>
        <v>35895.599999999999</v>
      </c>
    </row>
    <row r="16" spans="1:15" ht="15.6" x14ac:dyDescent="0.3">
      <c r="A16" s="103" t="s">
        <v>145</v>
      </c>
      <c r="B16" s="103">
        <v>7.5</v>
      </c>
      <c r="C16" s="104">
        <v>24500</v>
      </c>
      <c r="D16" s="107">
        <f t="shared" si="12"/>
        <v>31556</v>
      </c>
      <c r="E16" s="107">
        <f t="shared" si="13"/>
        <v>32928</v>
      </c>
      <c r="F16" s="107">
        <f t="shared" si="14"/>
        <v>35672</v>
      </c>
      <c r="G16" s="107">
        <f t="shared" si="15"/>
        <v>37044</v>
      </c>
      <c r="H16" s="102"/>
      <c r="I16" s="103" t="s">
        <v>174</v>
      </c>
      <c r="J16" s="110">
        <v>8</v>
      </c>
      <c r="K16" s="106">
        <f>225*130</f>
        <v>29250</v>
      </c>
      <c r="L16" s="108">
        <f t="shared" si="0"/>
        <v>37966.5</v>
      </c>
      <c r="M16" s="108">
        <f t="shared" si="7"/>
        <v>39692.25</v>
      </c>
      <c r="N16" s="108">
        <f t="shared" si="1"/>
        <v>43143.75</v>
      </c>
      <c r="O16" s="108">
        <f t="shared" si="2"/>
        <v>44869.5</v>
      </c>
    </row>
    <row r="17" spans="1:15" ht="15.6" x14ac:dyDescent="0.3">
      <c r="A17" s="103" t="s">
        <v>152</v>
      </c>
      <c r="B17" s="103">
        <v>1</v>
      </c>
      <c r="C17" s="104">
        <v>13000</v>
      </c>
      <c r="D17" s="103">
        <f>C17*1.15*1.12</f>
        <v>16744</v>
      </c>
      <c r="E17" s="107">
        <f>C17*1.2*1.12</f>
        <v>17472</v>
      </c>
      <c r="F17" s="103">
        <f>C17*1.3*1.12</f>
        <v>18928</v>
      </c>
      <c r="G17" s="103">
        <f>C17*1.35*1.12</f>
        <v>19656.000000000004</v>
      </c>
      <c r="H17" s="102"/>
      <c r="I17" s="103" t="s">
        <v>175</v>
      </c>
      <c r="J17" s="110">
        <v>10</v>
      </c>
      <c r="K17" s="106">
        <f>250*130</f>
        <v>32500</v>
      </c>
      <c r="L17" s="108">
        <f t="shared" si="0"/>
        <v>42185</v>
      </c>
      <c r="M17" s="108">
        <f t="shared" si="7"/>
        <v>44102.5</v>
      </c>
      <c r="N17" s="108">
        <f t="shared" si="1"/>
        <v>47937.5</v>
      </c>
      <c r="O17" s="108">
        <f t="shared" si="2"/>
        <v>49855</v>
      </c>
    </row>
    <row r="18" spans="1:15" ht="15.6" x14ac:dyDescent="0.3">
      <c r="A18" s="103" t="s">
        <v>153</v>
      </c>
      <c r="B18" s="103">
        <v>2</v>
      </c>
      <c r="C18" s="104">
        <v>13000</v>
      </c>
      <c r="D18" s="103">
        <f t="shared" ref="D18:D22" si="16">C18*1.15*1.12</f>
        <v>16744</v>
      </c>
      <c r="E18" s="107">
        <f t="shared" ref="E18:E22" si="17">C18*1.2*1.12</f>
        <v>17472</v>
      </c>
      <c r="F18" s="121">
        <f t="shared" ref="F18:F22" si="18">C18*1.3*1.12</f>
        <v>18928</v>
      </c>
      <c r="G18" s="121">
        <f t="shared" ref="G18:G22" si="19">C18*1.35*1.12</f>
        <v>19656.000000000004</v>
      </c>
      <c r="H18" s="102"/>
      <c r="I18" s="103" t="s">
        <v>176</v>
      </c>
      <c r="J18" s="105">
        <v>1</v>
      </c>
      <c r="K18" s="106">
        <f>J18*1500</f>
        <v>1500</v>
      </c>
      <c r="L18" s="108">
        <f t="shared" si="0"/>
        <v>1947.0000000000002</v>
      </c>
      <c r="M18" s="108">
        <f t="shared" si="7"/>
        <v>2035.4999999999995</v>
      </c>
      <c r="N18" s="108">
        <f t="shared" si="1"/>
        <v>2212.5</v>
      </c>
      <c r="O18" s="108">
        <f t="shared" si="2"/>
        <v>2301</v>
      </c>
    </row>
    <row r="19" spans="1:15" ht="15.6" x14ac:dyDescent="0.3">
      <c r="A19" s="103" t="s">
        <v>154</v>
      </c>
      <c r="B19" s="103">
        <v>3</v>
      </c>
      <c r="C19" s="104">
        <v>13000</v>
      </c>
      <c r="D19" s="103">
        <f t="shared" si="16"/>
        <v>16744</v>
      </c>
      <c r="E19" s="107">
        <f t="shared" si="17"/>
        <v>17472</v>
      </c>
      <c r="F19" s="121">
        <f t="shared" si="18"/>
        <v>18928</v>
      </c>
      <c r="G19" s="121">
        <f t="shared" si="19"/>
        <v>19656.000000000004</v>
      </c>
      <c r="H19" s="102"/>
      <c r="I19" s="103" t="s">
        <v>177</v>
      </c>
      <c r="J19" s="105">
        <v>1.3</v>
      </c>
      <c r="K19" s="106">
        <f>J19*1500</f>
        <v>1950</v>
      </c>
      <c r="L19" s="108">
        <f t="shared" si="0"/>
        <v>2531.1</v>
      </c>
      <c r="M19" s="108">
        <f t="shared" si="7"/>
        <v>2646.1499999999996</v>
      </c>
      <c r="N19" s="108">
        <f t="shared" si="1"/>
        <v>2876.25</v>
      </c>
      <c r="O19" s="108">
        <f t="shared" si="2"/>
        <v>2991.2999999999997</v>
      </c>
    </row>
    <row r="20" spans="1:15" ht="15.6" x14ac:dyDescent="0.3">
      <c r="A20" s="103" t="s">
        <v>155</v>
      </c>
      <c r="B20" s="103">
        <v>5</v>
      </c>
      <c r="C20" s="104">
        <v>16500</v>
      </c>
      <c r="D20" s="103">
        <f t="shared" si="16"/>
        <v>21252.000000000004</v>
      </c>
      <c r="E20" s="107">
        <f t="shared" si="17"/>
        <v>22176.000000000004</v>
      </c>
      <c r="F20" s="121">
        <f t="shared" si="18"/>
        <v>24024.000000000004</v>
      </c>
      <c r="G20" s="121">
        <f t="shared" si="19"/>
        <v>24948.000000000004</v>
      </c>
      <c r="H20" s="102"/>
      <c r="I20" s="103" t="s">
        <v>178</v>
      </c>
      <c r="J20" s="105">
        <v>2.7</v>
      </c>
      <c r="K20" s="106">
        <f>J20*1500</f>
        <v>4050.0000000000005</v>
      </c>
      <c r="L20" s="108">
        <f t="shared" si="0"/>
        <v>5256.9000000000005</v>
      </c>
      <c r="M20" s="108">
        <f t="shared" si="7"/>
        <v>5495.8499999999995</v>
      </c>
      <c r="N20" s="108">
        <f t="shared" si="1"/>
        <v>5973.7500000000009</v>
      </c>
      <c r="O20" s="108">
        <f t="shared" si="2"/>
        <v>6212.7000000000007</v>
      </c>
    </row>
    <row r="21" spans="1:15" ht="15.6" x14ac:dyDescent="0.3">
      <c r="A21" s="103" t="s">
        <v>156</v>
      </c>
      <c r="B21" s="103">
        <v>7.5</v>
      </c>
      <c r="C21" s="104">
        <v>18500</v>
      </c>
      <c r="D21" s="103">
        <f t="shared" si="16"/>
        <v>23828.000000000004</v>
      </c>
      <c r="E21" s="107">
        <f t="shared" si="17"/>
        <v>24864.000000000004</v>
      </c>
      <c r="F21" s="121">
        <f t="shared" si="18"/>
        <v>26936.000000000004</v>
      </c>
      <c r="G21" s="121">
        <f t="shared" si="19"/>
        <v>27972.000000000004</v>
      </c>
      <c r="H21" s="102"/>
      <c r="I21" s="103" t="s">
        <v>179</v>
      </c>
      <c r="J21" s="105">
        <v>3.3</v>
      </c>
      <c r="K21" s="106">
        <f>J21*1500</f>
        <v>4950</v>
      </c>
      <c r="L21" s="108">
        <f t="shared" si="0"/>
        <v>6425.0999999999995</v>
      </c>
      <c r="M21" s="108">
        <f t="shared" si="7"/>
        <v>6717.15</v>
      </c>
      <c r="N21" s="108">
        <f t="shared" si="1"/>
        <v>7301.25</v>
      </c>
      <c r="O21" s="108">
        <f t="shared" si="2"/>
        <v>7593.2999999999993</v>
      </c>
    </row>
    <row r="22" spans="1:15" ht="15.6" x14ac:dyDescent="0.3">
      <c r="A22" s="103" t="s">
        <v>157</v>
      </c>
      <c r="B22" s="111">
        <v>10</v>
      </c>
      <c r="C22" s="104">
        <v>18500</v>
      </c>
      <c r="D22" s="103">
        <f t="shared" si="16"/>
        <v>23828.000000000004</v>
      </c>
      <c r="E22" s="107">
        <f t="shared" si="17"/>
        <v>24864.000000000004</v>
      </c>
      <c r="F22" s="121">
        <f t="shared" si="18"/>
        <v>26936.000000000004</v>
      </c>
      <c r="G22" s="121">
        <f t="shared" si="19"/>
        <v>27972.000000000004</v>
      </c>
      <c r="H22" s="102"/>
      <c r="I22" s="103" t="s">
        <v>180</v>
      </c>
      <c r="J22" s="105">
        <v>5.4</v>
      </c>
      <c r="K22" s="106">
        <f>J22*1250</f>
        <v>6750</v>
      </c>
      <c r="L22" s="108">
        <f t="shared" si="0"/>
        <v>8761.5</v>
      </c>
      <c r="M22" s="108">
        <f t="shared" si="7"/>
        <v>9159.7499999999982</v>
      </c>
      <c r="N22" s="108">
        <f t="shared" si="1"/>
        <v>9956.25</v>
      </c>
      <c r="O22" s="108">
        <f t="shared" si="2"/>
        <v>10354.5</v>
      </c>
    </row>
    <row r="23" spans="1:15" ht="15.6" x14ac:dyDescent="0.3">
      <c r="A23" s="103" t="s">
        <v>146</v>
      </c>
      <c r="B23" s="103">
        <v>1</v>
      </c>
      <c r="C23" s="104">
        <v>23000</v>
      </c>
      <c r="D23" s="103">
        <f>C23*1.2*1.12</f>
        <v>30912.000000000004</v>
      </c>
      <c r="E23" s="107">
        <f>C23*1.25*1.12</f>
        <v>32200.000000000004</v>
      </c>
      <c r="F23" s="103">
        <f>C23*1.35*1.12</f>
        <v>34776.000000000007</v>
      </c>
      <c r="G23" s="103">
        <f>C23*1.4*1.12</f>
        <v>36064</v>
      </c>
      <c r="H23" s="102"/>
      <c r="I23" s="103" t="s">
        <v>181</v>
      </c>
      <c r="J23" s="110">
        <v>8</v>
      </c>
      <c r="K23" s="106">
        <f>J23*1250</f>
        <v>10000</v>
      </c>
      <c r="L23" s="108">
        <f t="shared" si="0"/>
        <v>12980</v>
      </c>
      <c r="M23" s="108">
        <f t="shared" si="7"/>
        <v>13570</v>
      </c>
      <c r="N23" s="108">
        <f t="shared" si="1"/>
        <v>14750</v>
      </c>
      <c r="O23" s="108">
        <f t="shared" si="2"/>
        <v>15340</v>
      </c>
    </row>
    <row r="24" spans="1:15" ht="15.6" x14ac:dyDescent="0.3">
      <c r="A24" s="103" t="s">
        <v>147</v>
      </c>
      <c r="B24" s="103">
        <v>2</v>
      </c>
      <c r="C24" s="104">
        <v>23500</v>
      </c>
      <c r="D24" s="121">
        <f t="shared" ref="D24:D29" si="20">C24*1.2*1.12</f>
        <v>31584.000000000004</v>
      </c>
      <c r="E24" s="107">
        <f t="shared" ref="E24:E29" si="21">C24*1.25*1.12</f>
        <v>32900</v>
      </c>
      <c r="F24" s="103">
        <f t="shared" ref="F24:F29" si="22">C24*1.35*1.12</f>
        <v>35532.000000000007</v>
      </c>
      <c r="G24" s="103">
        <f t="shared" ref="G24:G29" si="23">C24*1.4*1.12</f>
        <v>36848</v>
      </c>
      <c r="H24" s="102"/>
      <c r="I24" s="103" t="s">
        <v>182</v>
      </c>
      <c r="J24" s="110">
        <v>10</v>
      </c>
      <c r="K24" s="106">
        <f>J24*1250</f>
        <v>12500</v>
      </c>
      <c r="L24" s="108">
        <f t="shared" si="0"/>
        <v>16225.000000000002</v>
      </c>
      <c r="M24" s="108">
        <f t="shared" si="7"/>
        <v>16962.499999999996</v>
      </c>
      <c r="N24" s="108">
        <f t="shared" si="1"/>
        <v>18437.5</v>
      </c>
      <c r="O24" s="108">
        <f t="shared" si="2"/>
        <v>19175</v>
      </c>
    </row>
    <row r="25" spans="1:15" ht="15.6" x14ac:dyDescent="0.3">
      <c r="A25" s="103" t="s">
        <v>148</v>
      </c>
      <c r="B25" s="103">
        <v>3</v>
      </c>
      <c r="C25" s="104">
        <v>24000</v>
      </c>
      <c r="D25" s="121">
        <f t="shared" si="20"/>
        <v>32256.000000000004</v>
      </c>
      <c r="E25" s="107">
        <f t="shared" si="21"/>
        <v>33600</v>
      </c>
      <c r="F25" s="103">
        <f t="shared" si="22"/>
        <v>36288.000000000007</v>
      </c>
      <c r="G25" s="103">
        <f t="shared" si="23"/>
        <v>37632</v>
      </c>
      <c r="H25" s="102"/>
      <c r="I25" s="102"/>
      <c r="J25" s="102"/>
      <c r="K25" s="133"/>
      <c r="L25" s="102"/>
      <c r="M25" s="102"/>
      <c r="N25" s="102"/>
      <c r="O25" s="102"/>
    </row>
    <row r="26" spans="1:15" ht="15.6" x14ac:dyDescent="0.3">
      <c r="A26" s="103" t="s">
        <v>149</v>
      </c>
      <c r="B26" s="103">
        <v>5</v>
      </c>
      <c r="C26" s="104">
        <v>27500</v>
      </c>
      <c r="D26" s="121">
        <f t="shared" si="20"/>
        <v>36960</v>
      </c>
      <c r="E26" s="107">
        <f t="shared" si="21"/>
        <v>38500.000000000007</v>
      </c>
      <c r="F26" s="103">
        <f t="shared" si="22"/>
        <v>41580.000000000007</v>
      </c>
      <c r="G26" s="103">
        <f t="shared" si="23"/>
        <v>43120.000000000007</v>
      </c>
      <c r="H26" s="102"/>
      <c r="I26" s="162" t="s">
        <v>276</v>
      </c>
      <c r="J26" s="162"/>
      <c r="K26" s="162"/>
      <c r="L26" s="162"/>
      <c r="M26" s="162"/>
      <c r="N26" s="162"/>
      <c r="O26" s="162"/>
    </row>
    <row r="27" spans="1:15" ht="15.6" x14ac:dyDescent="0.3">
      <c r="A27" s="103" t="s">
        <v>150</v>
      </c>
      <c r="B27" s="103">
        <v>7.5</v>
      </c>
      <c r="C27" s="104">
        <v>36500</v>
      </c>
      <c r="D27" s="121">
        <f t="shared" si="20"/>
        <v>49056.000000000007</v>
      </c>
      <c r="E27" s="107">
        <f t="shared" si="21"/>
        <v>51100.000000000007</v>
      </c>
      <c r="F27" s="103">
        <f t="shared" si="22"/>
        <v>55188.000000000007</v>
      </c>
      <c r="G27" s="103">
        <f t="shared" si="23"/>
        <v>57232.000000000007</v>
      </c>
      <c r="H27" s="102"/>
      <c r="I27" s="103" t="s">
        <v>133</v>
      </c>
      <c r="J27" s="103" t="s">
        <v>134</v>
      </c>
      <c r="K27" s="106" t="s">
        <v>12</v>
      </c>
      <c r="L27" s="103" t="s">
        <v>16</v>
      </c>
      <c r="M27" s="103" t="s">
        <v>135</v>
      </c>
      <c r="N27" s="103" t="s">
        <v>136</v>
      </c>
      <c r="O27" s="103" t="s">
        <v>140</v>
      </c>
    </row>
    <row r="28" spans="1:15" ht="15.6" x14ac:dyDescent="0.3">
      <c r="A28" s="103" t="s">
        <v>151</v>
      </c>
      <c r="B28" s="111">
        <v>10</v>
      </c>
      <c r="C28" s="104">
        <v>40000</v>
      </c>
      <c r="D28" s="121">
        <f t="shared" si="20"/>
        <v>53760.000000000007</v>
      </c>
      <c r="E28" s="107">
        <f t="shared" si="21"/>
        <v>56000.000000000007</v>
      </c>
      <c r="F28" s="103">
        <f t="shared" si="22"/>
        <v>60480.000000000007</v>
      </c>
      <c r="G28" s="103">
        <f t="shared" si="23"/>
        <v>62720.000000000007</v>
      </c>
      <c r="H28" s="102"/>
      <c r="I28" s="163" t="s">
        <v>183</v>
      </c>
      <c r="J28" s="164"/>
      <c r="K28" s="164"/>
      <c r="L28" s="164"/>
      <c r="M28" s="164"/>
      <c r="N28" s="164"/>
      <c r="O28" s="165"/>
    </row>
    <row r="29" spans="1:15" ht="15.6" x14ac:dyDescent="0.3">
      <c r="A29" s="123" t="s">
        <v>328</v>
      </c>
      <c r="B29" s="111">
        <v>15</v>
      </c>
      <c r="C29" s="104">
        <v>55000</v>
      </c>
      <c r="D29" s="121">
        <f t="shared" si="20"/>
        <v>73920</v>
      </c>
      <c r="E29" s="107">
        <f t="shared" si="21"/>
        <v>77000.000000000015</v>
      </c>
      <c r="F29" s="103">
        <f t="shared" si="22"/>
        <v>83160.000000000015</v>
      </c>
      <c r="G29" s="103">
        <f t="shared" si="23"/>
        <v>86240.000000000015</v>
      </c>
      <c r="H29" s="102"/>
      <c r="I29" s="123" t="s">
        <v>330</v>
      </c>
      <c r="J29" s="103">
        <v>1</v>
      </c>
      <c r="K29" s="106">
        <v>20000</v>
      </c>
      <c r="L29" s="103">
        <f>K29*1.2*1.12</f>
        <v>26880.000000000004</v>
      </c>
      <c r="M29" s="107">
        <f>K29*1.25*1.12</f>
        <v>28000.000000000004</v>
      </c>
      <c r="N29" s="107">
        <f>K29*1.12*1.35</f>
        <v>30240.000000000007</v>
      </c>
      <c r="O29" s="107">
        <f>K29*1.4*1.12</f>
        <v>31360.000000000004</v>
      </c>
    </row>
    <row r="30" spans="1:15" ht="15.6" x14ac:dyDescent="0.3">
      <c r="A30" s="142" t="s">
        <v>517</v>
      </c>
      <c r="B30" s="103">
        <v>1</v>
      </c>
      <c r="C30" s="104">
        <v>15000</v>
      </c>
      <c r="D30" s="103">
        <f t="shared" ref="D30:D48" si="24">C30*1.15*1.12</f>
        <v>19320.000000000004</v>
      </c>
      <c r="E30" s="107">
        <f t="shared" ref="E30:E35" si="25">C30*1.2*1.12</f>
        <v>20160.000000000004</v>
      </c>
      <c r="F30" s="103">
        <f>C30*1.25*1.12</f>
        <v>21000.000000000004</v>
      </c>
      <c r="G30" s="103">
        <f t="shared" ref="G30:G48" si="26">C30*1.3*1.12</f>
        <v>21840.000000000004</v>
      </c>
      <c r="H30" s="102"/>
      <c r="I30" s="123" t="s">
        <v>331</v>
      </c>
      <c r="J30" s="103">
        <v>1</v>
      </c>
      <c r="K30" s="106">
        <v>14000</v>
      </c>
      <c r="L30" s="121">
        <f t="shared" ref="L30:L57" si="27">K30*1.2*1.12</f>
        <v>18816</v>
      </c>
      <c r="M30" s="107">
        <f t="shared" ref="M30:M57" si="28">K30*1.25*1.12</f>
        <v>19600.000000000004</v>
      </c>
      <c r="N30" s="107">
        <f>K30*1.12*1.35</f>
        <v>21168.000000000004</v>
      </c>
      <c r="O30" s="107">
        <f>K30*1.4*1.12</f>
        <v>21952.000000000004</v>
      </c>
    </row>
    <row r="31" spans="1:15" ht="15.6" x14ac:dyDescent="0.3">
      <c r="A31" s="142" t="s">
        <v>527</v>
      </c>
      <c r="B31" s="142">
        <v>1</v>
      </c>
      <c r="C31" s="104">
        <v>7000</v>
      </c>
      <c r="D31" s="142">
        <f t="shared" si="24"/>
        <v>9016</v>
      </c>
      <c r="E31" s="107">
        <f t="shared" si="25"/>
        <v>9408</v>
      </c>
      <c r="F31" s="142">
        <f>C31*1.5*1.12</f>
        <v>11760.000000000002</v>
      </c>
      <c r="G31" s="142">
        <f>C31*1.6*1.12</f>
        <v>12544.000000000002</v>
      </c>
      <c r="H31" s="102"/>
      <c r="I31" s="123" t="s">
        <v>332</v>
      </c>
      <c r="J31" s="121">
        <v>1</v>
      </c>
      <c r="K31" s="134">
        <f>12650/1.12</f>
        <v>11294.642857142857</v>
      </c>
      <c r="L31" s="107">
        <f>K31*1.1*1.12</f>
        <v>13915.000000000002</v>
      </c>
      <c r="M31" s="107">
        <f>K31*1.12*1.12</f>
        <v>14168.000000000004</v>
      </c>
      <c r="N31" s="107">
        <f>K31*1.12*1.15</f>
        <v>14547.500000000002</v>
      </c>
      <c r="O31" s="107">
        <f>K31*1.2*1.12</f>
        <v>15180</v>
      </c>
    </row>
    <row r="32" spans="1:15" ht="15.6" x14ac:dyDescent="0.3">
      <c r="A32" s="142" t="s">
        <v>518</v>
      </c>
      <c r="B32" s="103">
        <v>2</v>
      </c>
      <c r="C32" s="104">
        <v>17000</v>
      </c>
      <c r="D32" s="103">
        <f t="shared" si="24"/>
        <v>21896.000000000004</v>
      </c>
      <c r="E32" s="107">
        <f t="shared" si="25"/>
        <v>22848.000000000004</v>
      </c>
      <c r="F32" s="103">
        <f t="shared" ref="F32:F48" si="29">C32*1.25*1.12</f>
        <v>23800.000000000004</v>
      </c>
      <c r="G32" s="103">
        <f t="shared" si="26"/>
        <v>24752.000000000004</v>
      </c>
      <c r="H32" s="102"/>
      <c r="I32" s="123" t="s">
        <v>333</v>
      </c>
      <c r="J32" s="121">
        <v>1</v>
      </c>
      <c r="K32" s="134">
        <f>16100/1.27</f>
        <v>12677.165354330709</v>
      </c>
      <c r="L32" s="107">
        <f>K32*1.1*1.12</f>
        <v>15618.267716535436</v>
      </c>
      <c r="M32" s="107">
        <f>K32*1.12*1.12</f>
        <v>15902.236220472445</v>
      </c>
      <c r="N32" s="107">
        <f>K32*1.12*1.15</f>
        <v>16328.188976377955</v>
      </c>
      <c r="O32" s="107">
        <f>K32*1.2*1.12</f>
        <v>17038.110236220477</v>
      </c>
    </row>
    <row r="33" spans="1:15" ht="15.6" x14ac:dyDescent="0.3">
      <c r="A33" s="142" t="s">
        <v>158</v>
      </c>
      <c r="B33" s="142">
        <v>2</v>
      </c>
      <c r="C33" s="104">
        <v>9200</v>
      </c>
      <c r="D33" s="107">
        <f t="shared" ref="D33" si="30">C33*1.15*1.12</f>
        <v>11849.6</v>
      </c>
      <c r="E33" s="107">
        <f t="shared" ref="E33" si="31">C33*1.2*1.12</f>
        <v>12364.800000000001</v>
      </c>
      <c r="F33" s="142">
        <f>C33*1.5*1.12</f>
        <v>15456.000000000002</v>
      </c>
      <c r="G33" s="107">
        <f>C33*1.6*1.12</f>
        <v>16486.400000000001</v>
      </c>
      <c r="H33" s="102"/>
      <c r="I33" s="138" t="s">
        <v>415</v>
      </c>
      <c r="J33" s="138">
        <v>1</v>
      </c>
      <c r="K33" s="134">
        <v>15000</v>
      </c>
      <c r="L33" s="138">
        <f t="shared" si="27"/>
        <v>20160.000000000004</v>
      </c>
      <c r="M33" s="107">
        <f t="shared" si="28"/>
        <v>21000.000000000004</v>
      </c>
      <c r="N33" s="107">
        <f t="shared" ref="N33:N57" si="32">K33*1.12*1.35</f>
        <v>22680</v>
      </c>
      <c r="O33" s="107">
        <f t="shared" ref="O33:O50" si="33">K33*1.4*1.12</f>
        <v>23520.000000000004</v>
      </c>
    </row>
    <row r="34" spans="1:15" ht="15.6" x14ac:dyDescent="0.3">
      <c r="A34" s="142" t="s">
        <v>519</v>
      </c>
      <c r="B34" s="103">
        <v>3</v>
      </c>
      <c r="C34" s="104">
        <v>19000</v>
      </c>
      <c r="D34" s="103">
        <f t="shared" si="24"/>
        <v>24472.000000000004</v>
      </c>
      <c r="E34" s="107">
        <f t="shared" si="25"/>
        <v>25536.000000000004</v>
      </c>
      <c r="F34" s="103">
        <f t="shared" si="29"/>
        <v>26600.000000000004</v>
      </c>
      <c r="G34" s="103">
        <f t="shared" si="26"/>
        <v>27664.000000000004</v>
      </c>
      <c r="H34" s="102"/>
      <c r="I34" s="123" t="s">
        <v>334</v>
      </c>
      <c r="J34" s="103">
        <v>1</v>
      </c>
      <c r="K34" s="106">
        <v>19500</v>
      </c>
      <c r="L34" s="121">
        <f t="shared" si="27"/>
        <v>26208.000000000004</v>
      </c>
      <c r="M34" s="107">
        <f t="shared" si="28"/>
        <v>27300.000000000004</v>
      </c>
      <c r="N34" s="107">
        <f t="shared" si="32"/>
        <v>29484.000000000007</v>
      </c>
      <c r="O34" s="107">
        <f t="shared" si="33"/>
        <v>30576.000000000004</v>
      </c>
    </row>
    <row r="35" spans="1:15" ht="15.6" x14ac:dyDescent="0.3">
      <c r="A35" s="142" t="s">
        <v>159</v>
      </c>
      <c r="B35" s="142">
        <v>3</v>
      </c>
      <c r="C35" s="104">
        <v>10800</v>
      </c>
      <c r="D35" s="107">
        <f t="shared" si="24"/>
        <v>13910.4</v>
      </c>
      <c r="E35" s="107">
        <f t="shared" si="25"/>
        <v>14515.2</v>
      </c>
      <c r="F35" s="142">
        <f>C35*1.5*1.12</f>
        <v>18144</v>
      </c>
      <c r="G35" s="107">
        <f>C35*1.6*1.12</f>
        <v>19353.600000000002</v>
      </c>
      <c r="H35" s="102"/>
      <c r="I35" s="123" t="s">
        <v>335</v>
      </c>
      <c r="J35" s="121">
        <v>1</v>
      </c>
      <c r="K35" s="134">
        <f>13700/1.12</f>
        <v>12232.142857142857</v>
      </c>
      <c r="L35" s="107">
        <f>K35*1.1*1.12</f>
        <v>15070.000000000002</v>
      </c>
      <c r="M35" s="107">
        <f>K35*1.12*1.12</f>
        <v>15344.000000000004</v>
      </c>
      <c r="N35" s="107">
        <f>K35*1.12*1.15</f>
        <v>15755</v>
      </c>
      <c r="O35" s="107">
        <f>K35*1.2*1.12</f>
        <v>16440</v>
      </c>
    </row>
    <row r="36" spans="1:15" ht="15.6" x14ac:dyDescent="0.3">
      <c r="A36" s="142" t="s">
        <v>520</v>
      </c>
      <c r="B36" s="103">
        <v>5</v>
      </c>
      <c r="C36" s="104">
        <v>22000</v>
      </c>
      <c r="D36" s="103">
        <f>C36*1.1*1.12</f>
        <v>27104.000000000007</v>
      </c>
      <c r="E36" s="107">
        <f>C36*1.15*1.12</f>
        <v>28336</v>
      </c>
      <c r="F36" s="103">
        <f>C36*1.2*1.12</f>
        <v>29568.000000000004</v>
      </c>
      <c r="G36" s="103">
        <f>C36*1.25*1.12</f>
        <v>30800.000000000004</v>
      </c>
      <c r="H36" s="102"/>
      <c r="I36" s="123" t="s">
        <v>336</v>
      </c>
      <c r="J36" s="121">
        <v>1</v>
      </c>
      <c r="K36" s="134">
        <f>18950/1.27</f>
        <v>14921.259842519685</v>
      </c>
      <c r="L36" s="107">
        <f>K36*1.1*1.12</f>
        <v>18382.992125984252</v>
      </c>
      <c r="M36" s="107">
        <f>K36*1.12*1.12</f>
        <v>18717.228346456697</v>
      </c>
      <c r="N36" s="107">
        <f>K36*1.12*1.15</f>
        <v>19218.582677165356</v>
      </c>
      <c r="O36" s="107">
        <f>K36*1.2*1.12</f>
        <v>20054.173228346459</v>
      </c>
    </row>
    <row r="37" spans="1:15" ht="15.6" x14ac:dyDescent="0.3">
      <c r="A37" s="142" t="s">
        <v>160</v>
      </c>
      <c r="B37" s="142">
        <v>5</v>
      </c>
      <c r="C37" s="104">
        <v>13800</v>
      </c>
      <c r="D37" s="107">
        <f t="shared" ref="D37" si="34">C37*1.15*1.12</f>
        <v>17774.400000000001</v>
      </c>
      <c r="E37" s="107">
        <f t="shared" ref="E37" si="35">C37*1.2*1.12</f>
        <v>18547.2</v>
      </c>
      <c r="F37" s="142">
        <f>C37*1.5*1.12</f>
        <v>23184.000000000004</v>
      </c>
      <c r="G37" s="107">
        <f>C37*1.6*1.12</f>
        <v>24729.600000000002</v>
      </c>
      <c r="H37" s="102"/>
      <c r="I37" s="123" t="s">
        <v>337</v>
      </c>
      <c r="J37" s="121">
        <v>2</v>
      </c>
      <c r="K37" s="106">
        <v>25000</v>
      </c>
      <c r="L37" s="121">
        <f t="shared" si="27"/>
        <v>33600</v>
      </c>
      <c r="M37" s="107">
        <f t="shared" si="28"/>
        <v>35000</v>
      </c>
      <c r="N37" s="107">
        <f t="shared" si="32"/>
        <v>37800.000000000007</v>
      </c>
      <c r="O37" s="107">
        <f t="shared" si="33"/>
        <v>39200.000000000007</v>
      </c>
    </row>
    <row r="38" spans="1:15" ht="15.6" x14ac:dyDescent="0.3">
      <c r="A38" s="142" t="s">
        <v>521</v>
      </c>
      <c r="B38" s="103">
        <v>7.5</v>
      </c>
      <c r="C38" s="104">
        <v>27000</v>
      </c>
      <c r="D38" s="121">
        <f t="shared" ref="D38:D42" si="36">C38*1.1*1.12</f>
        <v>33264.000000000007</v>
      </c>
      <c r="E38" s="107">
        <f t="shared" ref="E38:E42" si="37">C38*1.15*1.12</f>
        <v>34776</v>
      </c>
      <c r="F38" s="121">
        <f t="shared" ref="F38:F42" si="38">C38*1.2*1.12</f>
        <v>36288</v>
      </c>
      <c r="G38" s="121">
        <f t="shared" ref="G38:G42" si="39">C38*1.25*1.12</f>
        <v>37800</v>
      </c>
      <c r="H38" s="102"/>
      <c r="I38" s="123" t="s">
        <v>338</v>
      </c>
      <c r="J38" s="103">
        <v>2</v>
      </c>
      <c r="K38" s="106">
        <v>18000</v>
      </c>
      <c r="L38" s="121">
        <f t="shared" si="27"/>
        <v>24192.000000000004</v>
      </c>
      <c r="M38" s="107">
        <f t="shared" si="28"/>
        <v>25200.000000000004</v>
      </c>
      <c r="N38" s="107">
        <f t="shared" si="32"/>
        <v>27216.000000000007</v>
      </c>
      <c r="O38" s="107">
        <f t="shared" si="33"/>
        <v>28224.000000000004</v>
      </c>
    </row>
    <row r="39" spans="1:15" ht="15.6" x14ac:dyDescent="0.3">
      <c r="A39" s="142" t="s">
        <v>161</v>
      </c>
      <c r="B39" s="142">
        <v>7.5</v>
      </c>
      <c r="C39" s="104">
        <v>18000</v>
      </c>
      <c r="D39" s="142">
        <f t="shared" ref="D39" si="40">C39*1.15*1.12</f>
        <v>23184.000000000004</v>
      </c>
      <c r="E39" s="107">
        <f t="shared" ref="E39" si="41">C39*1.2*1.12</f>
        <v>24192.000000000004</v>
      </c>
      <c r="F39" s="142">
        <f>C39*1.5*1.12</f>
        <v>30240.000000000004</v>
      </c>
      <c r="G39" s="142">
        <f>C39*1.6*1.12</f>
        <v>32256.000000000004</v>
      </c>
      <c r="H39" s="102"/>
      <c r="I39" s="123" t="s">
        <v>339</v>
      </c>
      <c r="J39" s="121">
        <v>2</v>
      </c>
      <c r="K39" s="134">
        <f>18600/1.12</f>
        <v>16607.142857142855</v>
      </c>
      <c r="L39" s="107">
        <f>K39*1.1*1.12</f>
        <v>20460</v>
      </c>
      <c r="M39" s="107">
        <f>K39*1.12*1.12</f>
        <v>20832.000000000004</v>
      </c>
      <c r="N39" s="107">
        <f>K39*1.12*1.15</f>
        <v>21390</v>
      </c>
      <c r="O39" s="107">
        <f>K39*1.2*1.12</f>
        <v>22319.999999999996</v>
      </c>
    </row>
    <row r="40" spans="1:15" ht="15.6" x14ac:dyDescent="0.3">
      <c r="A40" s="142" t="s">
        <v>522</v>
      </c>
      <c r="B40" s="111">
        <v>10</v>
      </c>
      <c r="C40" s="104">
        <v>31500</v>
      </c>
      <c r="D40" s="121">
        <f t="shared" si="36"/>
        <v>38808.000000000007</v>
      </c>
      <c r="E40" s="107">
        <f t="shared" si="37"/>
        <v>40572.000000000007</v>
      </c>
      <c r="F40" s="121">
        <f t="shared" si="38"/>
        <v>42336.000000000007</v>
      </c>
      <c r="G40" s="121">
        <f t="shared" si="39"/>
        <v>44100.000000000007</v>
      </c>
      <c r="H40" s="102"/>
      <c r="I40" s="123" t="s">
        <v>340</v>
      </c>
      <c r="J40" s="121">
        <v>2</v>
      </c>
      <c r="K40" s="106">
        <f>20800/1.27</f>
        <v>16377.952755905511</v>
      </c>
      <c r="L40" s="107">
        <f>K40*1.1*1.12</f>
        <v>20177.637795275594</v>
      </c>
      <c r="M40" s="107">
        <f>K40*1.12*1.12</f>
        <v>20544.503937007878</v>
      </c>
      <c r="N40" s="107">
        <f>K40*1.12*1.15</f>
        <v>21094.803149606301</v>
      </c>
      <c r="O40" s="107">
        <f>K40*1.2*1.12</f>
        <v>22011.968503937009</v>
      </c>
    </row>
    <row r="41" spans="1:15" ht="15.6" x14ac:dyDescent="0.3">
      <c r="A41" s="142" t="s">
        <v>528</v>
      </c>
      <c r="B41" s="113">
        <v>10</v>
      </c>
      <c r="C41" s="104">
        <v>21500</v>
      </c>
      <c r="D41" s="142">
        <f t="shared" ref="D41" si="42">C41*1.15*1.12</f>
        <v>27692</v>
      </c>
      <c r="E41" s="107">
        <f t="shared" ref="E41" si="43">C41*1.2*1.12</f>
        <v>28896.000000000004</v>
      </c>
      <c r="F41" s="142">
        <f>C41*1.5*1.12</f>
        <v>36120</v>
      </c>
      <c r="G41" s="142">
        <f>C41*1.6*1.12</f>
        <v>38528.000000000007</v>
      </c>
      <c r="H41" s="102"/>
      <c r="I41" s="123" t="s">
        <v>341</v>
      </c>
      <c r="J41" s="103">
        <v>2</v>
      </c>
      <c r="K41" s="106">
        <v>20500</v>
      </c>
      <c r="L41" s="121">
        <f t="shared" si="27"/>
        <v>27552.000000000004</v>
      </c>
      <c r="M41" s="107">
        <f t="shared" si="28"/>
        <v>28700.000000000004</v>
      </c>
      <c r="N41" s="107">
        <f t="shared" si="32"/>
        <v>30996.000000000007</v>
      </c>
      <c r="O41" s="107">
        <f t="shared" si="33"/>
        <v>32144</v>
      </c>
    </row>
    <row r="42" spans="1:15" ht="15.6" x14ac:dyDescent="0.3">
      <c r="A42" s="142" t="s">
        <v>523</v>
      </c>
      <c r="B42" s="113">
        <v>15</v>
      </c>
      <c r="C42" s="104">
        <v>37500</v>
      </c>
      <c r="D42" s="121">
        <f t="shared" si="36"/>
        <v>46200.000000000007</v>
      </c>
      <c r="E42" s="107">
        <f t="shared" si="37"/>
        <v>48300.000000000007</v>
      </c>
      <c r="F42" s="121">
        <f t="shared" si="38"/>
        <v>50400.000000000007</v>
      </c>
      <c r="G42" s="121">
        <f t="shared" si="39"/>
        <v>52500.000000000007</v>
      </c>
      <c r="H42" s="102"/>
      <c r="I42" s="123" t="s">
        <v>342</v>
      </c>
      <c r="J42" s="123">
        <v>2</v>
      </c>
      <c r="K42" s="134">
        <f>20100/1.12</f>
        <v>17946.428571428569</v>
      </c>
      <c r="L42" s="107">
        <f>K42*1.1*1.12</f>
        <v>22110</v>
      </c>
      <c r="M42" s="107">
        <f>K42*1.12*1.12</f>
        <v>22512.000000000004</v>
      </c>
      <c r="N42" s="107">
        <f>K42*1.12*1.15</f>
        <v>23115</v>
      </c>
      <c r="O42" s="107">
        <f>K42*1.2*1.12</f>
        <v>24120</v>
      </c>
    </row>
    <row r="43" spans="1:15" ht="15.6" x14ac:dyDescent="0.3">
      <c r="A43" s="142" t="s">
        <v>281</v>
      </c>
      <c r="B43" s="113">
        <v>15</v>
      </c>
      <c r="C43" s="104">
        <v>27500</v>
      </c>
      <c r="D43" s="142">
        <f t="shared" ref="D43" si="44">C43*1.15*1.12</f>
        <v>35420</v>
      </c>
      <c r="E43" s="107">
        <f t="shared" ref="E43" si="45">C43*1.2*1.12</f>
        <v>36960</v>
      </c>
      <c r="F43" s="142">
        <f>C43*1.5*1.12</f>
        <v>46200.000000000007</v>
      </c>
      <c r="G43" s="142">
        <f>C43*1.6*1.12</f>
        <v>49280.000000000007</v>
      </c>
      <c r="H43" s="102"/>
      <c r="I43" s="123" t="s">
        <v>343</v>
      </c>
      <c r="J43" s="123">
        <v>2</v>
      </c>
      <c r="K43" s="134">
        <f>21700/1.27</f>
        <v>17086.614173228347</v>
      </c>
      <c r="L43" s="107">
        <f>K43*1.1*1.12</f>
        <v>21050.708661417328</v>
      </c>
      <c r="M43" s="107">
        <f>K43*1.12*1.12</f>
        <v>21433.448818897643</v>
      </c>
      <c r="N43" s="107">
        <f>K43*1.12*1.15</f>
        <v>22007.559055118112</v>
      </c>
      <c r="O43" s="107">
        <f>K43*1.2*1.12</f>
        <v>22964.409448818897</v>
      </c>
    </row>
    <row r="44" spans="1:15" ht="15.6" x14ac:dyDescent="0.3">
      <c r="A44" s="142" t="s">
        <v>524</v>
      </c>
      <c r="B44" s="103">
        <v>1</v>
      </c>
      <c r="C44" s="104">
        <v>15500</v>
      </c>
      <c r="D44" s="103">
        <f t="shared" si="24"/>
        <v>19964.000000000004</v>
      </c>
      <c r="E44" s="107">
        <f>C44*1.2*1.12</f>
        <v>20832.000000000004</v>
      </c>
      <c r="F44" s="103">
        <f t="shared" si="29"/>
        <v>21700.000000000004</v>
      </c>
      <c r="G44" s="103">
        <f t="shared" si="26"/>
        <v>22568.000000000004</v>
      </c>
      <c r="H44" s="102"/>
      <c r="I44" s="123" t="s">
        <v>346</v>
      </c>
      <c r="J44" s="111">
        <v>2</v>
      </c>
      <c r="K44" s="106">
        <v>22000</v>
      </c>
      <c r="L44" s="121">
        <f t="shared" si="27"/>
        <v>29568.000000000004</v>
      </c>
      <c r="M44" s="107">
        <f t="shared" si="28"/>
        <v>30800.000000000004</v>
      </c>
      <c r="N44" s="107">
        <f t="shared" si="32"/>
        <v>33264.000000000007</v>
      </c>
      <c r="O44" s="107">
        <f t="shared" si="33"/>
        <v>34496</v>
      </c>
    </row>
    <row r="45" spans="1:15" ht="15.6" x14ac:dyDescent="0.3">
      <c r="A45" s="142" t="s">
        <v>529</v>
      </c>
      <c r="B45" s="142">
        <v>1</v>
      </c>
      <c r="C45" s="104">
        <v>9000</v>
      </c>
      <c r="D45" s="142">
        <f t="shared" ref="D45" si="46">C45*1.15*1.12</f>
        <v>11592.000000000002</v>
      </c>
      <c r="E45" s="107">
        <f t="shared" ref="E45" si="47">C45*1.2*1.12</f>
        <v>12096.000000000002</v>
      </c>
      <c r="F45" s="142">
        <f>C45*1.5*1.12</f>
        <v>15120.000000000002</v>
      </c>
      <c r="G45" s="142">
        <f>C45*1.6*1.12</f>
        <v>16128.000000000002</v>
      </c>
      <c r="H45" s="102"/>
      <c r="I45" s="123" t="s">
        <v>345</v>
      </c>
      <c r="J45" s="103">
        <v>2</v>
      </c>
      <c r="K45" s="106">
        <v>25500</v>
      </c>
      <c r="L45" s="121">
        <f t="shared" si="27"/>
        <v>34272</v>
      </c>
      <c r="M45" s="107">
        <f t="shared" si="28"/>
        <v>35700</v>
      </c>
      <c r="N45" s="107">
        <f t="shared" si="32"/>
        <v>38556.000000000007</v>
      </c>
      <c r="O45" s="107">
        <f t="shared" si="33"/>
        <v>39984.000000000007</v>
      </c>
    </row>
    <row r="46" spans="1:15" ht="15.6" x14ac:dyDescent="0.3">
      <c r="A46" s="142" t="s">
        <v>525</v>
      </c>
      <c r="B46" s="103">
        <v>2</v>
      </c>
      <c r="C46" s="104">
        <v>17500</v>
      </c>
      <c r="D46" s="103">
        <f t="shared" si="24"/>
        <v>22540.000000000004</v>
      </c>
      <c r="E46" s="107">
        <f>C46*1.2*1.12</f>
        <v>23520.000000000004</v>
      </c>
      <c r="F46" s="103">
        <f t="shared" si="29"/>
        <v>24500.000000000004</v>
      </c>
      <c r="G46" s="103">
        <f t="shared" si="26"/>
        <v>25480.000000000004</v>
      </c>
      <c r="H46" s="102"/>
      <c r="I46" s="123" t="s">
        <v>344</v>
      </c>
      <c r="J46" s="123">
        <v>2</v>
      </c>
      <c r="K46" s="106">
        <v>31500</v>
      </c>
      <c r="L46" s="123">
        <f t="shared" ref="L46" si="48">K46*1.2*1.12</f>
        <v>42336.000000000007</v>
      </c>
      <c r="M46" s="107">
        <f t="shared" ref="M46" si="49">K46*1.25*1.12</f>
        <v>44100.000000000007</v>
      </c>
      <c r="N46" s="107">
        <f t="shared" ref="N46" si="50">K46*1.12*1.35</f>
        <v>47628</v>
      </c>
      <c r="O46" s="107">
        <f t="shared" ref="O46" si="51">K46*1.4*1.12</f>
        <v>49392.000000000007</v>
      </c>
    </row>
    <row r="47" spans="1:15" ht="15.6" x14ac:dyDescent="0.3">
      <c r="A47" s="142" t="s">
        <v>530</v>
      </c>
      <c r="B47" s="142">
        <v>2</v>
      </c>
      <c r="C47" s="104">
        <v>10500</v>
      </c>
      <c r="D47" s="142">
        <f t="shared" ref="D47" si="52">C47*1.15*1.12</f>
        <v>13524</v>
      </c>
      <c r="E47" s="107">
        <f t="shared" ref="E47" si="53">C47*1.2*1.12</f>
        <v>14112.000000000002</v>
      </c>
      <c r="F47" s="142">
        <f>C47*1.5*1.12</f>
        <v>17640</v>
      </c>
      <c r="G47" s="142">
        <f>C47*1.6*1.12</f>
        <v>18816</v>
      </c>
      <c r="H47" s="102"/>
      <c r="I47" s="123" t="s">
        <v>347</v>
      </c>
      <c r="J47" s="123">
        <v>2</v>
      </c>
      <c r="K47" s="134">
        <f>22000/1.12</f>
        <v>19642.857142857141</v>
      </c>
      <c r="L47" s="107">
        <f>K47*1.1*1.12</f>
        <v>24200.000000000004</v>
      </c>
      <c r="M47" s="107">
        <f>K47*1.12*1.12</f>
        <v>24640.000000000004</v>
      </c>
      <c r="N47" s="107">
        <f>K47*1.12*1.15</f>
        <v>25299.999999999996</v>
      </c>
      <c r="O47" s="107">
        <f>K47*1.2*1.12</f>
        <v>26400</v>
      </c>
    </row>
    <row r="48" spans="1:15" ht="15.6" x14ac:dyDescent="0.3">
      <c r="A48" s="142" t="s">
        <v>526</v>
      </c>
      <c r="B48" s="103">
        <v>3</v>
      </c>
      <c r="C48" s="104">
        <v>19500</v>
      </c>
      <c r="D48" s="103">
        <f t="shared" si="24"/>
        <v>25116.000000000004</v>
      </c>
      <c r="E48" s="107">
        <f>C48*1.2*1.12</f>
        <v>26208.000000000004</v>
      </c>
      <c r="F48" s="103">
        <f t="shared" si="29"/>
        <v>27300.000000000004</v>
      </c>
      <c r="G48" s="103">
        <f t="shared" si="26"/>
        <v>28392.000000000004</v>
      </c>
      <c r="H48" s="102"/>
      <c r="I48" s="123" t="s">
        <v>348</v>
      </c>
      <c r="J48" s="123">
        <v>2</v>
      </c>
      <c r="K48" s="134">
        <f>22500/1.27</f>
        <v>17716.535433070865</v>
      </c>
      <c r="L48" s="107">
        <f>K48*1.1*1.12</f>
        <v>21826.77165354331</v>
      </c>
      <c r="M48" s="107">
        <f>K48*1.12*1.12</f>
        <v>22223.622047244095</v>
      </c>
      <c r="N48" s="107">
        <f>K48*1.12*1.15</f>
        <v>22818.897637795275</v>
      </c>
      <c r="O48" s="107">
        <f>K48*1.2*1.12</f>
        <v>23811.023622047243</v>
      </c>
    </row>
    <row r="49" spans="1:15" ht="15.6" x14ac:dyDescent="0.3">
      <c r="A49" s="142" t="s">
        <v>531</v>
      </c>
      <c r="B49" s="142">
        <v>3</v>
      </c>
      <c r="C49" s="104">
        <v>12500</v>
      </c>
      <c r="D49" s="142">
        <f t="shared" ref="D49:D50" si="54">C49*1.15*1.12</f>
        <v>16100</v>
      </c>
      <c r="E49" s="107">
        <f t="shared" ref="E49:E50" si="55">C49*1.2*1.12</f>
        <v>16800</v>
      </c>
      <c r="F49" s="142">
        <f>C49*1.5*1.12</f>
        <v>21000.000000000004</v>
      </c>
      <c r="G49" s="142">
        <f>C49*1.6*1.12</f>
        <v>22400.000000000004</v>
      </c>
      <c r="H49" s="102"/>
      <c r="I49" s="123" t="s">
        <v>349</v>
      </c>
      <c r="J49" s="103">
        <v>3</v>
      </c>
      <c r="K49" s="106">
        <v>26000</v>
      </c>
      <c r="L49" s="121">
        <f t="shared" si="27"/>
        <v>34944</v>
      </c>
      <c r="M49" s="107">
        <f t="shared" si="28"/>
        <v>36400</v>
      </c>
      <c r="N49" s="107">
        <f t="shared" si="32"/>
        <v>39312.000000000007</v>
      </c>
      <c r="O49" s="107">
        <f t="shared" si="33"/>
        <v>40768.000000000007</v>
      </c>
    </row>
    <row r="50" spans="1:15" ht="15.6" x14ac:dyDescent="0.3">
      <c r="A50" s="142" t="s">
        <v>532</v>
      </c>
      <c r="B50" s="142" t="s">
        <v>533</v>
      </c>
      <c r="C50" s="104">
        <v>9500</v>
      </c>
      <c r="D50" s="142">
        <f t="shared" si="54"/>
        <v>12236.000000000002</v>
      </c>
      <c r="E50" s="107">
        <f t="shared" si="55"/>
        <v>12768.000000000002</v>
      </c>
      <c r="F50" s="142">
        <f>C50*1.5*1.12</f>
        <v>15960.000000000002</v>
      </c>
      <c r="G50" s="142">
        <f>C50*1.6*1.12</f>
        <v>17024</v>
      </c>
      <c r="H50" s="102"/>
      <c r="I50" s="123" t="s">
        <v>350</v>
      </c>
      <c r="J50" s="103">
        <v>3</v>
      </c>
      <c r="K50" s="106">
        <v>19000</v>
      </c>
      <c r="L50" s="121">
        <f t="shared" si="27"/>
        <v>25536.000000000004</v>
      </c>
      <c r="M50" s="107">
        <f t="shared" si="28"/>
        <v>26600.000000000004</v>
      </c>
      <c r="N50" s="107">
        <f t="shared" si="32"/>
        <v>28728.000000000007</v>
      </c>
      <c r="O50" s="107">
        <f t="shared" si="33"/>
        <v>29792.000000000004</v>
      </c>
    </row>
    <row r="51" spans="1:15" ht="15.6" x14ac:dyDescent="0.3">
      <c r="A51" s="162" t="s">
        <v>317</v>
      </c>
      <c r="B51" s="162"/>
      <c r="C51" s="162"/>
      <c r="D51" s="131">
        <v>0.15</v>
      </c>
      <c r="E51" s="131">
        <v>0.2</v>
      </c>
      <c r="F51" s="131">
        <v>0.3</v>
      </c>
      <c r="G51" s="131">
        <v>0.35</v>
      </c>
      <c r="H51" s="102"/>
      <c r="I51" s="123" t="s">
        <v>367</v>
      </c>
      <c r="J51" s="123">
        <v>3</v>
      </c>
      <c r="K51" s="134">
        <f>26100/1.12</f>
        <v>23303.571428571428</v>
      </c>
      <c r="L51" s="107">
        <f>K51*1.1*1.12</f>
        <v>28710.000000000004</v>
      </c>
      <c r="M51" s="107">
        <f>K51*1.12*1.12</f>
        <v>29232.000000000004</v>
      </c>
      <c r="N51" s="107">
        <f>K51*1.12*1.15</f>
        <v>30014.999999999996</v>
      </c>
      <c r="O51" s="107">
        <f>K51*1.2*1.12</f>
        <v>31320.000000000004</v>
      </c>
    </row>
    <row r="52" spans="1:15" ht="15.6" x14ac:dyDescent="0.3">
      <c r="A52" s="162" t="s">
        <v>318</v>
      </c>
      <c r="B52" s="162"/>
      <c r="C52" s="162"/>
      <c r="D52" s="131">
        <v>0.2</v>
      </c>
      <c r="E52" s="131">
        <v>0.25</v>
      </c>
      <c r="F52" s="131">
        <v>0.35</v>
      </c>
      <c r="G52" s="131">
        <v>0.4</v>
      </c>
      <c r="H52" s="102"/>
      <c r="I52" s="123" t="s">
        <v>351</v>
      </c>
      <c r="J52" s="103">
        <v>3</v>
      </c>
      <c r="K52" s="106">
        <v>23000</v>
      </c>
      <c r="L52" s="121">
        <f t="shared" si="27"/>
        <v>30912.000000000004</v>
      </c>
      <c r="M52" s="107">
        <f t="shared" si="28"/>
        <v>32200.000000000004</v>
      </c>
      <c r="N52" s="107">
        <f t="shared" si="32"/>
        <v>34776.000000000007</v>
      </c>
      <c r="O52" s="103">
        <f>K52*1.4*1.12</f>
        <v>36064</v>
      </c>
    </row>
    <row r="53" spans="1:15" ht="15.6" x14ac:dyDescent="0.3">
      <c r="A53" s="162" t="s">
        <v>319</v>
      </c>
      <c r="B53" s="162"/>
      <c r="C53" s="162"/>
      <c r="D53" s="130">
        <v>0.15</v>
      </c>
      <c r="E53" s="130">
        <v>0.2</v>
      </c>
      <c r="F53" s="131">
        <v>0.3</v>
      </c>
      <c r="G53" s="131">
        <v>0.35</v>
      </c>
      <c r="H53" s="102"/>
      <c r="I53" s="123" t="s">
        <v>355</v>
      </c>
      <c r="J53" s="123">
        <v>3</v>
      </c>
      <c r="K53" s="134">
        <f>27900/1.12</f>
        <v>24910.714285714283</v>
      </c>
      <c r="L53" s="107">
        <f>K53*1.1*1.12</f>
        <v>30690.000000000004</v>
      </c>
      <c r="M53" s="107">
        <f>K53*1.12*1.12</f>
        <v>31248.000000000004</v>
      </c>
      <c r="N53" s="107">
        <f>K53*1.12*1.15</f>
        <v>32084.999999999996</v>
      </c>
      <c r="O53" s="107">
        <f>K53*1.2*1.12</f>
        <v>33480</v>
      </c>
    </row>
    <row r="54" spans="1:15" ht="15.6" x14ac:dyDescent="0.3">
      <c r="A54" s="162" t="s">
        <v>320</v>
      </c>
      <c r="B54" s="162"/>
      <c r="C54" s="162"/>
      <c r="D54" s="128" t="s">
        <v>314</v>
      </c>
      <c r="E54" s="128" t="s">
        <v>315</v>
      </c>
      <c r="F54" s="129" t="s">
        <v>321</v>
      </c>
      <c r="G54" s="129" t="s">
        <v>322</v>
      </c>
      <c r="H54" s="102"/>
      <c r="I54" s="123" t="s">
        <v>358</v>
      </c>
      <c r="J54" s="123">
        <v>3</v>
      </c>
      <c r="K54" s="134">
        <f>37500/1.27</f>
        <v>29527.559055118109</v>
      </c>
      <c r="L54" s="107">
        <f>K54*1.1*1.12</f>
        <v>36377.95275590552</v>
      </c>
      <c r="M54" s="107">
        <f>K54*1.12*1.12</f>
        <v>37039.370078740169</v>
      </c>
      <c r="N54" s="107">
        <f>K54*1.12*1.15</f>
        <v>38031.496062992126</v>
      </c>
      <c r="O54" s="107">
        <f>K54*1.2*1.12</f>
        <v>39685.039370078739</v>
      </c>
    </row>
    <row r="55" spans="1:15" ht="15.6" x14ac:dyDescent="0.3">
      <c r="A55" s="102"/>
      <c r="B55" s="102"/>
      <c r="C55" s="127"/>
      <c r="D55" s="102"/>
      <c r="E55" s="102"/>
      <c r="F55" s="102"/>
      <c r="G55" s="102"/>
      <c r="H55" s="102"/>
      <c r="I55" s="123" t="s">
        <v>352</v>
      </c>
      <c r="J55" s="103">
        <v>3</v>
      </c>
      <c r="K55" s="106">
        <v>25000</v>
      </c>
      <c r="L55" s="121">
        <f t="shared" si="27"/>
        <v>33600</v>
      </c>
      <c r="M55" s="107">
        <f t="shared" si="28"/>
        <v>35000</v>
      </c>
      <c r="N55" s="107">
        <f t="shared" si="32"/>
        <v>37800.000000000007</v>
      </c>
      <c r="O55" s="103">
        <f>K55*1.4*1.12</f>
        <v>39200.000000000007</v>
      </c>
    </row>
    <row r="56" spans="1:15" ht="15.6" x14ac:dyDescent="0.3">
      <c r="A56" s="166" t="s">
        <v>194</v>
      </c>
      <c r="B56" s="166"/>
      <c r="C56" s="166"/>
      <c r="D56" s="166"/>
      <c r="E56" s="166"/>
      <c r="F56" s="166"/>
      <c r="G56" s="166"/>
      <c r="H56" s="102"/>
      <c r="I56" s="123" t="s">
        <v>359</v>
      </c>
      <c r="J56" s="123">
        <v>3</v>
      </c>
      <c r="K56" s="134">
        <f>32200/1.27</f>
        <v>25354.330708661419</v>
      </c>
      <c r="L56" s="107">
        <f>K56*1.1*1.12</f>
        <v>31236.535433070872</v>
      </c>
      <c r="M56" s="107">
        <f>K56*1.12*1.12</f>
        <v>31804.47244094489</v>
      </c>
      <c r="N56" s="107">
        <f>K56*1.12*1.15</f>
        <v>32656.377952755909</v>
      </c>
      <c r="O56" s="107">
        <f>K56*1.2*1.12</f>
        <v>34076.220472440953</v>
      </c>
    </row>
    <row r="57" spans="1:15" ht="15.6" x14ac:dyDescent="0.3">
      <c r="A57" s="114" t="s">
        <v>133</v>
      </c>
      <c r="B57" s="114" t="s">
        <v>134</v>
      </c>
      <c r="C57" s="115" t="s">
        <v>12</v>
      </c>
      <c r="D57" s="114" t="s">
        <v>16</v>
      </c>
      <c r="E57" s="114" t="s">
        <v>135</v>
      </c>
      <c r="F57" s="114" t="s">
        <v>136</v>
      </c>
      <c r="G57" s="114" t="s">
        <v>140</v>
      </c>
      <c r="H57" s="102"/>
      <c r="I57" s="123" t="s">
        <v>353</v>
      </c>
      <c r="J57" s="103">
        <v>3</v>
      </c>
      <c r="K57" s="106">
        <v>29000</v>
      </c>
      <c r="L57" s="121">
        <f t="shared" si="27"/>
        <v>38976.000000000007</v>
      </c>
      <c r="M57" s="107">
        <f t="shared" si="28"/>
        <v>40600.000000000007</v>
      </c>
      <c r="N57" s="107">
        <f t="shared" si="32"/>
        <v>43848.000000000007</v>
      </c>
      <c r="O57" s="103">
        <f>K57*1.4*1.12</f>
        <v>45472.000000000007</v>
      </c>
    </row>
    <row r="58" spans="1:15" ht="15.6" x14ac:dyDescent="0.3">
      <c r="A58" s="168" t="s">
        <v>271</v>
      </c>
      <c r="B58" s="169"/>
      <c r="C58" s="169"/>
      <c r="D58" s="169"/>
      <c r="E58" s="169"/>
      <c r="F58" s="169"/>
      <c r="G58" s="170"/>
      <c r="H58" s="102"/>
      <c r="I58" s="123" t="s">
        <v>356</v>
      </c>
      <c r="J58" s="123">
        <v>3</v>
      </c>
      <c r="K58" s="134">
        <f>26100/1.12</f>
        <v>23303.571428571428</v>
      </c>
      <c r="L58" s="107">
        <f>K58*1.1*1.12</f>
        <v>28710.000000000004</v>
      </c>
      <c r="M58" s="107">
        <f>K58*1.12*1.12</f>
        <v>29232.000000000004</v>
      </c>
      <c r="N58" s="107">
        <f>K58*1.12*1.15</f>
        <v>30014.999999999996</v>
      </c>
      <c r="O58" s="107">
        <f>K58*1.2*1.12</f>
        <v>31320.000000000004</v>
      </c>
    </row>
    <row r="59" spans="1:15" ht="15.6" x14ac:dyDescent="0.3">
      <c r="A59" s="114" t="s">
        <v>191</v>
      </c>
      <c r="B59" s="114" t="s">
        <v>193</v>
      </c>
      <c r="C59" s="115">
        <v>35</v>
      </c>
      <c r="D59" s="108">
        <f>C59*1.1*1.18</f>
        <v>45.43</v>
      </c>
      <c r="E59" s="108">
        <f>C59*1.15*1.18</f>
        <v>47.494999999999997</v>
      </c>
      <c r="F59" s="108">
        <f>C59*1.25*1.18</f>
        <v>51.625</v>
      </c>
      <c r="G59" s="108">
        <f>C59*1.3*1.18</f>
        <v>53.69</v>
      </c>
      <c r="H59" s="102"/>
      <c r="I59" s="123" t="s">
        <v>354</v>
      </c>
      <c r="J59" s="123">
        <v>3</v>
      </c>
      <c r="K59" s="106">
        <v>32000</v>
      </c>
      <c r="L59" s="123">
        <f t="shared" ref="L59" si="56">K59*1.2*1.12</f>
        <v>43008.000000000007</v>
      </c>
      <c r="M59" s="107">
        <f t="shared" ref="M59" si="57">K59*1.25*1.12</f>
        <v>44800.000000000007</v>
      </c>
      <c r="N59" s="107">
        <f t="shared" ref="N59" si="58">K59*1.12*1.35</f>
        <v>48384</v>
      </c>
      <c r="O59" s="123">
        <f>K59*1.4*1.12</f>
        <v>50176.000000000007</v>
      </c>
    </row>
    <row r="60" spans="1:15" ht="15.6" x14ac:dyDescent="0.3">
      <c r="A60" s="114" t="s">
        <v>192</v>
      </c>
      <c r="B60" s="114" t="s">
        <v>193</v>
      </c>
      <c r="C60" s="115">
        <v>57</v>
      </c>
      <c r="D60" s="108">
        <f>C60*1.1*1.18</f>
        <v>73.986000000000004</v>
      </c>
      <c r="E60" s="108">
        <f>C60*1.15*1.18</f>
        <v>77.34899999999999</v>
      </c>
      <c r="F60" s="108">
        <f>C60*1.25*1.18</f>
        <v>84.074999999999989</v>
      </c>
      <c r="G60" s="108">
        <f>C60*1.3*1.18</f>
        <v>87.438000000000002</v>
      </c>
      <c r="H60" s="102"/>
      <c r="I60" s="123" t="s">
        <v>357</v>
      </c>
      <c r="J60" s="123">
        <v>3</v>
      </c>
      <c r="K60" s="134">
        <f>30200/1.12</f>
        <v>26964.28571428571</v>
      </c>
      <c r="L60" s="107">
        <f>K60*1.1*1.12</f>
        <v>33220</v>
      </c>
      <c r="M60" s="107">
        <f>K60*1.12*1.12</f>
        <v>33824</v>
      </c>
      <c r="N60" s="107">
        <f>K60*1.12*1.15</f>
        <v>34730</v>
      </c>
      <c r="O60" s="107">
        <f>K60*1.2*1.12</f>
        <v>36240</v>
      </c>
    </row>
    <row r="61" spans="1:15" ht="15.6" x14ac:dyDescent="0.3">
      <c r="A61" s="168" t="s">
        <v>272</v>
      </c>
      <c r="B61" s="169"/>
      <c r="C61" s="169"/>
      <c r="D61" s="169"/>
      <c r="E61" s="169"/>
      <c r="F61" s="169"/>
      <c r="G61" s="170"/>
      <c r="H61" s="102"/>
      <c r="I61" s="123" t="s">
        <v>360</v>
      </c>
      <c r="J61" s="103">
        <v>3</v>
      </c>
      <c r="K61" s="134">
        <f>37200/1.27</f>
        <v>29291.338582677166</v>
      </c>
      <c r="L61" s="107">
        <f>K61*1.1*1.12</f>
        <v>36086.929133858277</v>
      </c>
      <c r="M61" s="107">
        <f>K61*1.12*1.12</f>
        <v>36743.055118110249</v>
      </c>
      <c r="N61" s="107">
        <f>K61*1.12*1.15</f>
        <v>37727.244094488189</v>
      </c>
      <c r="O61" s="107">
        <f>K61*1.2*1.12</f>
        <v>39367.559055118109</v>
      </c>
    </row>
    <row r="62" spans="1:15" ht="46.8" x14ac:dyDescent="0.3">
      <c r="A62" s="116" t="s">
        <v>270</v>
      </c>
      <c r="B62" s="114" t="s">
        <v>269</v>
      </c>
      <c r="C62" s="115">
        <v>2960</v>
      </c>
      <c r="D62" s="108">
        <f>C62*1.1*1.18</f>
        <v>3842.0800000000004</v>
      </c>
      <c r="E62" s="108">
        <f>C62*1.15*1.18</f>
        <v>4016.7199999999993</v>
      </c>
      <c r="F62" s="108">
        <f>C62*1.25*1.18</f>
        <v>4366</v>
      </c>
      <c r="G62" s="108">
        <f>C62*1.3*1.18</f>
        <v>4540.6399999999994</v>
      </c>
      <c r="H62" s="102"/>
      <c r="I62" s="123" t="s">
        <v>361</v>
      </c>
      <c r="J62" s="123">
        <v>5</v>
      </c>
      <c r="K62" s="106">
        <v>36000</v>
      </c>
      <c r="L62" s="123">
        <f>K62*1.15*1.12</f>
        <v>46368.000000000007</v>
      </c>
      <c r="M62" s="107">
        <f>K62*1.2*1.12</f>
        <v>48384.000000000007</v>
      </c>
      <c r="N62" s="107">
        <f>K62*1.12*1.3</f>
        <v>52416.000000000015</v>
      </c>
      <c r="O62" s="123">
        <f>K62*1.35*1.12</f>
        <v>54432.000000000007</v>
      </c>
    </row>
    <row r="63" spans="1:15" ht="15.6" x14ac:dyDescent="0.3">
      <c r="A63" s="171" t="s">
        <v>273</v>
      </c>
      <c r="B63" s="172"/>
      <c r="C63" s="172"/>
      <c r="D63" s="172"/>
      <c r="E63" s="172"/>
      <c r="F63" s="172"/>
      <c r="G63" s="173"/>
      <c r="H63" s="102"/>
      <c r="I63" s="123" t="s">
        <v>362</v>
      </c>
      <c r="J63" s="103">
        <v>5</v>
      </c>
      <c r="K63" s="106">
        <v>38000</v>
      </c>
      <c r="L63" s="103">
        <f t="shared" ref="L63:L68" si="59">K63*1.15*1.12</f>
        <v>48944.000000000007</v>
      </c>
      <c r="M63" s="107">
        <f>K63*1.2*1.12</f>
        <v>51072.000000000007</v>
      </c>
      <c r="N63" s="103">
        <f>K63*1.12*1.3</f>
        <v>55328.000000000015</v>
      </c>
      <c r="O63" s="103">
        <f>K63*1.35*1.12</f>
        <v>57456.000000000007</v>
      </c>
    </row>
    <row r="64" spans="1:15" ht="15.6" x14ac:dyDescent="0.3">
      <c r="A64" s="116" t="s">
        <v>261</v>
      </c>
      <c r="B64" s="117" t="s">
        <v>10</v>
      </c>
      <c r="C64" s="115">
        <v>3500</v>
      </c>
      <c r="D64" s="108">
        <f>C64*1.1*1.18</f>
        <v>4543</v>
      </c>
      <c r="E64" s="108">
        <f t="shared" ref="E64:E65" si="60">C64*1.15*1.18</f>
        <v>4749.4999999999991</v>
      </c>
      <c r="F64" s="108">
        <f>C64*1.25*1.18</f>
        <v>5162.5</v>
      </c>
      <c r="G64" s="108">
        <f>C64*1.3*1.18</f>
        <v>5369</v>
      </c>
      <c r="H64" s="102"/>
      <c r="I64" s="123" t="s">
        <v>372</v>
      </c>
      <c r="J64" s="103">
        <v>5</v>
      </c>
      <c r="K64" s="106">
        <f>28000/1.12</f>
        <v>24999.999999999996</v>
      </c>
      <c r="L64" s="107">
        <f>K64*1.1*1.12</f>
        <v>30800.000000000004</v>
      </c>
      <c r="M64" s="107">
        <f>K64*1.12*1.12</f>
        <v>31360.000000000004</v>
      </c>
      <c r="N64" s="107">
        <f>K64*1.12*1.15</f>
        <v>32199.999999999996</v>
      </c>
      <c r="O64" s="107">
        <f>K64*1.2*1.12</f>
        <v>33599.999999999993</v>
      </c>
    </row>
    <row r="65" spans="1:15" ht="15.6" x14ac:dyDescent="0.3">
      <c r="A65" s="116" t="s">
        <v>262</v>
      </c>
      <c r="B65" s="117" t="s">
        <v>10</v>
      </c>
      <c r="C65" s="115">
        <v>6000</v>
      </c>
      <c r="D65" s="108">
        <f>C65*1.1*1.18</f>
        <v>7788.0000000000009</v>
      </c>
      <c r="E65" s="108">
        <f t="shared" si="60"/>
        <v>8141.9999999999982</v>
      </c>
      <c r="F65" s="108">
        <f>C65*1.25*1.18</f>
        <v>8850</v>
      </c>
      <c r="G65" s="108">
        <f>C65*1.3*1.18</f>
        <v>9204</v>
      </c>
      <c r="H65" s="102"/>
      <c r="I65" s="123" t="s">
        <v>373</v>
      </c>
      <c r="J65" s="123">
        <v>5</v>
      </c>
      <c r="K65" s="134">
        <f>38400/1.27</f>
        <v>30236.220472440946</v>
      </c>
      <c r="L65" s="107">
        <f>K65*1.1*1.12</f>
        <v>37251.023622047251</v>
      </c>
      <c r="M65" s="107">
        <f>K65*1.12*1.12</f>
        <v>37928.314960629934</v>
      </c>
      <c r="N65" s="107">
        <f>K65*1.12*1.15</f>
        <v>38944.251968503937</v>
      </c>
      <c r="O65" s="107">
        <f>K65*1.2*1.12</f>
        <v>40637.480314960638</v>
      </c>
    </row>
    <row r="66" spans="1:15" ht="15.6" x14ac:dyDescent="0.3">
      <c r="A66" s="171" t="s">
        <v>275</v>
      </c>
      <c r="B66" s="172"/>
      <c r="C66" s="172"/>
      <c r="D66" s="172"/>
      <c r="E66" s="172"/>
      <c r="F66" s="172"/>
      <c r="G66" s="173"/>
      <c r="H66" s="102"/>
      <c r="I66" s="123" t="s">
        <v>374</v>
      </c>
      <c r="J66" s="123">
        <v>5</v>
      </c>
      <c r="K66" s="134">
        <f>39000/1.27</f>
        <v>30708.661417322834</v>
      </c>
      <c r="L66" s="107">
        <f>K66*1.1*1.12</f>
        <v>37833.070866141737</v>
      </c>
      <c r="M66" s="107">
        <f>K66*1.12*1.12</f>
        <v>38520.944881889773</v>
      </c>
      <c r="N66" s="107">
        <f>K66*1.12*1.15</f>
        <v>39552.755905511811</v>
      </c>
      <c r="O66" s="107">
        <f>K66*1.2*1.12</f>
        <v>41272.440944881891</v>
      </c>
    </row>
    <row r="67" spans="1:15" ht="78" x14ac:dyDescent="0.3">
      <c r="A67" s="116" t="s">
        <v>288</v>
      </c>
      <c r="B67" s="114" t="s">
        <v>195</v>
      </c>
      <c r="C67" s="115">
        <v>6975</v>
      </c>
      <c r="D67" s="108">
        <f>C67*1.1*1.18</f>
        <v>9053.5500000000011</v>
      </c>
      <c r="E67" s="108">
        <f>C67*1.15*1.18</f>
        <v>9465.0749999999989</v>
      </c>
      <c r="F67" s="108">
        <f>C67*1.25*1.18</f>
        <v>10288.125</v>
      </c>
      <c r="G67" s="108">
        <f>C67*1.3*1.18</f>
        <v>10699.65</v>
      </c>
      <c r="H67" s="102"/>
      <c r="I67" s="123" t="s">
        <v>375</v>
      </c>
      <c r="J67" s="123">
        <v>5</v>
      </c>
      <c r="K67" s="134">
        <f>42200/1.27</f>
        <v>33228.346456692911</v>
      </c>
      <c r="L67" s="107">
        <f>K67*1.1*1.12</f>
        <v>40937.322834645674</v>
      </c>
      <c r="M67" s="107">
        <f>K67*1.12*1.12</f>
        <v>41681.637795275594</v>
      </c>
      <c r="N67" s="107">
        <f>K67*1.12*1.15</f>
        <v>42798.110236220469</v>
      </c>
      <c r="O67" s="107">
        <f>K67*1.2*1.12</f>
        <v>44658.897637795271</v>
      </c>
    </row>
    <row r="68" spans="1:15" ht="15.6" x14ac:dyDescent="0.3">
      <c r="A68" s="164" t="s">
        <v>277</v>
      </c>
      <c r="B68" s="164"/>
      <c r="C68" s="164"/>
      <c r="D68" s="164"/>
      <c r="E68" s="164"/>
      <c r="F68" s="164"/>
      <c r="G68" s="164"/>
      <c r="H68" s="102"/>
      <c r="I68" s="123" t="s">
        <v>363</v>
      </c>
      <c r="J68" s="103">
        <v>5</v>
      </c>
      <c r="K68" s="106">
        <v>40000</v>
      </c>
      <c r="L68" s="121">
        <f t="shared" si="59"/>
        <v>51520.000000000007</v>
      </c>
      <c r="M68" s="107">
        <f>K68*1.2*1.12</f>
        <v>53760.000000000007</v>
      </c>
      <c r="N68" s="121">
        <f>K68*1.12*1.3</f>
        <v>58240.000000000015</v>
      </c>
      <c r="O68" s="121">
        <f>K68*1.35*1.12</f>
        <v>60480.000000000007</v>
      </c>
    </row>
    <row r="69" spans="1:15" ht="15.6" x14ac:dyDescent="0.3">
      <c r="A69" s="114" t="s">
        <v>202</v>
      </c>
      <c r="B69" s="122" t="s">
        <v>193</v>
      </c>
      <c r="C69" s="161">
        <f>80/1.18</f>
        <v>67.79661016949153</v>
      </c>
      <c r="D69" s="108">
        <f>C69*1.05*1.18</f>
        <v>84</v>
      </c>
      <c r="E69" s="108">
        <f>C69*1.1*1.18</f>
        <v>88.000000000000014</v>
      </c>
      <c r="F69" s="108">
        <f>C69*1.15*1.18</f>
        <v>92</v>
      </c>
      <c r="G69" s="108">
        <f>C69*1.2*1.18</f>
        <v>95.999999999999986</v>
      </c>
      <c r="H69" s="102"/>
      <c r="I69" s="123" t="s">
        <v>368</v>
      </c>
      <c r="J69" s="123">
        <v>5</v>
      </c>
      <c r="K69" s="134">
        <f>28400/1.12</f>
        <v>25357.142857142855</v>
      </c>
      <c r="L69" s="107">
        <f>K69*1.1*1.12</f>
        <v>31240</v>
      </c>
      <c r="M69" s="107">
        <f>K69*1.12*1.12</f>
        <v>31808.000000000004</v>
      </c>
      <c r="N69" s="107">
        <f>K69*1.12*1.15</f>
        <v>32659.999999999996</v>
      </c>
      <c r="O69" s="107">
        <f>K69*1.2*1.12</f>
        <v>34080</v>
      </c>
    </row>
    <row r="70" spans="1:15" ht="15.6" x14ac:dyDescent="0.3">
      <c r="A70" s="114" t="s">
        <v>196</v>
      </c>
      <c r="B70" s="122" t="s">
        <v>193</v>
      </c>
      <c r="C70" s="161">
        <f>106/1.18</f>
        <v>89.830508474576277</v>
      </c>
      <c r="D70" s="108">
        <f>C70*1.05*1.18</f>
        <v>111.30000000000001</v>
      </c>
      <c r="E70" s="108">
        <f>C70*1.1*1.18</f>
        <v>116.60000000000001</v>
      </c>
      <c r="F70" s="108">
        <f>C70*1.15*1.18</f>
        <v>121.89999999999999</v>
      </c>
      <c r="G70" s="108">
        <f>C70*1.2*1.18</f>
        <v>127.2</v>
      </c>
      <c r="H70" s="102"/>
      <c r="I70" s="123" t="s">
        <v>376</v>
      </c>
      <c r="J70" s="103">
        <v>5</v>
      </c>
      <c r="K70" s="134">
        <f>52300/1.27</f>
        <v>41181.102362204721</v>
      </c>
      <c r="L70" s="107">
        <f>K70*1.1*1.12</f>
        <v>50735.118110236224</v>
      </c>
      <c r="M70" s="107">
        <f>K70*1.12*1.12</f>
        <v>51657.574803149611</v>
      </c>
      <c r="N70" s="107">
        <f>K70*1.12*1.15</f>
        <v>53041.259842519677</v>
      </c>
      <c r="O70" s="107">
        <f>K70*1.2*1.12</f>
        <v>55347.401574803152</v>
      </c>
    </row>
    <row r="71" spans="1:15" ht="15.6" x14ac:dyDescent="0.3">
      <c r="A71" s="116" t="s">
        <v>197</v>
      </c>
      <c r="B71" s="122" t="s">
        <v>193</v>
      </c>
      <c r="C71" s="161">
        <f>170/1.18</f>
        <v>144.06779661016949</v>
      </c>
      <c r="D71" s="108">
        <f>C71*1.05*1.18</f>
        <v>178.5</v>
      </c>
      <c r="E71" s="108">
        <f>C71*1.1*1.18</f>
        <v>187.00000000000003</v>
      </c>
      <c r="F71" s="108">
        <f>C71*1.15*1.18</f>
        <v>195.49999999999997</v>
      </c>
      <c r="G71" s="108">
        <f>C71*1.2*1.18</f>
        <v>203.99999999999997</v>
      </c>
      <c r="H71" s="102"/>
      <c r="I71" s="123" t="s">
        <v>364</v>
      </c>
      <c r="J71" s="103">
        <v>5</v>
      </c>
      <c r="K71" s="106">
        <v>33000</v>
      </c>
      <c r="L71" s="121">
        <f t="shared" ref="L71:L74" si="61">K71*1.15*1.12</f>
        <v>42504.000000000007</v>
      </c>
      <c r="M71" s="107">
        <f t="shared" ref="M71:M73" si="62">K71*1.2*1.12</f>
        <v>44352.000000000007</v>
      </c>
      <c r="N71" s="121">
        <f t="shared" ref="N71:N74" si="63">K71*1.12*1.3</f>
        <v>48048</v>
      </c>
      <c r="O71" s="121">
        <f t="shared" ref="O71:O74" si="64">K71*1.35*1.12</f>
        <v>49896.000000000007</v>
      </c>
    </row>
    <row r="72" spans="1:15" ht="15.6" x14ac:dyDescent="0.3">
      <c r="A72" s="164" t="s">
        <v>278</v>
      </c>
      <c r="B72" s="164"/>
      <c r="C72" s="164"/>
      <c r="D72" s="164"/>
      <c r="E72" s="164"/>
      <c r="F72" s="164"/>
      <c r="G72" s="164"/>
      <c r="H72" s="102"/>
      <c r="I72" s="123" t="s">
        <v>369</v>
      </c>
      <c r="J72" s="123">
        <v>5</v>
      </c>
      <c r="K72" s="134">
        <f>35850/1.12</f>
        <v>32008.928571428569</v>
      </c>
      <c r="L72" s="107">
        <f>K72*1.1*1.12</f>
        <v>39435</v>
      </c>
      <c r="M72" s="107">
        <f>K72*1.12*1.12</f>
        <v>40152.000000000007</v>
      </c>
      <c r="N72" s="107">
        <f>K72*1.12*1.15</f>
        <v>41227.5</v>
      </c>
      <c r="O72" s="107">
        <f>K72*1.2*1.12</f>
        <v>43020</v>
      </c>
    </row>
    <row r="73" spans="1:15" ht="15.6" x14ac:dyDescent="0.3">
      <c r="A73" s="116" t="s">
        <v>198</v>
      </c>
      <c r="B73" s="117" t="s">
        <v>193</v>
      </c>
      <c r="C73" s="115">
        <v>20</v>
      </c>
      <c r="D73" s="108">
        <f>C73*1.05*1.18</f>
        <v>24.779999999999998</v>
      </c>
      <c r="E73" s="108">
        <f>C73*1.1*1.18</f>
        <v>25.959999999999997</v>
      </c>
      <c r="F73" s="108">
        <f>C73*1.15*1.18</f>
        <v>27.139999999999997</v>
      </c>
      <c r="G73" s="108">
        <f>C73*1.2*1.18</f>
        <v>28.32</v>
      </c>
      <c r="H73" s="102"/>
      <c r="I73" s="123" t="s">
        <v>365</v>
      </c>
      <c r="J73" s="103">
        <v>5</v>
      </c>
      <c r="K73" s="106">
        <v>36000</v>
      </c>
      <c r="L73" s="121">
        <f t="shared" si="61"/>
        <v>46368.000000000007</v>
      </c>
      <c r="M73" s="107">
        <f t="shared" si="62"/>
        <v>48384.000000000007</v>
      </c>
      <c r="N73" s="121">
        <f t="shared" si="63"/>
        <v>52416.000000000015</v>
      </c>
      <c r="O73" s="121">
        <f t="shared" si="64"/>
        <v>54432.000000000007</v>
      </c>
    </row>
    <row r="74" spans="1:15" ht="15.6" x14ac:dyDescent="0.3">
      <c r="A74" s="114" t="s">
        <v>199</v>
      </c>
      <c r="B74" s="114" t="s">
        <v>193</v>
      </c>
      <c r="C74" s="115">
        <v>22</v>
      </c>
      <c r="D74" s="108">
        <f>C74*1.05*1.18</f>
        <v>27.257999999999999</v>
      </c>
      <c r="E74" s="108">
        <f>C74*1.1*1.18</f>
        <v>28.556000000000001</v>
      </c>
      <c r="F74" s="108">
        <f>C74*1.15*1.18</f>
        <v>29.853999999999996</v>
      </c>
      <c r="G74" s="108">
        <f>C74*1.2*1.18</f>
        <v>31.151999999999997</v>
      </c>
      <c r="H74" s="102"/>
      <c r="I74" s="123" t="s">
        <v>366</v>
      </c>
      <c r="J74" s="103">
        <v>5</v>
      </c>
      <c r="K74" s="106">
        <v>38000</v>
      </c>
      <c r="L74" s="121">
        <f t="shared" si="61"/>
        <v>48944.000000000007</v>
      </c>
      <c r="M74" s="107">
        <f>K74*1.2*1.12</f>
        <v>51072.000000000007</v>
      </c>
      <c r="N74" s="121">
        <f t="shared" si="63"/>
        <v>55328.000000000015</v>
      </c>
      <c r="O74" s="121">
        <f t="shared" si="64"/>
        <v>57456.000000000007</v>
      </c>
    </row>
    <row r="75" spans="1:15" ht="15.6" x14ac:dyDescent="0.3">
      <c r="A75" s="114" t="s">
        <v>200</v>
      </c>
      <c r="B75" s="114" t="s">
        <v>193</v>
      </c>
      <c r="C75" s="115">
        <v>25</v>
      </c>
      <c r="D75" s="108">
        <f>C75*1.05*1.18</f>
        <v>30.974999999999998</v>
      </c>
      <c r="E75" s="108">
        <f>C75*1.1*1.18</f>
        <v>32.450000000000003</v>
      </c>
      <c r="F75" s="108">
        <f>C75*1.15*1.18</f>
        <v>33.924999999999997</v>
      </c>
      <c r="G75" s="108">
        <f>C75*1.2*1.18</f>
        <v>35.4</v>
      </c>
      <c r="H75" s="102"/>
      <c r="I75" s="123" t="s">
        <v>377</v>
      </c>
      <c r="J75" s="123">
        <v>5</v>
      </c>
      <c r="K75" s="134">
        <f>40500/1.27</f>
        <v>31889.763779527559</v>
      </c>
      <c r="L75" s="107">
        <f>K75*1.1*1.12</f>
        <v>39288.188976377955</v>
      </c>
      <c r="M75" s="107">
        <f>K75*1.12*1.12</f>
        <v>40002.519685039384</v>
      </c>
      <c r="N75" s="107">
        <f>K75*1.12*1.15</f>
        <v>41074.015748031503</v>
      </c>
      <c r="O75" s="107">
        <f>K75*1.2*1.12</f>
        <v>42859.842519685044</v>
      </c>
    </row>
    <row r="76" spans="1:15" ht="15.6" x14ac:dyDescent="0.3">
      <c r="A76" s="168" t="s">
        <v>279</v>
      </c>
      <c r="B76" s="169"/>
      <c r="C76" s="169"/>
      <c r="D76" s="169"/>
      <c r="E76" s="169"/>
      <c r="F76" s="169"/>
      <c r="G76" s="170"/>
      <c r="H76" s="102"/>
      <c r="I76" s="123" t="s">
        <v>370</v>
      </c>
      <c r="J76" s="123">
        <v>5</v>
      </c>
      <c r="K76" s="134">
        <f>39000/1.12</f>
        <v>34821.428571428565</v>
      </c>
      <c r="L76" s="107">
        <f>K76*1.1*1.12</f>
        <v>42900</v>
      </c>
      <c r="M76" s="107">
        <f>K76*1.12*1.12</f>
        <v>43680.000000000007</v>
      </c>
      <c r="N76" s="107">
        <f>K76*1.12*1.15</f>
        <v>44850</v>
      </c>
      <c r="O76" s="107">
        <f>K76*1.2*1.12</f>
        <v>46799.999999999993</v>
      </c>
    </row>
    <row r="77" spans="1:15" ht="46.8" x14ac:dyDescent="0.3">
      <c r="A77" s="116" t="s">
        <v>201</v>
      </c>
      <c r="B77" s="114" t="s">
        <v>10</v>
      </c>
      <c r="C77" s="115">
        <f>570+175+240+185+265+67+63</f>
        <v>1565</v>
      </c>
      <c r="D77" s="108">
        <f t="shared" ref="D77:D82" si="65">C77*1.1*1.18</f>
        <v>2031.3700000000001</v>
      </c>
      <c r="E77" s="108">
        <f t="shared" ref="E77:E82" si="66">C77*1.15*1.18</f>
        <v>2123.7049999999995</v>
      </c>
      <c r="F77" s="108">
        <f t="shared" ref="F77:F82" si="67">C77*1.25*1.18</f>
        <v>2308.375</v>
      </c>
      <c r="G77" s="108">
        <f t="shared" ref="G77:G82" si="68">C77*1.3*1.18</f>
        <v>2400.71</v>
      </c>
      <c r="H77" s="102"/>
      <c r="I77" s="123" t="s">
        <v>371</v>
      </c>
      <c r="J77" s="123">
        <v>5</v>
      </c>
      <c r="K77" s="134">
        <f>50100/1.12</f>
        <v>44732.142857142855</v>
      </c>
      <c r="L77" s="107">
        <f>K77*1.1*1.12</f>
        <v>55110.000000000007</v>
      </c>
      <c r="M77" s="107">
        <f>K77*1.12*1.12</f>
        <v>56112.000000000007</v>
      </c>
      <c r="N77" s="107">
        <f>K77*1.12*1.15</f>
        <v>57614.999999999993</v>
      </c>
      <c r="O77" s="107">
        <f>K77*1.2*1.12</f>
        <v>60120.000000000007</v>
      </c>
    </row>
    <row r="78" spans="1:15" ht="46.8" x14ac:dyDescent="0.3">
      <c r="A78" s="116" t="s">
        <v>204</v>
      </c>
      <c r="B78" s="117" t="s">
        <v>10</v>
      </c>
      <c r="C78" s="115">
        <f>680+240+240+185+415+97+95</f>
        <v>1952</v>
      </c>
      <c r="D78" s="108">
        <f t="shared" si="65"/>
        <v>2533.6960000000004</v>
      </c>
      <c r="E78" s="108">
        <f t="shared" si="66"/>
        <v>2648.8639999999996</v>
      </c>
      <c r="F78" s="108">
        <f t="shared" si="67"/>
        <v>2879.2</v>
      </c>
      <c r="G78" s="108">
        <f t="shared" si="68"/>
        <v>2994.3679999999999</v>
      </c>
      <c r="H78" s="102"/>
      <c r="I78" s="123" t="s">
        <v>378</v>
      </c>
      <c r="J78" s="123">
        <v>5</v>
      </c>
      <c r="K78" s="134">
        <f>49300/1.27</f>
        <v>38818.897637795279</v>
      </c>
      <c r="L78" s="107">
        <f>K78*1.1*1.12</f>
        <v>47824.88188976379</v>
      </c>
      <c r="M78" s="107">
        <f>K78*1.12*1.12</f>
        <v>48694.42519685041</v>
      </c>
      <c r="N78" s="107">
        <f>K78*1.12*1.15</f>
        <v>49998.740157480323</v>
      </c>
      <c r="O78" s="107">
        <f>K78*1.2*1.12</f>
        <v>52172.598425196855</v>
      </c>
    </row>
    <row r="79" spans="1:15" ht="46.8" x14ac:dyDescent="0.3">
      <c r="A79" s="118" t="s">
        <v>205</v>
      </c>
      <c r="B79" s="114" t="s">
        <v>10</v>
      </c>
      <c r="C79" s="115">
        <f>915+290+240+185+425+110+115</f>
        <v>2280</v>
      </c>
      <c r="D79" s="108">
        <f t="shared" si="65"/>
        <v>2959.44</v>
      </c>
      <c r="E79" s="108">
        <f t="shared" si="66"/>
        <v>3093.96</v>
      </c>
      <c r="F79" s="108">
        <f t="shared" si="67"/>
        <v>3363</v>
      </c>
      <c r="G79" s="108">
        <f t="shared" si="68"/>
        <v>3497.52</v>
      </c>
      <c r="H79" s="102"/>
      <c r="I79" s="123" t="s">
        <v>388</v>
      </c>
      <c r="J79" s="103">
        <v>7.5</v>
      </c>
      <c r="K79" s="134">
        <f>50300/1.27</f>
        <v>39606.299212598424</v>
      </c>
      <c r="L79" s="107">
        <f>K79*1.1*1.12</f>
        <v>48794.960629921268</v>
      </c>
      <c r="M79" s="107">
        <f>K79*1.12*1.12</f>
        <v>49682.141732283475</v>
      </c>
      <c r="N79" s="107">
        <f>K79*1.12*1.15</f>
        <v>51012.913385826774</v>
      </c>
      <c r="O79" s="107">
        <f>K79*1.2*1.12</f>
        <v>53230.866141732287</v>
      </c>
    </row>
    <row r="80" spans="1:15" ht="46.8" x14ac:dyDescent="0.3">
      <c r="A80" s="118" t="s">
        <v>206</v>
      </c>
      <c r="B80" s="114" t="s">
        <v>10</v>
      </c>
      <c r="C80" s="115">
        <f>1425+380+240+185+600+180+195</f>
        <v>3205</v>
      </c>
      <c r="D80" s="108">
        <f t="shared" si="65"/>
        <v>4160.09</v>
      </c>
      <c r="E80" s="108">
        <f t="shared" si="66"/>
        <v>4349.1849999999995</v>
      </c>
      <c r="F80" s="108">
        <f t="shared" si="67"/>
        <v>4727.375</v>
      </c>
      <c r="G80" s="108">
        <f t="shared" si="68"/>
        <v>4916.4699999999993</v>
      </c>
      <c r="H80" s="102"/>
      <c r="I80" s="123" t="s">
        <v>379</v>
      </c>
      <c r="J80" s="111">
        <v>7.5</v>
      </c>
      <c r="K80" s="106">
        <v>36500</v>
      </c>
      <c r="L80" s="121">
        <f t="shared" ref="L80:L87" si="69">K80*1.15*1.12</f>
        <v>47012.000000000007</v>
      </c>
      <c r="M80" s="107">
        <f>K80*1.2*1.12</f>
        <v>49056.000000000007</v>
      </c>
      <c r="N80" s="121">
        <f>K80*1.12*1.3</f>
        <v>53144.000000000015</v>
      </c>
      <c r="O80" s="121">
        <f>K80*1.35*1.12</f>
        <v>55188.000000000007</v>
      </c>
    </row>
    <row r="81" spans="1:15" ht="46.8" x14ac:dyDescent="0.3">
      <c r="A81" s="116" t="s">
        <v>207</v>
      </c>
      <c r="B81" s="114" t="s">
        <v>10</v>
      </c>
      <c r="C81" s="115">
        <f>850+340+380+360+930+300+350</f>
        <v>3510</v>
      </c>
      <c r="D81" s="108">
        <f t="shared" si="65"/>
        <v>4555.9800000000005</v>
      </c>
      <c r="E81" s="108">
        <f t="shared" si="66"/>
        <v>4763.0699999999988</v>
      </c>
      <c r="F81" s="108">
        <f t="shared" si="67"/>
        <v>5177.25</v>
      </c>
      <c r="G81" s="108">
        <f t="shared" si="68"/>
        <v>5384.34</v>
      </c>
      <c r="H81" s="102"/>
      <c r="I81" s="123" t="s">
        <v>389</v>
      </c>
      <c r="J81" s="123">
        <v>7.5</v>
      </c>
      <c r="K81" s="134">
        <f>49400/1.27</f>
        <v>38897.637795275587</v>
      </c>
      <c r="L81" s="107">
        <f>K81*1.1*1.12</f>
        <v>47921.889763779531</v>
      </c>
      <c r="M81" s="107">
        <f>K81*1.12*1.12</f>
        <v>48793.196850393702</v>
      </c>
      <c r="N81" s="107">
        <f>K81*1.12*1.15</f>
        <v>50100.157480314956</v>
      </c>
      <c r="O81" s="107">
        <f>K81*1.2*1.12</f>
        <v>52278.425196850396</v>
      </c>
    </row>
    <row r="82" spans="1:15" ht="46.8" x14ac:dyDescent="0.3">
      <c r="A82" s="116" t="s">
        <v>208</v>
      </c>
      <c r="B82" s="117" t="s">
        <v>10</v>
      </c>
      <c r="C82" s="115">
        <f>1050+385+380+360+1420+350+400</f>
        <v>4345</v>
      </c>
      <c r="D82" s="108">
        <f t="shared" si="65"/>
        <v>5639.8099999999995</v>
      </c>
      <c r="E82" s="108">
        <f t="shared" si="66"/>
        <v>5896.165</v>
      </c>
      <c r="F82" s="108">
        <f t="shared" si="67"/>
        <v>6408.875</v>
      </c>
      <c r="G82" s="108">
        <f t="shared" si="68"/>
        <v>6665.23</v>
      </c>
      <c r="H82" s="102"/>
      <c r="I82" s="123" t="s">
        <v>380</v>
      </c>
      <c r="J82" s="111">
        <v>7.5</v>
      </c>
      <c r="K82" s="106">
        <v>38500</v>
      </c>
      <c r="L82" s="121">
        <f t="shared" si="69"/>
        <v>49588.000000000007</v>
      </c>
      <c r="M82" s="107">
        <f>K82*1.2*1.12</f>
        <v>51744.000000000007</v>
      </c>
      <c r="N82" s="121">
        <f>K82*1.12*1.3</f>
        <v>56056.000000000015</v>
      </c>
      <c r="O82" s="121">
        <f>K82*1.35*1.12</f>
        <v>58212.000000000007</v>
      </c>
    </row>
    <row r="83" spans="1:15" ht="15.6" x14ac:dyDescent="0.3">
      <c r="A83" s="168" t="s">
        <v>280</v>
      </c>
      <c r="B83" s="169"/>
      <c r="C83" s="169"/>
      <c r="D83" s="169"/>
      <c r="E83" s="169"/>
      <c r="F83" s="169"/>
      <c r="G83" s="170"/>
      <c r="H83" s="102"/>
      <c r="I83" s="123" t="s">
        <v>390</v>
      </c>
      <c r="J83" s="103">
        <v>7.5</v>
      </c>
      <c r="K83" s="134">
        <f>57000/1.27</f>
        <v>44881.889763779523</v>
      </c>
      <c r="L83" s="107">
        <f>K83*1.1*1.12</f>
        <v>55294.488188976378</v>
      </c>
      <c r="M83" s="107">
        <f>K83*1.12*1.12</f>
        <v>56299.842519685044</v>
      </c>
      <c r="N83" s="107">
        <f>K83*1.12*1.15</f>
        <v>57807.874015748028</v>
      </c>
      <c r="O83" s="107">
        <f>K83*1.2*1.12</f>
        <v>60321.259842519685</v>
      </c>
    </row>
    <row r="84" spans="1:15" ht="15.6" x14ac:dyDescent="0.3">
      <c r="A84" s="119" t="s">
        <v>203</v>
      </c>
      <c r="B84" s="117" t="s">
        <v>193</v>
      </c>
      <c r="C84" s="120">
        <f>55/1.2</f>
        <v>45.833333333333336</v>
      </c>
      <c r="D84" s="108">
        <f t="shared" ref="D84:D101" si="70">C84*1.05*1.18</f>
        <v>56.787500000000009</v>
      </c>
      <c r="E84" s="108">
        <f t="shared" ref="E84:E101" si="71">C84*1.1*1.18</f>
        <v>59.491666666666667</v>
      </c>
      <c r="F84" s="108">
        <f t="shared" ref="F84:F101" si="72">C84*1.15*1.18</f>
        <v>62.195833333333326</v>
      </c>
      <c r="G84" s="108">
        <f t="shared" ref="G84:G101" si="73">C84*1.2*1.18</f>
        <v>64.899999999999991</v>
      </c>
      <c r="H84" s="102"/>
      <c r="I84" s="123" t="s">
        <v>381</v>
      </c>
      <c r="J84" s="111">
        <v>7.5</v>
      </c>
      <c r="K84" s="106">
        <v>40500</v>
      </c>
      <c r="L84" s="121">
        <f t="shared" si="69"/>
        <v>52164.000000000007</v>
      </c>
      <c r="M84" s="107">
        <f t="shared" ref="M84:M85" si="74">K84*1.2*1.12</f>
        <v>54432.000000000007</v>
      </c>
      <c r="N84" s="121">
        <f t="shared" ref="N84:N85" si="75">K84*1.12*1.3</f>
        <v>58968.000000000015</v>
      </c>
      <c r="O84" s="121">
        <f>K84*1.35*1.12</f>
        <v>61236.000000000007</v>
      </c>
    </row>
    <row r="85" spans="1:15" ht="15.6" x14ac:dyDescent="0.3">
      <c r="A85" s="119" t="s">
        <v>210</v>
      </c>
      <c r="B85" s="117" t="s">
        <v>193</v>
      </c>
      <c r="C85" s="120">
        <f>63/1.2</f>
        <v>52.5</v>
      </c>
      <c r="D85" s="108">
        <f t="shared" si="70"/>
        <v>65.047499999999999</v>
      </c>
      <c r="E85" s="108">
        <f t="shared" si="71"/>
        <v>68.14500000000001</v>
      </c>
      <c r="F85" s="108">
        <f t="shared" si="72"/>
        <v>71.242499999999993</v>
      </c>
      <c r="G85" s="108">
        <f t="shared" si="73"/>
        <v>74.339999999999989</v>
      </c>
      <c r="H85" s="102"/>
      <c r="I85" s="123" t="s">
        <v>382</v>
      </c>
      <c r="J85" s="111">
        <v>7.5</v>
      </c>
      <c r="K85" s="106">
        <v>32500</v>
      </c>
      <c r="L85" s="121">
        <f t="shared" si="69"/>
        <v>41860.000000000007</v>
      </c>
      <c r="M85" s="107">
        <f t="shared" si="74"/>
        <v>43680.000000000007</v>
      </c>
      <c r="N85" s="121">
        <f t="shared" si="75"/>
        <v>47320</v>
      </c>
      <c r="O85" s="121">
        <f>K85*1.35*1.12</f>
        <v>49140.000000000007</v>
      </c>
    </row>
    <row r="86" spans="1:15" ht="15.6" x14ac:dyDescent="0.3">
      <c r="A86" s="119" t="s">
        <v>209</v>
      </c>
      <c r="B86" s="117" t="s">
        <v>193</v>
      </c>
      <c r="C86" s="120">
        <f>73/1.2</f>
        <v>60.833333333333336</v>
      </c>
      <c r="D86" s="108">
        <f t="shared" si="70"/>
        <v>75.372500000000002</v>
      </c>
      <c r="E86" s="108">
        <f t="shared" si="71"/>
        <v>78.961666666666673</v>
      </c>
      <c r="F86" s="108">
        <f t="shared" si="72"/>
        <v>82.55083333333333</v>
      </c>
      <c r="G86" s="108">
        <f t="shared" si="73"/>
        <v>86.14</v>
      </c>
      <c r="H86" s="102"/>
      <c r="I86" s="123" t="s">
        <v>385</v>
      </c>
      <c r="J86" s="111">
        <v>7.5</v>
      </c>
      <c r="K86" s="134">
        <f>42850/1.12</f>
        <v>38258.928571428565</v>
      </c>
      <c r="L86" s="107">
        <f>K86*1.1*1.12</f>
        <v>47135</v>
      </c>
      <c r="M86" s="107">
        <f>K86*1.12*1.12</f>
        <v>47992.000000000007</v>
      </c>
      <c r="N86" s="107">
        <f>K86*1.12*1.15</f>
        <v>49277.499999999993</v>
      </c>
      <c r="O86" s="107">
        <f>K86*1.2*1.12</f>
        <v>51419.999999999993</v>
      </c>
    </row>
    <row r="87" spans="1:15" ht="15.6" x14ac:dyDescent="0.3">
      <c r="A87" s="119" t="s">
        <v>211</v>
      </c>
      <c r="B87" s="117" t="s">
        <v>193</v>
      </c>
      <c r="C87" s="120">
        <f>67/1.2</f>
        <v>55.833333333333336</v>
      </c>
      <c r="D87" s="108">
        <f t="shared" si="70"/>
        <v>69.177500000000009</v>
      </c>
      <c r="E87" s="108">
        <f t="shared" si="71"/>
        <v>72.471666666666664</v>
      </c>
      <c r="F87" s="108">
        <f t="shared" si="72"/>
        <v>75.765833333333319</v>
      </c>
      <c r="G87" s="108">
        <f t="shared" si="73"/>
        <v>79.06</v>
      </c>
      <c r="H87" s="102"/>
      <c r="I87" s="123" t="s">
        <v>383</v>
      </c>
      <c r="J87" s="111">
        <v>7.5</v>
      </c>
      <c r="K87" s="106">
        <v>37500</v>
      </c>
      <c r="L87" s="121">
        <f t="shared" si="69"/>
        <v>48300.000000000007</v>
      </c>
      <c r="M87" s="107">
        <f>K87*1.2*1.12</f>
        <v>50400.000000000007</v>
      </c>
      <c r="N87" s="121">
        <f>K87*1.12*1.3</f>
        <v>54600.000000000015</v>
      </c>
      <c r="O87" s="121">
        <f>K87*1.35*1.12</f>
        <v>56700.000000000007</v>
      </c>
    </row>
    <row r="88" spans="1:15" ht="15.6" x14ac:dyDescent="0.3">
      <c r="A88" s="119" t="s">
        <v>212</v>
      </c>
      <c r="B88" s="117" t="s">
        <v>193</v>
      </c>
      <c r="C88" s="120">
        <f>74/1.2</f>
        <v>61.666666666666671</v>
      </c>
      <c r="D88" s="108">
        <f t="shared" si="70"/>
        <v>76.405000000000015</v>
      </c>
      <c r="E88" s="108">
        <f t="shared" si="71"/>
        <v>80.043333333333337</v>
      </c>
      <c r="F88" s="108">
        <f t="shared" si="72"/>
        <v>83.681666666666672</v>
      </c>
      <c r="G88" s="108">
        <f t="shared" si="73"/>
        <v>87.32</v>
      </c>
      <c r="H88" s="102"/>
      <c r="I88" s="123" t="s">
        <v>384</v>
      </c>
      <c r="J88" s="111">
        <v>7.5</v>
      </c>
      <c r="K88" s="134">
        <f>49500/1.12</f>
        <v>44196.428571428565</v>
      </c>
      <c r="L88" s="107">
        <f t="shared" ref="L88:L93" si="76">K88*1.1*1.12</f>
        <v>54450.000000000007</v>
      </c>
      <c r="M88" s="107">
        <f t="shared" ref="M88:M93" si="77">K88*1.12*1.12</f>
        <v>55440.000000000007</v>
      </c>
      <c r="N88" s="107">
        <f t="shared" ref="N88:N93" si="78">K88*1.12*1.15</f>
        <v>56924.999999999993</v>
      </c>
      <c r="O88" s="107">
        <f t="shared" ref="O88:O93" si="79">K88*1.2*1.12</f>
        <v>59399.999999999993</v>
      </c>
    </row>
    <row r="89" spans="1:15" ht="15.6" x14ac:dyDescent="0.3">
      <c r="A89" s="119" t="s">
        <v>213</v>
      </c>
      <c r="B89" s="117" t="s">
        <v>193</v>
      </c>
      <c r="C89" s="120">
        <f>93/1.05</f>
        <v>88.571428571428569</v>
      </c>
      <c r="D89" s="108">
        <f t="shared" si="70"/>
        <v>109.74</v>
      </c>
      <c r="E89" s="108">
        <f t="shared" si="71"/>
        <v>114.96571428571428</v>
      </c>
      <c r="F89" s="108">
        <f t="shared" si="72"/>
        <v>120.19142857142856</v>
      </c>
      <c r="G89" s="108">
        <f t="shared" si="73"/>
        <v>125.41714285714284</v>
      </c>
      <c r="H89" s="102"/>
      <c r="I89" s="123" t="s">
        <v>391</v>
      </c>
      <c r="J89" s="111">
        <v>7.5</v>
      </c>
      <c r="K89" s="134">
        <f>53600/1.27</f>
        <v>42204.72440944882</v>
      </c>
      <c r="L89" s="107">
        <f t="shared" si="76"/>
        <v>51996.220472440953</v>
      </c>
      <c r="M89" s="107">
        <f t="shared" si="77"/>
        <v>52941.60629921261</v>
      </c>
      <c r="N89" s="107">
        <f t="shared" si="78"/>
        <v>54359.685039370081</v>
      </c>
      <c r="O89" s="107">
        <f t="shared" si="79"/>
        <v>56723.149606299223</v>
      </c>
    </row>
    <row r="90" spans="1:15" ht="15.6" x14ac:dyDescent="0.3">
      <c r="A90" s="119" t="s">
        <v>214</v>
      </c>
      <c r="B90" s="117" t="s">
        <v>193</v>
      </c>
      <c r="C90" s="120">
        <f>110/1.2</f>
        <v>91.666666666666671</v>
      </c>
      <c r="D90" s="108">
        <f t="shared" si="70"/>
        <v>113.57500000000002</v>
      </c>
      <c r="E90" s="108">
        <f t="shared" si="71"/>
        <v>118.98333333333333</v>
      </c>
      <c r="F90" s="108">
        <f t="shared" si="72"/>
        <v>124.39166666666665</v>
      </c>
      <c r="G90" s="108">
        <f t="shared" si="73"/>
        <v>129.79999999999998</v>
      </c>
      <c r="H90" s="102"/>
      <c r="I90" s="123" t="s">
        <v>386</v>
      </c>
      <c r="J90" s="111">
        <v>7.5</v>
      </c>
      <c r="K90" s="134">
        <f>55650/1.12</f>
        <v>49687.499999999993</v>
      </c>
      <c r="L90" s="107">
        <f t="shared" si="76"/>
        <v>61215.000000000007</v>
      </c>
      <c r="M90" s="107">
        <f t="shared" si="77"/>
        <v>62328.000000000007</v>
      </c>
      <c r="N90" s="107">
        <f t="shared" si="78"/>
        <v>63997.499999999993</v>
      </c>
      <c r="O90" s="107">
        <f t="shared" si="79"/>
        <v>66779.999999999985</v>
      </c>
    </row>
    <row r="91" spans="1:15" ht="15.6" x14ac:dyDescent="0.3">
      <c r="A91" s="119" t="s">
        <v>215</v>
      </c>
      <c r="B91" s="117" t="s">
        <v>193</v>
      </c>
      <c r="C91" s="120">
        <f>94/1.2</f>
        <v>78.333333333333343</v>
      </c>
      <c r="D91" s="108">
        <f t="shared" si="70"/>
        <v>97.055000000000007</v>
      </c>
      <c r="E91" s="108">
        <f t="shared" si="71"/>
        <v>101.67666666666669</v>
      </c>
      <c r="F91" s="108">
        <f t="shared" si="72"/>
        <v>106.29833333333333</v>
      </c>
      <c r="G91" s="108">
        <f t="shared" si="73"/>
        <v>110.92000000000002</v>
      </c>
      <c r="H91" s="102"/>
      <c r="I91" s="123" t="s">
        <v>392</v>
      </c>
      <c r="J91" s="111">
        <v>7.5</v>
      </c>
      <c r="K91" s="134">
        <f>53600/1.27</f>
        <v>42204.72440944882</v>
      </c>
      <c r="L91" s="107">
        <f t="shared" si="76"/>
        <v>51996.220472440953</v>
      </c>
      <c r="M91" s="107">
        <f t="shared" si="77"/>
        <v>52941.60629921261</v>
      </c>
      <c r="N91" s="107">
        <f t="shared" si="78"/>
        <v>54359.685039370081</v>
      </c>
      <c r="O91" s="107">
        <f t="shared" si="79"/>
        <v>56723.149606299223</v>
      </c>
    </row>
    <row r="92" spans="1:15" ht="15.6" x14ac:dyDescent="0.3">
      <c r="A92" s="119" t="s">
        <v>216</v>
      </c>
      <c r="B92" s="117" t="s">
        <v>193</v>
      </c>
      <c r="C92" s="120">
        <f>110/1.2</f>
        <v>91.666666666666671</v>
      </c>
      <c r="D92" s="108">
        <f t="shared" si="70"/>
        <v>113.57500000000002</v>
      </c>
      <c r="E92" s="108">
        <f t="shared" si="71"/>
        <v>118.98333333333333</v>
      </c>
      <c r="F92" s="108">
        <f t="shared" si="72"/>
        <v>124.39166666666665</v>
      </c>
      <c r="G92" s="108">
        <f t="shared" si="73"/>
        <v>129.79999999999998</v>
      </c>
      <c r="H92" s="102"/>
      <c r="I92" s="123" t="s">
        <v>387</v>
      </c>
      <c r="J92" s="111">
        <v>7.5</v>
      </c>
      <c r="K92" s="134">
        <f>74450/1.12</f>
        <v>66473.214285714275</v>
      </c>
      <c r="L92" s="107">
        <f t="shared" si="76"/>
        <v>81895</v>
      </c>
      <c r="M92" s="107">
        <f t="shared" si="77"/>
        <v>83384.000000000015</v>
      </c>
      <c r="N92" s="107">
        <f t="shared" si="78"/>
        <v>85617.5</v>
      </c>
      <c r="O92" s="107">
        <f t="shared" si="79"/>
        <v>89340</v>
      </c>
    </row>
    <row r="93" spans="1:15" ht="15.6" x14ac:dyDescent="0.3">
      <c r="A93" s="119" t="s">
        <v>217</v>
      </c>
      <c r="B93" s="117" t="s">
        <v>193</v>
      </c>
      <c r="C93" s="120">
        <f>145/1.2</f>
        <v>120.83333333333334</v>
      </c>
      <c r="D93" s="108">
        <f t="shared" si="70"/>
        <v>149.71250000000001</v>
      </c>
      <c r="E93" s="108">
        <f t="shared" si="71"/>
        <v>156.84166666666667</v>
      </c>
      <c r="F93" s="108">
        <f t="shared" si="72"/>
        <v>163.97083333333333</v>
      </c>
      <c r="G93" s="108">
        <f t="shared" si="73"/>
        <v>171.1</v>
      </c>
      <c r="H93" s="102"/>
      <c r="I93" s="142" t="s">
        <v>503</v>
      </c>
      <c r="J93" s="111">
        <v>10</v>
      </c>
      <c r="K93" s="106">
        <v>44015</v>
      </c>
      <c r="L93" s="107">
        <f t="shared" si="76"/>
        <v>54226.48000000001</v>
      </c>
      <c r="M93" s="107">
        <f t="shared" si="77"/>
        <v>55212.416000000012</v>
      </c>
      <c r="N93" s="107">
        <f t="shared" si="78"/>
        <v>56691.32</v>
      </c>
      <c r="O93" s="107">
        <f t="shared" si="79"/>
        <v>59156.160000000003</v>
      </c>
    </row>
    <row r="94" spans="1:15" ht="15.6" x14ac:dyDescent="0.3">
      <c r="A94" s="119" t="s">
        <v>218</v>
      </c>
      <c r="B94" s="117" t="s">
        <v>193</v>
      </c>
      <c r="C94" s="120">
        <f>173/1.2</f>
        <v>144.16666666666669</v>
      </c>
      <c r="D94" s="108">
        <f t="shared" si="70"/>
        <v>178.62250000000003</v>
      </c>
      <c r="E94" s="108">
        <f t="shared" si="71"/>
        <v>187.12833333333336</v>
      </c>
      <c r="F94" s="108">
        <f t="shared" si="72"/>
        <v>195.63416666666669</v>
      </c>
      <c r="G94" s="108">
        <f t="shared" si="73"/>
        <v>204.14000000000001</v>
      </c>
      <c r="H94" s="102"/>
      <c r="I94" s="142" t="s">
        <v>499</v>
      </c>
      <c r="J94" s="111">
        <v>10</v>
      </c>
      <c r="K94" s="106">
        <v>48000</v>
      </c>
      <c r="L94" s="121">
        <f>K94*1.15*1.12</f>
        <v>61824</v>
      </c>
      <c r="M94" s="107">
        <f>K94*1.2*1.12</f>
        <v>64512.000000000007</v>
      </c>
      <c r="N94" s="121">
        <f>K94*1.12*1.3</f>
        <v>69888.000000000015</v>
      </c>
      <c r="O94" s="121">
        <f>K94*1.35*1.12</f>
        <v>72576.000000000015</v>
      </c>
    </row>
    <row r="95" spans="1:15" ht="15.6" x14ac:dyDescent="0.3">
      <c r="A95" s="119" t="s">
        <v>219</v>
      </c>
      <c r="B95" s="117" t="s">
        <v>193</v>
      </c>
      <c r="C95" s="120">
        <f>146/1.2</f>
        <v>121.66666666666667</v>
      </c>
      <c r="D95" s="108">
        <f t="shared" si="70"/>
        <v>150.745</v>
      </c>
      <c r="E95" s="108">
        <f t="shared" si="71"/>
        <v>157.92333333333335</v>
      </c>
      <c r="F95" s="108">
        <f t="shared" si="72"/>
        <v>165.10166666666666</v>
      </c>
      <c r="G95" s="108">
        <f t="shared" si="73"/>
        <v>172.28</v>
      </c>
      <c r="H95" s="102"/>
      <c r="I95" s="142" t="s">
        <v>500</v>
      </c>
      <c r="J95" s="111">
        <v>10</v>
      </c>
      <c r="K95" s="106">
        <v>51500</v>
      </c>
      <c r="L95" s="142">
        <f>K95*1.15*1.12</f>
        <v>66332</v>
      </c>
      <c r="M95" s="107">
        <f>K95*1.2*1.12</f>
        <v>69216</v>
      </c>
      <c r="N95" s="142">
        <f>K95*1.12*1.3</f>
        <v>74984.000000000015</v>
      </c>
      <c r="O95" s="142">
        <f>K95*1.35*1.12</f>
        <v>77868.000000000015</v>
      </c>
    </row>
    <row r="96" spans="1:15" ht="15.6" x14ac:dyDescent="0.3">
      <c r="A96" s="119" t="s">
        <v>220</v>
      </c>
      <c r="B96" s="117" t="s">
        <v>193</v>
      </c>
      <c r="C96" s="120">
        <f>168/1.2</f>
        <v>140</v>
      </c>
      <c r="D96" s="108">
        <f t="shared" si="70"/>
        <v>173.45999999999998</v>
      </c>
      <c r="E96" s="108">
        <f t="shared" si="71"/>
        <v>181.72</v>
      </c>
      <c r="F96" s="108">
        <f t="shared" si="72"/>
        <v>189.98</v>
      </c>
      <c r="G96" s="108">
        <f t="shared" si="73"/>
        <v>198.23999999999998</v>
      </c>
      <c r="H96" s="102"/>
      <c r="I96" s="142" t="s">
        <v>504</v>
      </c>
      <c r="J96" s="111">
        <v>10</v>
      </c>
      <c r="K96" s="106">
        <v>40150</v>
      </c>
      <c r="L96" s="107">
        <f>K96*1.1*1.12</f>
        <v>49464.800000000003</v>
      </c>
      <c r="M96" s="107">
        <f>K96*1.12*1.12</f>
        <v>50364.160000000011</v>
      </c>
      <c r="N96" s="107">
        <f>K96*1.12*1.15</f>
        <v>51713.200000000004</v>
      </c>
      <c r="O96" s="107">
        <f>K96*1.2*1.12</f>
        <v>53961.600000000006</v>
      </c>
    </row>
    <row r="97" spans="1:15" ht="15.6" x14ac:dyDescent="0.3">
      <c r="A97" s="119" t="s">
        <v>221</v>
      </c>
      <c r="B97" s="117" t="s">
        <v>193</v>
      </c>
      <c r="C97" s="120">
        <f>223/1.2</f>
        <v>185.83333333333334</v>
      </c>
      <c r="D97" s="108">
        <f t="shared" si="70"/>
        <v>230.24750000000003</v>
      </c>
      <c r="E97" s="108">
        <f t="shared" si="71"/>
        <v>241.21166666666667</v>
      </c>
      <c r="F97" s="108">
        <f t="shared" si="72"/>
        <v>252.17583333333329</v>
      </c>
      <c r="G97" s="108">
        <f t="shared" si="73"/>
        <v>263.14</v>
      </c>
      <c r="H97" s="102"/>
      <c r="I97" s="142" t="s">
        <v>505</v>
      </c>
      <c r="J97" s="111">
        <v>10</v>
      </c>
      <c r="K97" s="106">
        <v>48545</v>
      </c>
      <c r="L97" s="107">
        <f>K97*1.1*1.12</f>
        <v>59807.440000000017</v>
      </c>
      <c r="M97" s="107">
        <f>K97*1.12*1.12</f>
        <v>60894.848000000013</v>
      </c>
      <c r="N97" s="107">
        <f>K97*1.12*1.15</f>
        <v>62525.960000000006</v>
      </c>
      <c r="O97" s="107">
        <f>K97*1.2*1.12</f>
        <v>65244.480000000003</v>
      </c>
    </row>
    <row r="98" spans="1:15" ht="15.6" x14ac:dyDescent="0.3">
      <c r="A98" s="119" t="s">
        <v>222</v>
      </c>
      <c r="B98" s="117" t="s">
        <v>193</v>
      </c>
      <c r="C98" s="120">
        <f>263/1.2</f>
        <v>219.16666666666669</v>
      </c>
      <c r="D98" s="108">
        <f t="shared" si="70"/>
        <v>271.54750000000001</v>
      </c>
      <c r="E98" s="108">
        <f t="shared" si="71"/>
        <v>284.47833333333335</v>
      </c>
      <c r="F98" s="108">
        <f t="shared" si="72"/>
        <v>297.40916666666664</v>
      </c>
      <c r="G98" s="108">
        <f t="shared" si="73"/>
        <v>310.33999999999997</v>
      </c>
      <c r="H98" s="102"/>
      <c r="I98" s="140" t="s">
        <v>496</v>
      </c>
      <c r="J98" s="111">
        <v>10</v>
      </c>
      <c r="K98" s="106">
        <v>54000</v>
      </c>
      <c r="L98" s="107">
        <f>K98*1.1*1.12</f>
        <v>66528.000000000015</v>
      </c>
      <c r="M98" s="107">
        <f>K98*1.12*1.12</f>
        <v>67737.60000000002</v>
      </c>
      <c r="N98" s="107">
        <f>K98*1.12*1.15</f>
        <v>69552</v>
      </c>
      <c r="O98" s="107">
        <f>K98*1.2*1.12</f>
        <v>72576</v>
      </c>
    </row>
    <row r="99" spans="1:15" ht="15.6" x14ac:dyDescent="0.3">
      <c r="A99" s="119" t="s">
        <v>223</v>
      </c>
      <c r="B99" s="117" t="s">
        <v>193</v>
      </c>
      <c r="C99" s="120">
        <f>213/1.2</f>
        <v>177.5</v>
      </c>
      <c r="D99" s="108">
        <f t="shared" si="70"/>
        <v>219.92249999999999</v>
      </c>
      <c r="E99" s="108">
        <f t="shared" si="71"/>
        <v>230.39500000000001</v>
      </c>
      <c r="F99" s="108">
        <f t="shared" si="72"/>
        <v>240.86749999999995</v>
      </c>
      <c r="G99" s="108">
        <f t="shared" si="73"/>
        <v>251.33999999999997</v>
      </c>
      <c r="H99" s="102"/>
      <c r="I99" s="142" t="s">
        <v>501</v>
      </c>
      <c r="J99" s="111">
        <v>10</v>
      </c>
      <c r="K99" s="106">
        <v>53500</v>
      </c>
      <c r="L99" s="121">
        <f t="shared" ref="L99:L100" si="80">K99*1.15*1.12</f>
        <v>68908</v>
      </c>
      <c r="M99" s="107">
        <f t="shared" ref="M99:M100" si="81">K99*1.2*1.12</f>
        <v>71904</v>
      </c>
      <c r="N99" s="121">
        <f t="shared" ref="N99:N100" si="82">K99*1.12*1.3</f>
        <v>77896.000000000015</v>
      </c>
      <c r="O99" s="121">
        <f>K99*1.35*1.12</f>
        <v>80892.000000000015</v>
      </c>
    </row>
    <row r="100" spans="1:15" ht="15.6" x14ac:dyDescent="0.3">
      <c r="A100" s="119" t="s">
        <v>224</v>
      </c>
      <c r="B100" s="117" t="s">
        <v>193</v>
      </c>
      <c r="C100" s="120">
        <f>245/1.2</f>
        <v>204.16666666666669</v>
      </c>
      <c r="D100" s="108">
        <f t="shared" si="70"/>
        <v>252.96250000000003</v>
      </c>
      <c r="E100" s="108">
        <f t="shared" si="71"/>
        <v>265.00833333333338</v>
      </c>
      <c r="F100" s="108">
        <f t="shared" si="72"/>
        <v>277.05416666666662</v>
      </c>
      <c r="G100" s="108">
        <f t="shared" si="73"/>
        <v>289.09999999999997</v>
      </c>
      <c r="H100" s="102"/>
      <c r="I100" s="142" t="s">
        <v>502</v>
      </c>
      <c r="J100" s="111">
        <v>10</v>
      </c>
      <c r="K100" s="106">
        <v>55500</v>
      </c>
      <c r="L100" s="121">
        <f t="shared" si="80"/>
        <v>71484</v>
      </c>
      <c r="M100" s="107">
        <f t="shared" si="81"/>
        <v>74592</v>
      </c>
      <c r="N100" s="121">
        <f t="shared" si="82"/>
        <v>80808.000000000015</v>
      </c>
      <c r="O100" s="121">
        <f>K100*1.35*1.12</f>
        <v>83916.000000000015</v>
      </c>
    </row>
    <row r="101" spans="1:15" ht="15.6" x14ac:dyDescent="0.3">
      <c r="A101" s="119" t="s">
        <v>225</v>
      </c>
      <c r="B101" s="117" t="s">
        <v>193</v>
      </c>
      <c r="C101" s="120">
        <f>345/1.2</f>
        <v>287.5</v>
      </c>
      <c r="D101" s="108">
        <f t="shared" si="70"/>
        <v>356.21249999999998</v>
      </c>
      <c r="E101" s="108">
        <f t="shared" si="71"/>
        <v>373.17499999999995</v>
      </c>
      <c r="F101" s="108">
        <f t="shared" si="72"/>
        <v>390.13749999999999</v>
      </c>
      <c r="G101" s="108">
        <f t="shared" si="73"/>
        <v>407.09999999999997</v>
      </c>
      <c r="H101" s="102"/>
      <c r="I101" s="142" t="s">
        <v>545</v>
      </c>
      <c r="J101" s="111">
        <v>10</v>
      </c>
      <c r="K101" s="106">
        <v>56064</v>
      </c>
      <c r="L101" s="107">
        <f>K101*1.1*1.12</f>
        <v>69070.848000000013</v>
      </c>
      <c r="M101" s="107">
        <f>K101*1.12*1.12</f>
        <v>70326.681600000011</v>
      </c>
      <c r="N101" s="107">
        <f>K101*1.12*1.15</f>
        <v>72210.432000000001</v>
      </c>
      <c r="O101" s="107">
        <f>K101*1.2*1.12</f>
        <v>75350.016000000003</v>
      </c>
    </row>
    <row r="102" spans="1:15" ht="15.6" x14ac:dyDescent="0.3">
      <c r="A102" s="167" t="s">
        <v>329</v>
      </c>
      <c r="B102" s="167"/>
      <c r="C102" s="167"/>
      <c r="D102" s="167"/>
      <c r="E102" s="167"/>
      <c r="F102" s="167"/>
      <c r="G102" s="167"/>
      <c r="H102" s="102"/>
      <c r="I102" s="142" t="s">
        <v>546</v>
      </c>
      <c r="J102" s="111">
        <v>10</v>
      </c>
      <c r="K102" s="106">
        <v>65481</v>
      </c>
      <c r="L102" s="107">
        <f>K102*1.1*1.12</f>
        <v>80672.592000000019</v>
      </c>
      <c r="M102" s="107">
        <f>K102*1.12*1.12</f>
        <v>82139.366400000014</v>
      </c>
      <c r="N102" s="107">
        <f>K102*1.12*1.15</f>
        <v>84339.527999999991</v>
      </c>
      <c r="O102" s="107">
        <f>K102*1.2*1.12</f>
        <v>88006.464000000007</v>
      </c>
    </row>
    <row r="103" spans="1:15" ht="15.6" x14ac:dyDescent="0.3">
      <c r="A103" s="119" t="s">
        <v>228</v>
      </c>
      <c r="B103" s="117" t="s">
        <v>226</v>
      </c>
      <c r="C103" s="120">
        <f>282/1.35</f>
        <v>208.88888888888889</v>
      </c>
      <c r="D103" s="108">
        <f t="shared" ref="D103:D136" si="83">C103*1.05*1.18</f>
        <v>258.81333333333333</v>
      </c>
      <c r="E103" s="108">
        <f t="shared" ref="E103:E136" si="84">C103*1.1*1.18</f>
        <v>271.13777777777779</v>
      </c>
      <c r="F103" s="108">
        <f t="shared" ref="F103:F136" si="85">C103*1.15*1.18</f>
        <v>283.46222222222218</v>
      </c>
      <c r="G103" s="108">
        <f t="shared" ref="G103:G136" si="86">C103*1.2*1.18</f>
        <v>295.78666666666663</v>
      </c>
      <c r="H103" s="102"/>
      <c r="I103" s="163" t="s">
        <v>184</v>
      </c>
      <c r="J103" s="164"/>
      <c r="K103" s="164"/>
      <c r="L103" s="164"/>
      <c r="M103" s="164"/>
      <c r="N103" s="164"/>
      <c r="O103" s="165"/>
    </row>
    <row r="104" spans="1:15" ht="15.6" x14ac:dyDescent="0.3">
      <c r="A104" s="119" t="s">
        <v>229</v>
      </c>
      <c r="B104" s="117" t="s">
        <v>226</v>
      </c>
      <c r="C104" s="120">
        <f>320/1.35</f>
        <v>237.03703703703701</v>
      </c>
      <c r="D104" s="108">
        <f t="shared" si="83"/>
        <v>293.68888888888881</v>
      </c>
      <c r="E104" s="108">
        <f t="shared" si="84"/>
        <v>307.67407407407404</v>
      </c>
      <c r="F104" s="108">
        <f t="shared" si="85"/>
        <v>321.65925925925922</v>
      </c>
      <c r="G104" s="108">
        <f t="shared" si="86"/>
        <v>335.64444444444439</v>
      </c>
      <c r="H104" s="102"/>
      <c r="I104" s="103" t="s">
        <v>185</v>
      </c>
      <c r="J104" s="103">
        <v>2</v>
      </c>
      <c r="K104" s="106">
        <v>13359</v>
      </c>
      <c r="L104" s="107">
        <f t="shared" ref="L104:L112" si="87">K104*1.1*1.12</f>
        <v>16458.288000000004</v>
      </c>
      <c r="M104" s="107">
        <f t="shared" ref="M104:M112" si="88">K104*1.12*1.12</f>
        <v>16757.529600000005</v>
      </c>
      <c r="N104" s="107">
        <f t="shared" ref="N104:N112" si="89">K104*1.12*1.15</f>
        <v>17206.392</v>
      </c>
      <c r="O104" s="107">
        <f t="shared" ref="O104:O112" si="90">K104*1.2*1.12</f>
        <v>17954.495999999999</v>
      </c>
    </row>
    <row r="105" spans="1:15" ht="15.6" x14ac:dyDescent="0.3">
      <c r="A105" s="119" t="s">
        <v>230</v>
      </c>
      <c r="B105" s="117" t="s">
        <v>226</v>
      </c>
      <c r="C105" s="120">
        <f>338/1.35</f>
        <v>250.37037037037035</v>
      </c>
      <c r="D105" s="108">
        <f t="shared" si="83"/>
        <v>310.20888888888885</v>
      </c>
      <c r="E105" s="108">
        <f t="shared" si="84"/>
        <v>324.98074074074071</v>
      </c>
      <c r="F105" s="108">
        <f t="shared" si="85"/>
        <v>339.75259259259252</v>
      </c>
      <c r="G105" s="108">
        <f t="shared" si="86"/>
        <v>354.52444444444438</v>
      </c>
      <c r="H105" s="102"/>
      <c r="I105" s="103" t="s">
        <v>186</v>
      </c>
      <c r="J105" s="103">
        <v>3</v>
      </c>
      <c r="K105" s="106">
        <v>17739</v>
      </c>
      <c r="L105" s="107">
        <f t="shared" si="87"/>
        <v>21854.448000000004</v>
      </c>
      <c r="M105" s="107">
        <f t="shared" si="88"/>
        <v>22251.801600000003</v>
      </c>
      <c r="N105" s="107">
        <f t="shared" si="89"/>
        <v>22847.831999999999</v>
      </c>
      <c r="O105" s="107">
        <f t="shared" si="90"/>
        <v>23841.216</v>
      </c>
    </row>
    <row r="106" spans="1:15" ht="15.6" x14ac:dyDescent="0.3">
      <c r="A106" s="119" t="s">
        <v>231</v>
      </c>
      <c r="B106" s="117" t="s">
        <v>226</v>
      </c>
      <c r="C106" s="120">
        <f>452/1.35</f>
        <v>334.81481481481478</v>
      </c>
      <c r="D106" s="108">
        <f t="shared" si="83"/>
        <v>414.83555555555552</v>
      </c>
      <c r="E106" s="108">
        <f t="shared" si="84"/>
        <v>434.5896296296296</v>
      </c>
      <c r="F106" s="108">
        <f t="shared" si="85"/>
        <v>454.34370370370357</v>
      </c>
      <c r="G106" s="108">
        <f t="shared" si="86"/>
        <v>474.09777777777765</v>
      </c>
      <c r="H106" s="102"/>
      <c r="I106" s="103" t="s">
        <v>187</v>
      </c>
      <c r="J106" s="103">
        <v>3</v>
      </c>
      <c r="K106" s="106">
        <v>22557</v>
      </c>
      <c r="L106" s="107">
        <f t="shared" si="87"/>
        <v>27790.224000000002</v>
      </c>
      <c r="M106" s="107">
        <f t="shared" si="88"/>
        <v>28295.500800000005</v>
      </c>
      <c r="N106" s="107">
        <f t="shared" si="89"/>
        <v>29053.416000000001</v>
      </c>
      <c r="O106" s="107">
        <f t="shared" si="90"/>
        <v>30316.608</v>
      </c>
    </row>
    <row r="107" spans="1:15" ht="15.6" x14ac:dyDescent="0.3">
      <c r="A107" s="119" t="s">
        <v>232</v>
      </c>
      <c r="B107" s="117" t="s">
        <v>226</v>
      </c>
      <c r="C107" s="120">
        <f>452/1.35</f>
        <v>334.81481481481478</v>
      </c>
      <c r="D107" s="108">
        <f t="shared" si="83"/>
        <v>414.83555555555552</v>
      </c>
      <c r="E107" s="108">
        <f t="shared" si="84"/>
        <v>434.5896296296296</v>
      </c>
      <c r="F107" s="108">
        <f t="shared" si="85"/>
        <v>454.34370370370357</v>
      </c>
      <c r="G107" s="108">
        <f t="shared" si="86"/>
        <v>474.09777777777765</v>
      </c>
      <c r="H107" s="102"/>
      <c r="I107" s="103" t="s">
        <v>188</v>
      </c>
      <c r="J107" s="103">
        <v>5</v>
      </c>
      <c r="K107" s="106">
        <v>19637</v>
      </c>
      <c r="L107" s="107">
        <f t="shared" si="87"/>
        <v>24192.784000000003</v>
      </c>
      <c r="M107" s="107">
        <f t="shared" si="88"/>
        <v>24632.652800000003</v>
      </c>
      <c r="N107" s="107">
        <f t="shared" si="89"/>
        <v>25292.456000000002</v>
      </c>
      <c r="O107" s="107">
        <f t="shared" si="90"/>
        <v>26392.128000000001</v>
      </c>
    </row>
    <row r="108" spans="1:15" ht="15.6" x14ac:dyDescent="0.3">
      <c r="A108" s="119" t="s">
        <v>233</v>
      </c>
      <c r="B108" s="117" t="s">
        <v>226</v>
      </c>
      <c r="C108" s="120">
        <f>502/1.35</f>
        <v>371.85185185185185</v>
      </c>
      <c r="D108" s="108">
        <f t="shared" si="83"/>
        <v>460.72444444444443</v>
      </c>
      <c r="E108" s="108">
        <f t="shared" si="84"/>
        <v>482.66370370370373</v>
      </c>
      <c r="F108" s="108">
        <f t="shared" si="85"/>
        <v>504.60296296296292</v>
      </c>
      <c r="G108" s="108">
        <f t="shared" si="86"/>
        <v>526.54222222222222</v>
      </c>
      <c r="H108" s="102"/>
      <c r="I108" s="142" t="s">
        <v>509</v>
      </c>
      <c r="J108" s="103">
        <v>5</v>
      </c>
      <c r="K108" s="106">
        <v>29273</v>
      </c>
      <c r="L108" s="107">
        <f t="shared" si="87"/>
        <v>36064.33600000001</v>
      </c>
      <c r="M108" s="107">
        <f t="shared" si="88"/>
        <v>36720.051200000009</v>
      </c>
      <c r="N108" s="107">
        <f t="shared" si="89"/>
        <v>37703.623999999996</v>
      </c>
      <c r="O108" s="107">
        <f t="shared" si="90"/>
        <v>39342.912000000004</v>
      </c>
    </row>
    <row r="109" spans="1:15" ht="15.6" x14ac:dyDescent="0.3">
      <c r="A109" s="119" t="s">
        <v>234</v>
      </c>
      <c r="B109" s="117" t="s">
        <v>226</v>
      </c>
      <c r="C109" s="120">
        <f>633/1.35</f>
        <v>468.88888888888886</v>
      </c>
      <c r="D109" s="108">
        <f t="shared" si="83"/>
        <v>580.95333333333326</v>
      </c>
      <c r="E109" s="108">
        <f t="shared" si="84"/>
        <v>608.61777777777786</v>
      </c>
      <c r="F109" s="108">
        <f t="shared" si="85"/>
        <v>636.28222222222212</v>
      </c>
      <c r="G109" s="108">
        <f t="shared" si="86"/>
        <v>663.9466666666666</v>
      </c>
      <c r="H109" s="102"/>
      <c r="I109" s="142" t="s">
        <v>506</v>
      </c>
      <c r="J109" s="111">
        <v>7.5</v>
      </c>
      <c r="K109" s="106">
        <v>24455</v>
      </c>
      <c r="L109" s="107">
        <f t="shared" si="87"/>
        <v>30128.560000000009</v>
      </c>
      <c r="M109" s="107">
        <f t="shared" si="88"/>
        <v>30676.352000000006</v>
      </c>
      <c r="N109" s="107">
        <f t="shared" si="89"/>
        <v>31498.04</v>
      </c>
      <c r="O109" s="107">
        <f t="shared" si="90"/>
        <v>32867.520000000004</v>
      </c>
    </row>
    <row r="110" spans="1:15" ht="15.6" x14ac:dyDescent="0.3">
      <c r="A110" s="119" t="s">
        <v>235</v>
      </c>
      <c r="B110" s="117" t="s">
        <v>226</v>
      </c>
      <c r="C110" s="120">
        <f>737/1.35</f>
        <v>545.92592592592587</v>
      </c>
      <c r="D110" s="108">
        <f t="shared" si="83"/>
        <v>676.40222222222212</v>
      </c>
      <c r="E110" s="108">
        <f t="shared" si="84"/>
        <v>708.61185185185172</v>
      </c>
      <c r="F110" s="108">
        <f t="shared" si="85"/>
        <v>740.82148148148121</v>
      </c>
      <c r="G110" s="108">
        <f t="shared" si="86"/>
        <v>773.03111111111093</v>
      </c>
      <c r="H110" s="102"/>
      <c r="I110" s="142" t="s">
        <v>508</v>
      </c>
      <c r="J110" s="103">
        <v>7.5</v>
      </c>
      <c r="K110" s="106">
        <v>30076</v>
      </c>
      <c r="L110" s="107">
        <f t="shared" si="87"/>
        <v>37053.632000000012</v>
      </c>
      <c r="M110" s="107">
        <f t="shared" si="88"/>
        <v>37727.334400000007</v>
      </c>
      <c r="N110" s="107">
        <f t="shared" si="89"/>
        <v>38737.887999999999</v>
      </c>
      <c r="O110" s="107">
        <f t="shared" si="90"/>
        <v>40422.144</v>
      </c>
    </row>
    <row r="111" spans="1:15" ht="15.6" x14ac:dyDescent="0.3">
      <c r="A111" s="119" t="s">
        <v>236</v>
      </c>
      <c r="B111" s="117" t="s">
        <v>226</v>
      </c>
      <c r="C111" s="120">
        <f>488/1.35</f>
        <v>361.48148148148147</v>
      </c>
      <c r="D111" s="108">
        <f t="shared" si="83"/>
        <v>447.87555555555554</v>
      </c>
      <c r="E111" s="108">
        <f t="shared" si="84"/>
        <v>469.20296296296294</v>
      </c>
      <c r="F111" s="108">
        <f t="shared" si="85"/>
        <v>490.53037037037029</v>
      </c>
      <c r="G111" s="108">
        <f t="shared" si="86"/>
        <v>511.85777777777776</v>
      </c>
      <c r="H111" s="102"/>
      <c r="I111" s="142" t="s">
        <v>510</v>
      </c>
      <c r="J111" s="103">
        <v>10</v>
      </c>
      <c r="K111" s="106">
        <v>37011</v>
      </c>
      <c r="L111" s="107">
        <f t="shared" si="87"/>
        <v>45597.552000000011</v>
      </c>
      <c r="M111" s="107">
        <f t="shared" si="88"/>
        <v>46426.59840000001</v>
      </c>
      <c r="N111" s="107">
        <f t="shared" si="89"/>
        <v>47670.168000000005</v>
      </c>
      <c r="O111" s="107">
        <f t="shared" si="90"/>
        <v>49742.784</v>
      </c>
    </row>
    <row r="112" spans="1:15" ht="15.6" x14ac:dyDescent="0.3">
      <c r="A112" s="119" t="s">
        <v>237</v>
      </c>
      <c r="B112" s="117" t="s">
        <v>226</v>
      </c>
      <c r="C112" s="120">
        <f>491/1.35</f>
        <v>363.7037037037037</v>
      </c>
      <c r="D112" s="108">
        <f t="shared" si="83"/>
        <v>450.62888888888892</v>
      </c>
      <c r="E112" s="108">
        <f t="shared" si="84"/>
        <v>472.0874074074074</v>
      </c>
      <c r="F112" s="108">
        <f t="shared" si="85"/>
        <v>493.54592592592587</v>
      </c>
      <c r="G112" s="108">
        <f t="shared" si="86"/>
        <v>515.0044444444444</v>
      </c>
      <c r="H112" s="102"/>
      <c r="I112" s="142" t="s">
        <v>507</v>
      </c>
      <c r="J112" s="103">
        <v>10</v>
      </c>
      <c r="K112" s="106">
        <v>44676</v>
      </c>
      <c r="L112" s="107">
        <f t="shared" si="87"/>
        <v>55040.832000000009</v>
      </c>
      <c r="M112" s="107">
        <f t="shared" si="88"/>
        <v>56041.574400000005</v>
      </c>
      <c r="N112" s="107">
        <f t="shared" si="89"/>
        <v>57542.688000000002</v>
      </c>
      <c r="O112" s="107">
        <f t="shared" si="90"/>
        <v>60044.544000000002</v>
      </c>
    </row>
    <row r="113" spans="1:15" ht="15.6" x14ac:dyDescent="0.3">
      <c r="A113" s="119" t="s">
        <v>238</v>
      </c>
      <c r="B113" s="117" t="s">
        <v>226</v>
      </c>
      <c r="C113" s="120">
        <f>564/1.35</f>
        <v>417.77777777777777</v>
      </c>
      <c r="D113" s="108">
        <f t="shared" si="83"/>
        <v>517.62666666666667</v>
      </c>
      <c r="E113" s="108">
        <f t="shared" si="84"/>
        <v>542.27555555555557</v>
      </c>
      <c r="F113" s="108">
        <f t="shared" si="85"/>
        <v>566.92444444444436</v>
      </c>
      <c r="G113" s="108">
        <f t="shared" si="86"/>
        <v>591.57333333333327</v>
      </c>
      <c r="H113" s="102"/>
      <c r="I113" s="163" t="s">
        <v>189</v>
      </c>
      <c r="J113" s="164"/>
      <c r="K113" s="164"/>
      <c r="L113" s="164"/>
      <c r="M113" s="164"/>
      <c r="N113" s="164"/>
      <c r="O113" s="165"/>
    </row>
    <row r="114" spans="1:15" ht="15.6" x14ac:dyDescent="0.3">
      <c r="A114" s="119" t="s">
        <v>239</v>
      </c>
      <c r="B114" s="117" t="s">
        <v>226</v>
      </c>
      <c r="C114" s="120">
        <f>605/1.35</f>
        <v>448.1481481481481</v>
      </c>
      <c r="D114" s="108">
        <f t="shared" si="83"/>
        <v>555.25555555555547</v>
      </c>
      <c r="E114" s="108">
        <f t="shared" si="84"/>
        <v>581.69629629629628</v>
      </c>
      <c r="F114" s="108">
        <f t="shared" si="85"/>
        <v>608.13703703703698</v>
      </c>
      <c r="G114" s="108">
        <f t="shared" si="86"/>
        <v>634.57777777777767</v>
      </c>
      <c r="H114" s="102"/>
      <c r="I114" s="142" t="s">
        <v>511</v>
      </c>
      <c r="J114" s="103">
        <v>1</v>
      </c>
      <c r="K114" s="106">
        <v>11000</v>
      </c>
      <c r="L114" s="142">
        <f t="shared" ref="L114" si="91">K114*1.2*1.12</f>
        <v>14784.000000000002</v>
      </c>
      <c r="M114" s="107">
        <f t="shared" ref="M114" si="92">K114*1.25*1.12</f>
        <v>15400.000000000002</v>
      </c>
      <c r="N114" s="107">
        <f t="shared" ref="N114" si="93">K114*1.12*1.35</f>
        <v>16632.000000000004</v>
      </c>
      <c r="O114" s="107">
        <f t="shared" ref="O114" si="94">K114*1.4*1.12</f>
        <v>17248</v>
      </c>
    </row>
    <row r="115" spans="1:15" ht="15.6" x14ac:dyDescent="0.3">
      <c r="A115" s="119" t="s">
        <v>240</v>
      </c>
      <c r="B115" s="117" t="s">
        <v>226</v>
      </c>
      <c r="C115" s="120">
        <f>704/1.35</f>
        <v>521.48148148148141</v>
      </c>
      <c r="D115" s="108">
        <f t="shared" si="83"/>
        <v>646.11555555555549</v>
      </c>
      <c r="E115" s="108">
        <f t="shared" si="84"/>
        <v>676.88296296296289</v>
      </c>
      <c r="F115" s="108">
        <f t="shared" si="85"/>
        <v>707.65037037037018</v>
      </c>
      <c r="G115" s="108">
        <f t="shared" si="86"/>
        <v>738.4177777777777</v>
      </c>
      <c r="H115" s="102"/>
      <c r="I115" s="142" t="s">
        <v>512</v>
      </c>
      <c r="J115" s="103">
        <v>2</v>
      </c>
      <c r="K115" s="106">
        <v>20500</v>
      </c>
      <c r="L115" s="107">
        <f t="shared" ref="L115:L116" si="95">K115*1.2*1.12</f>
        <v>27552.000000000004</v>
      </c>
      <c r="M115" s="107">
        <f t="shared" ref="M115:M116" si="96">K115*1.25*1.12</f>
        <v>28700.000000000004</v>
      </c>
      <c r="N115" s="107">
        <f t="shared" ref="N115:N116" si="97">K115*1.12*1.35</f>
        <v>30996.000000000007</v>
      </c>
      <c r="O115" s="107">
        <f t="shared" ref="O115:O116" si="98">K115*1.4*1.12</f>
        <v>32144</v>
      </c>
    </row>
    <row r="116" spans="1:15" ht="15.6" x14ac:dyDescent="0.3">
      <c r="A116" s="119" t="s">
        <v>241</v>
      </c>
      <c r="B116" s="117" t="s">
        <v>226</v>
      </c>
      <c r="C116" s="120">
        <f>762/1.35</f>
        <v>564.44444444444446</v>
      </c>
      <c r="D116" s="108">
        <f t="shared" si="83"/>
        <v>699.34666666666669</v>
      </c>
      <c r="E116" s="108">
        <f t="shared" si="84"/>
        <v>732.64888888888891</v>
      </c>
      <c r="F116" s="108">
        <f t="shared" si="85"/>
        <v>765.951111111111</v>
      </c>
      <c r="G116" s="108">
        <f t="shared" si="86"/>
        <v>799.25333333333333</v>
      </c>
      <c r="H116" s="102"/>
      <c r="I116" s="142" t="s">
        <v>513</v>
      </c>
      <c r="J116" s="103">
        <v>3</v>
      </c>
      <c r="K116" s="106">
        <v>23000</v>
      </c>
      <c r="L116" s="107">
        <f t="shared" si="95"/>
        <v>30912.000000000004</v>
      </c>
      <c r="M116" s="107">
        <f t="shared" si="96"/>
        <v>32200.000000000004</v>
      </c>
      <c r="N116" s="107">
        <f t="shared" si="97"/>
        <v>34776.000000000007</v>
      </c>
      <c r="O116" s="107">
        <f t="shared" si="98"/>
        <v>36064</v>
      </c>
    </row>
    <row r="117" spans="1:15" ht="15.6" x14ac:dyDescent="0.3">
      <c r="A117" s="119" t="s">
        <v>242</v>
      </c>
      <c r="B117" s="117" t="s">
        <v>226</v>
      </c>
      <c r="C117" s="120">
        <f>789/1.35</f>
        <v>584.44444444444446</v>
      </c>
      <c r="D117" s="108">
        <f t="shared" si="83"/>
        <v>724.12666666666667</v>
      </c>
      <c r="E117" s="108">
        <f t="shared" si="84"/>
        <v>758.60888888888883</v>
      </c>
      <c r="F117" s="108">
        <f t="shared" si="85"/>
        <v>793.09111111111099</v>
      </c>
      <c r="G117" s="108">
        <f t="shared" si="86"/>
        <v>827.57333333333338</v>
      </c>
      <c r="H117" s="102"/>
      <c r="I117" s="142" t="s">
        <v>514</v>
      </c>
      <c r="J117" s="103">
        <v>5</v>
      </c>
      <c r="K117" s="106">
        <v>36000</v>
      </c>
      <c r="L117" s="142">
        <f t="shared" ref="L117:L119" si="99">K117*1.15*1.12</f>
        <v>46368.000000000007</v>
      </c>
      <c r="M117" s="107">
        <f t="shared" ref="M117:M119" si="100">K117*1.2*1.12</f>
        <v>48384.000000000007</v>
      </c>
      <c r="N117" s="142">
        <f t="shared" ref="N117:N119" si="101">K117*1.12*1.3</f>
        <v>52416.000000000015</v>
      </c>
      <c r="O117" s="142">
        <f>K117*1.35*1.12</f>
        <v>54432.000000000007</v>
      </c>
    </row>
    <row r="118" spans="1:15" ht="15.6" x14ac:dyDescent="0.3">
      <c r="A118" s="119" t="s">
        <v>243</v>
      </c>
      <c r="B118" s="117" t="s">
        <v>226</v>
      </c>
      <c r="C118" s="120">
        <f>913/1.35</f>
        <v>676.2962962962963</v>
      </c>
      <c r="D118" s="108">
        <f t="shared" si="83"/>
        <v>837.93111111111114</v>
      </c>
      <c r="E118" s="108">
        <f t="shared" si="84"/>
        <v>877.83259259259262</v>
      </c>
      <c r="F118" s="108">
        <f t="shared" si="85"/>
        <v>917.73407407407387</v>
      </c>
      <c r="G118" s="108">
        <f t="shared" si="86"/>
        <v>957.63555555555547</v>
      </c>
      <c r="H118" s="102"/>
      <c r="I118" s="142" t="s">
        <v>515</v>
      </c>
      <c r="J118" s="103">
        <v>7.5</v>
      </c>
      <c r="K118" s="106">
        <v>35500</v>
      </c>
      <c r="L118" s="142">
        <f t="shared" si="99"/>
        <v>45724.000000000007</v>
      </c>
      <c r="M118" s="107">
        <f t="shared" si="100"/>
        <v>47712.000000000007</v>
      </c>
      <c r="N118" s="142">
        <f t="shared" si="101"/>
        <v>51688.000000000015</v>
      </c>
      <c r="O118" s="142">
        <f>K118*1.35*1.12</f>
        <v>53676.000000000007</v>
      </c>
    </row>
    <row r="119" spans="1:15" ht="15.6" x14ac:dyDescent="0.3">
      <c r="A119" s="119" t="s">
        <v>244</v>
      </c>
      <c r="B119" s="117" t="s">
        <v>226</v>
      </c>
      <c r="C119" s="120">
        <f>1165/1.35</f>
        <v>862.96296296296293</v>
      </c>
      <c r="D119" s="108">
        <f t="shared" si="83"/>
        <v>1069.211111111111</v>
      </c>
      <c r="E119" s="108">
        <f t="shared" si="84"/>
        <v>1120.1259259259259</v>
      </c>
      <c r="F119" s="108">
        <f t="shared" si="85"/>
        <v>1171.0407407407406</v>
      </c>
      <c r="G119" s="108">
        <f t="shared" si="86"/>
        <v>1221.9555555555553</v>
      </c>
      <c r="H119" s="102"/>
      <c r="I119" s="142" t="s">
        <v>516</v>
      </c>
      <c r="J119" s="111">
        <v>10</v>
      </c>
      <c r="K119" s="106">
        <v>40500</v>
      </c>
      <c r="L119" s="142">
        <f t="shared" si="99"/>
        <v>52164.000000000007</v>
      </c>
      <c r="M119" s="107">
        <f t="shared" si="100"/>
        <v>54432.000000000007</v>
      </c>
      <c r="N119" s="142">
        <f t="shared" si="101"/>
        <v>58968.000000000015</v>
      </c>
      <c r="O119" s="142">
        <f>K119*1.35*1.12</f>
        <v>61236.000000000007</v>
      </c>
    </row>
    <row r="120" spans="1:15" ht="15.6" x14ac:dyDescent="0.3">
      <c r="A120" s="119" t="s">
        <v>245</v>
      </c>
      <c r="B120" s="117" t="s">
        <v>226</v>
      </c>
      <c r="C120" s="120">
        <f>714/1.35</f>
        <v>528.8888888888888</v>
      </c>
      <c r="D120" s="108">
        <f t="shared" si="83"/>
        <v>655.29333333333318</v>
      </c>
      <c r="E120" s="108">
        <f t="shared" si="84"/>
        <v>686.49777777777763</v>
      </c>
      <c r="F120" s="108">
        <f t="shared" si="85"/>
        <v>717.70222222222196</v>
      </c>
      <c r="G120" s="108">
        <f t="shared" si="86"/>
        <v>748.90666666666641</v>
      </c>
      <c r="H120" s="102"/>
      <c r="I120" s="162" t="s">
        <v>323</v>
      </c>
      <c r="J120" s="162"/>
      <c r="K120" s="162"/>
      <c r="L120" s="131" t="s">
        <v>315</v>
      </c>
      <c r="M120" s="131" t="s">
        <v>321</v>
      </c>
      <c r="N120" s="131" t="s">
        <v>326</v>
      </c>
      <c r="O120" s="131" t="s">
        <v>327</v>
      </c>
    </row>
    <row r="121" spans="1:15" ht="15.6" x14ac:dyDescent="0.3">
      <c r="A121" s="119" t="s">
        <v>246</v>
      </c>
      <c r="B121" s="117" t="s">
        <v>226</v>
      </c>
      <c r="C121" s="120">
        <f>779/1.35</f>
        <v>577.03703703703695</v>
      </c>
      <c r="D121" s="108">
        <f t="shared" si="83"/>
        <v>714.94888888888875</v>
      </c>
      <c r="E121" s="108">
        <f t="shared" si="84"/>
        <v>748.99407407407398</v>
      </c>
      <c r="F121" s="108">
        <f t="shared" si="85"/>
        <v>783.0392592592591</v>
      </c>
      <c r="G121" s="108">
        <f t="shared" si="86"/>
        <v>817.08444444444433</v>
      </c>
      <c r="H121" s="102"/>
      <c r="I121" s="162" t="s">
        <v>324</v>
      </c>
      <c r="J121" s="162"/>
      <c r="K121" s="162"/>
      <c r="L121" s="131">
        <v>0.1</v>
      </c>
      <c r="M121" s="131">
        <v>0.12</v>
      </c>
      <c r="N121" s="131">
        <v>0.15</v>
      </c>
      <c r="O121" s="131">
        <v>0.2</v>
      </c>
    </row>
    <row r="122" spans="1:15" ht="15.6" x14ac:dyDescent="0.3">
      <c r="A122" s="119" t="s">
        <v>247</v>
      </c>
      <c r="B122" s="117" t="s">
        <v>226</v>
      </c>
      <c r="C122" s="120">
        <f>717/1.35</f>
        <v>531.11111111111109</v>
      </c>
      <c r="D122" s="108">
        <f t="shared" si="83"/>
        <v>658.04666666666662</v>
      </c>
      <c r="E122" s="108">
        <f t="shared" si="84"/>
        <v>689.38222222222225</v>
      </c>
      <c r="F122" s="108">
        <f t="shared" si="85"/>
        <v>720.71777777777766</v>
      </c>
      <c r="G122" s="108">
        <f t="shared" si="86"/>
        <v>752.05333333333317</v>
      </c>
      <c r="H122" s="102"/>
      <c r="I122" s="162" t="s">
        <v>325</v>
      </c>
      <c r="J122" s="162"/>
      <c r="K122" s="162"/>
      <c r="L122" s="130">
        <v>0.1</v>
      </c>
      <c r="M122" s="130">
        <v>0.12</v>
      </c>
      <c r="N122" s="131">
        <v>0.15</v>
      </c>
      <c r="O122" s="131">
        <v>0.2</v>
      </c>
    </row>
    <row r="123" spans="1:15" ht="15.6" x14ac:dyDescent="0.3">
      <c r="A123" s="119" t="s">
        <v>248</v>
      </c>
      <c r="B123" s="117" t="s">
        <v>226</v>
      </c>
      <c r="C123" s="120">
        <f>828/1.35</f>
        <v>613.33333333333326</v>
      </c>
      <c r="D123" s="108">
        <f t="shared" si="83"/>
        <v>759.92</v>
      </c>
      <c r="E123" s="108">
        <f t="shared" si="84"/>
        <v>796.10666666666657</v>
      </c>
      <c r="F123" s="108">
        <f t="shared" si="85"/>
        <v>832.29333333333307</v>
      </c>
      <c r="G123" s="108">
        <f t="shared" si="86"/>
        <v>868.47999999999979</v>
      </c>
      <c r="I123" s="102"/>
      <c r="J123" s="102"/>
      <c r="K123" s="112"/>
      <c r="L123" s="102"/>
      <c r="M123" s="102"/>
      <c r="N123" s="102"/>
      <c r="O123" s="102"/>
    </row>
    <row r="124" spans="1:15" ht="15.6" x14ac:dyDescent="0.3">
      <c r="A124" s="119" t="s">
        <v>249</v>
      </c>
      <c r="B124" s="117" t="s">
        <v>226</v>
      </c>
      <c r="C124" s="120">
        <f>897/1.35</f>
        <v>664.44444444444446</v>
      </c>
      <c r="D124" s="108">
        <f t="shared" si="83"/>
        <v>823.24666666666667</v>
      </c>
      <c r="E124" s="108">
        <f t="shared" si="84"/>
        <v>862.44888888888886</v>
      </c>
      <c r="F124" s="108">
        <f t="shared" si="85"/>
        <v>901.65111111111105</v>
      </c>
      <c r="G124" s="108">
        <f t="shared" si="86"/>
        <v>940.85333333333335</v>
      </c>
      <c r="I124" s="102"/>
      <c r="J124" s="102"/>
      <c r="K124" s="112"/>
      <c r="L124" s="102"/>
      <c r="M124" s="102"/>
      <c r="N124" s="102"/>
      <c r="O124" s="102"/>
    </row>
    <row r="125" spans="1:15" ht="15.6" x14ac:dyDescent="0.3">
      <c r="A125" s="119" t="s">
        <v>251</v>
      </c>
      <c r="B125" s="117" t="s">
        <v>226</v>
      </c>
      <c r="C125" s="120">
        <f>972/1.35</f>
        <v>720</v>
      </c>
      <c r="D125" s="108">
        <f t="shared" si="83"/>
        <v>892.07999999999993</v>
      </c>
      <c r="E125" s="108">
        <f t="shared" si="84"/>
        <v>934.56000000000006</v>
      </c>
      <c r="F125" s="108">
        <f t="shared" si="85"/>
        <v>977.03999999999985</v>
      </c>
      <c r="G125" s="108">
        <f t="shared" si="86"/>
        <v>1019.52</v>
      </c>
      <c r="I125" s="102"/>
      <c r="J125" s="102"/>
      <c r="K125" s="112"/>
      <c r="L125" s="102"/>
      <c r="M125" s="102"/>
      <c r="N125" s="102"/>
      <c r="O125" s="102"/>
    </row>
    <row r="126" spans="1:15" ht="15.6" x14ac:dyDescent="0.3">
      <c r="A126" s="119" t="s">
        <v>250</v>
      </c>
      <c r="B126" s="117" t="s">
        <v>226</v>
      </c>
      <c r="C126" s="120">
        <f>1162/1.35</f>
        <v>860.74074074074065</v>
      </c>
      <c r="D126" s="108">
        <f t="shared" si="83"/>
        <v>1066.4577777777777</v>
      </c>
      <c r="E126" s="108">
        <f t="shared" si="84"/>
        <v>1117.2414814814813</v>
      </c>
      <c r="F126" s="108">
        <f t="shared" si="85"/>
        <v>1168.0251851851849</v>
      </c>
      <c r="G126" s="108">
        <f t="shared" si="86"/>
        <v>1218.8088888888885</v>
      </c>
      <c r="I126" s="102"/>
      <c r="J126" s="102"/>
      <c r="K126" s="112"/>
      <c r="L126" s="102"/>
      <c r="M126" s="102"/>
      <c r="N126" s="102"/>
      <c r="O126" s="102"/>
    </row>
    <row r="127" spans="1:15" ht="15.6" x14ac:dyDescent="0.3">
      <c r="A127" s="119" t="s">
        <v>252</v>
      </c>
      <c r="B127" s="117" t="s">
        <v>226</v>
      </c>
      <c r="C127" s="120">
        <f>1289/1.35</f>
        <v>954.81481481481478</v>
      </c>
      <c r="D127" s="108">
        <f t="shared" si="83"/>
        <v>1183.0155555555555</v>
      </c>
      <c r="E127" s="108">
        <f t="shared" si="84"/>
        <v>1239.3496296296296</v>
      </c>
      <c r="F127" s="108">
        <f t="shared" si="85"/>
        <v>1295.6837037037035</v>
      </c>
      <c r="G127" s="108">
        <f t="shared" si="86"/>
        <v>1352.0177777777776</v>
      </c>
      <c r="I127" s="102"/>
      <c r="J127" s="102"/>
      <c r="K127" s="112"/>
      <c r="L127" s="102"/>
      <c r="M127" s="102"/>
      <c r="N127" s="102"/>
      <c r="O127" s="102"/>
    </row>
    <row r="128" spans="1:15" ht="15.6" x14ac:dyDescent="0.3">
      <c r="A128" s="119" t="s">
        <v>253</v>
      </c>
      <c r="B128" s="117" t="s">
        <v>226</v>
      </c>
      <c r="C128" s="120">
        <f>1019/1.35</f>
        <v>754.81481481481478</v>
      </c>
      <c r="D128" s="108">
        <f t="shared" si="83"/>
        <v>935.21555555555551</v>
      </c>
      <c r="E128" s="108">
        <f t="shared" si="84"/>
        <v>979.74962962962957</v>
      </c>
      <c r="F128" s="108">
        <f t="shared" si="85"/>
        <v>1024.2837037037036</v>
      </c>
      <c r="G128" s="108">
        <f t="shared" si="86"/>
        <v>1068.8177777777776</v>
      </c>
      <c r="I128" s="102"/>
      <c r="J128" s="102"/>
      <c r="K128" s="112"/>
      <c r="L128" s="102"/>
      <c r="M128" s="102"/>
      <c r="N128" s="102"/>
      <c r="O128" s="102"/>
    </row>
    <row r="129" spans="1:15" ht="15.6" x14ac:dyDescent="0.3">
      <c r="A129" s="119" t="s">
        <v>254</v>
      </c>
      <c r="B129" s="117" t="s">
        <v>226</v>
      </c>
      <c r="C129" s="120">
        <f>1078/1.35</f>
        <v>798.51851851851848</v>
      </c>
      <c r="D129" s="108">
        <f t="shared" si="83"/>
        <v>989.36444444444442</v>
      </c>
      <c r="E129" s="108">
        <f t="shared" si="84"/>
        <v>1036.477037037037</v>
      </c>
      <c r="F129" s="108">
        <f t="shared" si="85"/>
        <v>1083.5896296296294</v>
      </c>
      <c r="G129" s="108">
        <f t="shared" si="86"/>
        <v>1130.7022222222222</v>
      </c>
      <c r="I129" s="102"/>
      <c r="J129" s="102"/>
      <c r="K129" s="112"/>
      <c r="L129" s="102"/>
      <c r="M129" s="102"/>
      <c r="N129" s="102"/>
      <c r="O129" s="102"/>
    </row>
    <row r="130" spans="1:15" ht="15.6" x14ac:dyDescent="0.3">
      <c r="A130" s="119" t="s">
        <v>255</v>
      </c>
      <c r="B130" s="117" t="s">
        <v>226</v>
      </c>
      <c r="C130" s="120">
        <f>1447/1.35</f>
        <v>1071.8518518518517</v>
      </c>
      <c r="D130" s="108">
        <f t="shared" si="83"/>
        <v>1328.0244444444443</v>
      </c>
      <c r="E130" s="108">
        <f t="shared" si="84"/>
        <v>1391.2637037037036</v>
      </c>
      <c r="F130" s="108">
        <f t="shared" si="85"/>
        <v>1454.5029629629626</v>
      </c>
      <c r="G130" s="108">
        <f t="shared" si="86"/>
        <v>1517.7422222222219</v>
      </c>
      <c r="I130" s="102"/>
      <c r="J130" s="102"/>
      <c r="K130" s="112"/>
      <c r="L130" s="102"/>
      <c r="M130" s="102"/>
      <c r="N130" s="102"/>
      <c r="O130" s="102"/>
    </row>
    <row r="131" spans="1:15" ht="15.6" x14ac:dyDescent="0.3">
      <c r="A131" s="119" t="s">
        <v>256</v>
      </c>
      <c r="B131" s="117" t="s">
        <v>226</v>
      </c>
      <c r="C131" s="120">
        <f>1541/1.35</f>
        <v>1141.4814814814813</v>
      </c>
      <c r="D131" s="108">
        <f t="shared" si="83"/>
        <v>1414.2955555555554</v>
      </c>
      <c r="E131" s="108">
        <f t="shared" si="84"/>
        <v>1481.6429629629629</v>
      </c>
      <c r="F131" s="108">
        <f t="shared" si="85"/>
        <v>1548.9903703703701</v>
      </c>
      <c r="G131" s="108">
        <f t="shared" si="86"/>
        <v>1616.3377777777775</v>
      </c>
      <c r="I131" s="102"/>
      <c r="J131" s="102"/>
      <c r="K131" s="112"/>
      <c r="L131" s="102"/>
      <c r="M131" s="102"/>
      <c r="N131" s="102"/>
      <c r="O131" s="102"/>
    </row>
    <row r="132" spans="1:15" ht="15.6" x14ac:dyDescent="0.3">
      <c r="A132" s="119" t="s">
        <v>257</v>
      </c>
      <c r="B132" s="117" t="s">
        <v>226</v>
      </c>
      <c r="C132" s="120">
        <f>1915/1.35</f>
        <v>1418.5185185185185</v>
      </c>
      <c r="D132" s="108">
        <f t="shared" si="83"/>
        <v>1757.5444444444445</v>
      </c>
      <c r="E132" s="108">
        <f t="shared" si="84"/>
        <v>1841.237037037037</v>
      </c>
      <c r="F132" s="108">
        <f t="shared" si="85"/>
        <v>1924.9296296296293</v>
      </c>
      <c r="G132" s="108">
        <f t="shared" si="86"/>
        <v>2008.622222222222</v>
      </c>
      <c r="I132" s="102"/>
      <c r="J132" s="102"/>
      <c r="K132" s="112"/>
      <c r="L132" s="102"/>
      <c r="M132" s="102"/>
      <c r="N132" s="102"/>
      <c r="O132" s="102"/>
    </row>
    <row r="133" spans="1:15" ht="15.6" x14ac:dyDescent="0.3">
      <c r="A133" s="119" t="s">
        <v>227</v>
      </c>
      <c r="B133" s="117" t="s">
        <v>226</v>
      </c>
      <c r="C133" s="120">
        <f>2420/1.35</f>
        <v>1792.5925925925924</v>
      </c>
      <c r="D133" s="108">
        <f t="shared" si="83"/>
        <v>2221.0222222222219</v>
      </c>
      <c r="E133" s="108">
        <f t="shared" si="84"/>
        <v>2326.7851851851851</v>
      </c>
      <c r="F133" s="108">
        <f t="shared" si="85"/>
        <v>2432.5481481481479</v>
      </c>
      <c r="G133" s="108">
        <f t="shared" si="86"/>
        <v>2538.3111111111107</v>
      </c>
      <c r="I133" s="102"/>
      <c r="J133" s="102"/>
      <c r="K133" s="112"/>
      <c r="L133" s="102"/>
      <c r="M133" s="102"/>
      <c r="N133" s="102"/>
      <c r="O133" s="102"/>
    </row>
    <row r="134" spans="1:15" ht="15.6" x14ac:dyDescent="0.3">
      <c r="A134" s="119" t="s">
        <v>258</v>
      </c>
      <c r="B134" s="117" t="s">
        <v>226</v>
      </c>
      <c r="C134" s="120">
        <f>1624/1.35</f>
        <v>1202.9629629629628</v>
      </c>
      <c r="D134" s="108">
        <f t="shared" si="83"/>
        <v>1490.471111111111</v>
      </c>
      <c r="E134" s="108">
        <f t="shared" si="84"/>
        <v>1561.4459259259256</v>
      </c>
      <c r="F134" s="108">
        <f t="shared" si="85"/>
        <v>1632.4207407407403</v>
      </c>
      <c r="G134" s="108">
        <f t="shared" si="86"/>
        <v>1703.3955555555553</v>
      </c>
      <c r="I134" s="102"/>
      <c r="J134" s="102"/>
      <c r="K134" s="112"/>
      <c r="L134" s="102"/>
      <c r="M134" s="102"/>
      <c r="N134" s="102"/>
      <c r="O134" s="102"/>
    </row>
    <row r="135" spans="1:15" ht="15.6" x14ac:dyDescent="0.3">
      <c r="A135" s="119" t="s">
        <v>259</v>
      </c>
      <c r="B135" s="117" t="s">
        <v>226</v>
      </c>
      <c r="C135" s="120">
        <f>1990/1.35</f>
        <v>1474.0740740740739</v>
      </c>
      <c r="D135" s="108">
        <f t="shared" si="83"/>
        <v>1826.3777777777775</v>
      </c>
      <c r="E135" s="108">
        <f t="shared" si="84"/>
        <v>1913.3481481481481</v>
      </c>
      <c r="F135" s="108">
        <f t="shared" si="85"/>
        <v>2000.318518518518</v>
      </c>
      <c r="G135" s="108">
        <f t="shared" si="86"/>
        <v>2087.2888888888883</v>
      </c>
      <c r="I135" s="102"/>
      <c r="J135" s="102"/>
      <c r="K135" s="112"/>
      <c r="L135" s="102"/>
      <c r="M135" s="102"/>
      <c r="N135" s="102"/>
      <c r="O135" s="102"/>
    </row>
    <row r="136" spans="1:15" ht="15.6" x14ac:dyDescent="0.3">
      <c r="A136" s="119" t="s">
        <v>260</v>
      </c>
      <c r="B136" s="117" t="s">
        <v>226</v>
      </c>
      <c r="C136" s="120">
        <f>3250/1.35</f>
        <v>2407.4074074074074</v>
      </c>
      <c r="D136" s="108">
        <f t="shared" si="83"/>
        <v>2982.7777777777778</v>
      </c>
      <c r="E136" s="108">
        <f t="shared" si="84"/>
        <v>3124.8148148148148</v>
      </c>
      <c r="F136" s="108">
        <f t="shared" si="85"/>
        <v>3266.8518518518513</v>
      </c>
      <c r="G136" s="108">
        <f t="shared" si="86"/>
        <v>3408.8888888888887</v>
      </c>
      <c r="I136" s="102"/>
      <c r="J136" s="102"/>
      <c r="K136" s="112"/>
      <c r="L136" s="102"/>
      <c r="M136" s="102"/>
      <c r="N136" s="102"/>
      <c r="O136" s="102"/>
    </row>
    <row r="137" spans="1:15" ht="15.6" x14ac:dyDescent="0.3">
      <c r="A137" s="102"/>
      <c r="B137" s="102"/>
      <c r="C137" s="109"/>
      <c r="D137" s="102"/>
      <c r="E137" s="102"/>
      <c r="F137" s="102"/>
      <c r="G137" s="102"/>
      <c r="I137" s="102"/>
      <c r="J137" s="102"/>
      <c r="K137" s="112"/>
      <c r="L137" s="102"/>
      <c r="M137" s="102"/>
      <c r="N137" s="102"/>
      <c r="O137" s="102"/>
    </row>
    <row r="138" spans="1:15" ht="15.6" x14ac:dyDescent="0.3">
      <c r="A138" s="152" t="s">
        <v>393</v>
      </c>
      <c r="B138" s="156">
        <v>1</v>
      </c>
      <c r="C138" s="157">
        <v>5000</v>
      </c>
      <c r="I138" s="102"/>
      <c r="J138" s="102"/>
      <c r="K138" s="112"/>
      <c r="L138" s="102"/>
      <c r="M138" s="102"/>
      <c r="N138" s="102"/>
      <c r="O138" s="102"/>
    </row>
    <row r="139" spans="1:15" ht="15.6" x14ac:dyDescent="0.3">
      <c r="A139" s="152" t="s">
        <v>394</v>
      </c>
      <c r="B139" s="156">
        <v>2</v>
      </c>
      <c r="C139" s="157">
        <v>7000</v>
      </c>
      <c r="I139" s="102"/>
      <c r="J139" s="102"/>
      <c r="K139" s="112"/>
      <c r="L139" s="102"/>
      <c r="M139" s="102"/>
      <c r="N139" s="102"/>
      <c r="O139" s="102"/>
    </row>
    <row r="140" spans="1:15" ht="15.6" x14ac:dyDescent="0.3">
      <c r="A140" s="152" t="s">
        <v>395</v>
      </c>
      <c r="B140" s="156">
        <v>3</v>
      </c>
      <c r="C140" s="157">
        <v>9000</v>
      </c>
      <c r="I140" s="102"/>
      <c r="J140" s="102"/>
      <c r="K140" s="112"/>
      <c r="L140" s="102"/>
      <c r="M140" s="102"/>
      <c r="N140" s="102"/>
      <c r="O140" s="102"/>
    </row>
    <row r="141" spans="1:15" ht="15.6" x14ac:dyDescent="0.3">
      <c r="A141" s="152" t="s">
        <v>396</v>
      </c>
      <c r="B141" s="156">
        <v>5</v>
      </c>
      <c r="C141" s="157">
        <v>12500</v>
      </c>
      <c r="I141" s="102"/>
      <c r="J141" s="102"/>
      <c r="K141" s="112"/>
      <c r="L141" s="102"/>
      <c r="M141" s="102"/>
      <c r="N141" s="102"/>
      <c r="O141" s="102"/>
    </row>
    <row r="142" spans="1:15" ht="15.6" x14ac:dyDescent="0.3">
      <c r="A142" s="152" t="s">
        <v>397</v>
      </c>
      <c r="B142" s="156">
        <v>7.5</v>
      </c>
      <c r="C142" s="157">
        <v>16000</v>
      </c>
      <c r="I142" s="102"/>
      <c r="J142" s="102"/>
      <c r="K142" s="112"/>
      <c r="L142" s="102"/>
      <c r="M142" s="102"/>
      <c r="N142" s="102"/>
      <c r="O142" s="102"/>
    </row>
    <row r="143" spans="1:15" ht="15.6" x14ac:dyDescent="0.3">
      <c r="A143" s="152" t="s">
        <v>398</v>
      </c>
      <c r="B143" s="156">
        <v>10</v>
      </c>
      <c r="C143" s="157">
        <v>17500</v>
      </c>
      <c r="I143" s="102"/>
      <c r="J143" s="102"/>
      <c r="K143" s="112"/>
      <c r="L143" s="102"/>
      <c r="M143" s="102"/>
      <c r="N143" s="102"/>
      <c r="O143" s="102"/>
    </row>
    <row r="144" spans="1:15" ht="15.6" x14ac:dyDescent="0.3">
      <c r="I144" s="102"/>
      <c r="J144" s="102"/>
      <c r="K144" s="112"/>
      <c r="L144" s="102"/>
      <c r="M144" s="102"/>
      <c r="N144" s="102"/>
      <c r="O144" s="102"/>
    </row>
    <row r="145" spans="1:15" ht="15.6" x14ac:dyDescent="0.3">
      <c r="A145" s="152" t="s">
        <v>399</v>
      </c>
      <c r="B145" s="156">
        <v>20</v>
      </c>
      <c r="C145" s="157">
        <f>200*B145</f>
        <v>4000</v>
      </c>
      <c r="D145" s="174" t="s">
        <v>591</v>
      </c>
      <c r="I145" s="102"/>
      <c r="J145" s="102"/>
      <c r="K145" s="112"/>
      <c r="L145" s="102"/>
      <c r="M145" s="102"/>
      <c r="N145" s="102"/>
      <c r="O145" s="102"/>
    </row>
    <row r="146" spans="1:15" ht="15.6" x14ac:dyDescent="0.3">
      <c r="A146" s="152" t="s">
        <v>498</v>
      </c>
      <c r="B146" s="156">
        <v>30</v>
      </c>
      <c r="C146" s="157">
        <f>200*B146</f>
        <v>6000</v>
      </c>
      <c r="D146" s="174"/>
      <c r="I146" s="102"/>
      <c r="J146" s="102"/>
      <c r="K146" s="112"/>
      <c r="L146" s="102"/>
      <c r="M146" s="102"/>
      <c r="N146" s="102"/>
      <c r="O146" s="102"/>
    </row>
    <row r="147" spans="1:15" ht="15.6" x14ac:dyDescent="0.3">
      <c r="A147" s="152" t="s">
        <v>399</v>
      </c>
      <c r="B147" s="156">
        <v>20</v>
      </c>
      <c r="C147" s="157">
        <f>400*B147</f>
        <v>8000</v>
      </c>
      <c r="D147" s="174" t="s">
        <v>592</v>
      </c>
      <c r="I147" s="102"/>
      <c r="J147" s="102"/>
      <c r="K147" s="112"/>
      <c r="L147" s="102"/>
      <c r="M147" s="102"/>
      <c r="N147" s="102"/>
      <c r="O147" s="102"/>
    </row>
    <row r="148" spans="1:15" ht="15.6" x14ac:dyDescent="0.3">
      <c r="A148" s="152" t="s">
        <v>498</v>
      </c>
      <c r="B148" s="156">
        <v>30</v>
      </c>
      <c r="C148" s="157">
        <f>400*B148</f>
        <v>12000</v>
      </c>
      <c r="D148" s="174"/>
    </row>
    <row r="149" spans="1:15" ht="15.6" x14ac:dyDescent="0.3">
      <c r="A149" s="152" t="s">
        <v>399</v>
      </c>
      <c r="B149" s="156">
        <v>20</v>
      </c>
      <c r="C149" s="157">
        <f>800*B149</f>
        <v>16000</v>
      </c>
      <c r="D149" s="174" t="s">
        <v>593</v>
      </c>
    </row>
    <row r="150" spans="1:15" ht="15.6" x14ac:dyDescent="0.3">
      <c r="A150" s="152" t="s">
        <v>498</v>
      </c>
      <c r="B150" s="156">
        <v>30</v>
      </c>
      <c r="C150" s="157">
        <f>800*B150</f>
        <v>24000</v>
      </c>
      <c r="D150" s="174"/>
    </row>
    <row r="151" spans="1:15" ht="15.6" x14ac:dyDescent="0.3">
      <c r="A151" s="152" t="s">
        <v>399</v>
      </c>
      <c r="B151" s="156">
        <v>20</v>
      </c>
      <c r="C151" s="157">
        <f>1100*B151</f>
        <v>22000</v>
      </c>
      <c r="D151" s="175" t="s">
        <v>595</v>
      </c>
    </row>
    <row r="152" spans="1:15" ht="15.6" x14ac:dyDescent="0.3">
      <c r="A152" s="152" t="s">
        <v>498</v>
      </c>
      <c r="B152" s="156">
        <v>30</v>
      </c>
      <c r="C152" s="157">
        <f>1100*B152</f>
        <v>33000</v>
      </c>
      <c r="D152" s="175"/>
    </row>
    <row r="153" spans="1:15" ht="15.6" x14ac:dyDescent="0.3">
      <c r="A153" s="152" t="s">
        <v>399</v>
      </c>
      <c r="B153" s="156">
        <v>20</v>
      </c>
      <c r="C153" s="157">
        <f>1400*B153</f>
        <v>28000</v>
      </c>
      <c r="D153" s="174" t="s">
        <v>594</v>
      </c>
    </row>
    <row r="154" spans="1:15" ht="15.6" x14ac:dyDescent="0.3">
      <c r="A154" s="152" t="s">
        <v>498</v>
      </c>
      <c r="B154" s="156">
        <v>30</v>
      </c>
      <c r="C154" s="157">
        <f>1400*B154</f>
        <v>42000</v>
      </c>
      <c r="D154" s="174"/>
    </row>
  </sheetData>
  <mergeCells count="30">
    <mergeCell ref="D145:D146"/>
    <mergeCell ref="D147:D148"/>
    <mergeCell ref="D149:D150"/>
    <mergeCell ref="D151:D152"/>
    <mergeCell ref="D153:D154"/>
    <mergeCell ref="I2:O2"/>
    <mergeCell ref="I26:O26"/>
    <mergeCell ref="I28:O28"/>
    <mergeCell ref="A9:C9"/>
    <mergeCell ref="I121:K121"/>
    <mergeCell ref="A72:G72"/>
    <mergeCell ref="A76:G76"/>
    <mergeCell ref="A83:G83"/>
    <mergeCell ref="A2:G2"/>
    <mergeCell ref="A10:G10"/>
    <mergeCell ref="I122:K122"/>
    <mergeCell ref="I103:O103"/>
    <mergeCell ref="I113:O113"/>
    <mergeCell ref="A51:C51"/>
    <mergeCell ref="A52:C52"/>
    <mergeCell ref="A53:C53"/>
    <mergeCell ref="A54:C54"/>
    <mergeCell ref="I120:K120"/>
    <mergeCell ref="A56:G56"/>
    <mergeCell ref="A102:G102"/>
    <mergeCell ref="A58:G58"/>
    <mergeCell ref="A61:G61"/>
    <mergeCell ref="A63:G63"/>
    <mergeCell ref="A66:G66"/>
    <mergeCell ref="A68:G68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6:M61"/>
  <sheetViews>
    <sheetView topLeftCell="A22" zoomScale="85" zoomScaleNormal="85" workbookViewId="0">
      <selection activeCell="E32" sqref="E32"/>
    </sheetView>
  </sheetViews>
  <sheetFormatPr defaultColWidth="9.109375" defaultRowHeight="14.4" x14ac:dyDescent="0.3"/>
  <cols>
    <col min="1" max="1" width="5.33203125" style="91" customWidth="1"/>
    <col min="2" max="2" width="23" style="91" customWidth="1"/>
    <col min="3" max="3" width="50.33203125" style="91" customWidth="1"/>
    <col min="4" max="4" width="8.6640625" style="91" bestFit="1" customWidth="1"/>
    <col min="5" max="6" width="9.88671875" style="91" bestFit="1" customWidth="1"/>
    <col min="7" max="7" width="11.88671875" style="91" bestFit="1" customWidth="1"/>
    <col min="8" max="8" width="10.44140625" style="91" bestFit="1" customWidth="1"/>
    <col min="9" max="9" width="9.109375" style="91"/>
    <col min="10" max="10" width="10.44140625" style="91" customWidth="1"/>
    <col min="11" max="16384" width="9.109375" style="91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449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28</v>
      </c>
      <c r="E25" s="6">
        <f>Individual!C8*10</f>
        <v>90450</v>
      </c>
      <c r="F25" s="6">
        <f t="shared" ref="F25:F32" si="0">(E25*1.05)*1.12</f>
        <v>106369.20000000001</v>
      </c>
      <c r="G25" s="6">
        <f t="shared" ref="G25:G32" si="1">(E25*1.08)*1.12</f>
        <v>109408.32000000001</v>
      </c>
      <c r="H25" s="6">
        <f>(E25*1.15)*1.12</f>
        <v>116499.59999999999</v>
      </c>
    </row>
    <row r="26" spans="1:8" x14ac:dyDescent="0.3">
      <c r="A26" s="6">
        <v>2</v>
      </c>
      <c r="B26" s="7" t="s">
        <v>19</v>
      </c>
      <c r="C26" s="7" t="s">
        <v>450</v>
      </c>
      <c r="D26" s="6" t="s">
        <v>5</v>
      </c>
      <c r="E26" s="6">
        <f>Individual!C14</f>
        <v>17000</v>
      </c>
      <c r="F26" s="6">
        <f t="shared" si="0"/>
        <v>19992.000000000004</v>
      </c>
      <c r="G26" s="6">
        <f t="shared" si="1"/>
        <v>20563.2</v>
      </c>
      <c r="H26" s="6">
        <f t="shared" ref="H26:H32" si="2">(E26*1.15)*1.12</f>
        <v>21896.000000000004</v>
      </c>
    </row>
    <row r="27" spans="1:8" ht="28.8" x14ac:dyDescent="0.3">
      <c r="A27" s="6">
        <v>3</v>
      </c>
      <c r="B27" s="7" t="s">
        <v>6</v>
      </c>
      <c r="C27" s="7" t="s">
        <v>300</v>
      </c>
      <c r="D27" s="6" t="s">
        <v>5</v>
      </c>
      <c r="E27" s="6">
        <f>Individual!K7</f>
        <v>23400</v>
      </c>
      <c r="F27" s="6">
        <f t="shared" si="0"/>
        <v>27518.400000000001</v>
      </c>
      <c r="G27" s="6">
        <f t="shared" si="1"/>
        <v>28304.640000000003</v>
      </c>
      <c r="H27" s="6">
        <f t="shared" si="2"/>
        <v>30139.199999999997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22</v>
      </c>
      <c r="E28" s="6">
        <f>Individual!C59*30</f>
        <v>1050</v>
      </c>
      <c r="F28" s="6">
        <f t="shared" si="0"/>
        <v>1234.8000000000002</v>
      </c>
      <c r="G28" s="6">
        <f t="shared" si="1"/>
        <v>1270.0800000000002</v>
      </c>
      <c r="H28" s="6">
        <f t="shared" si="2"/>
        <v>1352.4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3812.48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4508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Individual!C140</f>
        <v>9000</v>
      </c>
      <c r="F31" s="6">
        <f t="shared" si="0"/>
        <v>10584.000000000002</v>
      </c>
      <c r="G31" s="6">
        <f t="shared" si="1"/>
        <v>10886.400000000001</v>
      </c>
      <c r="H31" s="6">
        <f t="shared" si="2"/>
        <v>11592.000000000002</v>
      </c>
    </row>
    <row r="32" spans="1:8" x14ac:dyDescent="0.3">
      <c r="A32" s="6">
        <v>8</v>
      </c>
      <c r="B32" s="90" t="s">
        <v>13</v>
      </c>
      <c r="C32" s="7" t="s">
        <v>12</v>
      </c>
      <c r="D32" s="6" t="s">
        <v>10</v>
      </c>
      <c r="E32" s="6">
        <f>Individual!C145</f>
        <v>4000</v>
      </c>
      <c r="F32" s="6">
        <f t="shared" si="0"/>
        <v>4704</v>
      </c>
      <c r="G32" s="6">
        <f t="shared" si="1"/>
        <v>4838.4000000000005</v>
      </c>
      <c r="H32" s="6">
        <f t="shared" si="2"/>
        <v>5152.0000000000009</v>
      </c>
    </row>
    <row r="33" spans="1:9" ht="18" x14ac:dyDescent="0.3">
      <c r="A33" s="6"/>
      <c r="B33" s="6"/>
      <c r="C33" s="6" t="s">
        <v>14</v>
      </c>
      <c r="D33" s="6"/>
      <c r="E33" s="88">
        <f>SUM(E25:E32)</f>
        <v>151360</v>
      </c>
      <c r="F33" s="88">
        <f>SUM(F25:F32)</f>
        <v>177999.35999999999</v>
      </c>
      <c r="G33" s="88">
        <f>SUM(G25:G32)</f>
        <v>183085.05599999998</v>
      </c>
      <c r="H33" s="88">
        <f>SUM(H25:H32)</f>
        <v>194951.67999999999</v>
      </c>
    </row>
    <row r="35" spans="1:9" ht="28.8" x14ac:dyDescent="0.3">
      <c r="A35" s="6">
        <v>9</v>
      </c>
      <c r="B35" s="7" t="s">
        <v>20</v>
      </c>
      <c r="C35" s="7" t="s">
        <v>451</v>
      </c>
      <c r="D35" s="6" t="s">
        <v>5</v>
      </c>
      <c r="E35" s="6">
        <f>Individual!K59</f>
        <v>32000</v>
      </c>
      <c r="F35" s="6">
        <f>(E35*1.05)*1.12</f>
        <v>37632</v>
      </c>
      <c r="G35" s="6">
        <f>(E35*1.08)*1.12</f>
        <v>38707.200000000004</v>
      </c>
      <c r="H35" s="6">
        <f>(E35*1.15)*1.12</f>
        <v>41216.000000000007</v>
      </c>
    </row>
    <row r="36" spans="1:9" ht="18" x14ac:dyDescent="0.3">
      <c r="A36" s="10"/>
      <c r="B36" s="11"/>
      <c r="C36" s="6" t="s">
        <v>14</v>
      </c>
      <c r="D36" s="6"/>
      <c r="E36" s="88">
        <f>SUM(E33:E35)</f>
        <v>183360</v>
      </c>
      <c r="F36" s="88">
        <f t="shared" ref="F36" si="3">SUM(F33:F35)</f>
        <v>215631.35999999999</v>
      </c>
      <c r="G36" s="88">
        <f>SUM(G33:G35)</f>
        <v>221792.25599999999</v>
      </c>
      <c r="H36" s="88">
        <f>SUM(H33:H35)</f>
        <v>236167.67999999999</v>
      </c>
    </row>
    <row r="37" spans="1:9" x14ac:dyDescent="0.3">
      <c r="B37" s="91" t="s">
        <v>23</v>
      </c>
    </row>
    <row r="38" spans="1:9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(E38*1.15)*1.12</f>
        <v>8983.7999999999993</v>
      </c>
    </row>
    <row r="39" spans="1:9" ht="18" x14ac:dyDescent="0.3">
      <c r="C39" s="6" t="s">
        <v>14</v>
      </c>
      <c r="D39" s="6"/>
      <c r="E39" s="88">
        <f>SUM(E36:E38)</f>
        <v>190335</v>
      </c>
      <c r="F39" s="88">
        <f>SUM(F36:F38)</f>
        <v>223833.96</v>
      </c>
      <c r="G39" s="88">
        <f>SUM(G36:G38)</f>
        <v>230229.21599999999</v>
      </c>
      <c r="H39" s="88">
        <f>SUM(H36:H38)</f>
        <v>245151.47999999998</v>
      </c>
      <c r="I39" s="91">
        <f>E39-E35</f>
        <v>158335</v>
      </c>
    </row>
    <row r="40" spans="1:9" x14ac:dyDescent="0.3">
      <c r="B40" s="91" t="s">
        <v>23</v>
      </c>
    </row>
    <row r="41" spans="1:9" x14ac:dyDescent="0.3">
      <c r="A41" s="6">
        <v>11</v>
      </c>
      <c r="B41" s="6" t="s">
        <v>303</v>
      </c>
      <c r="C41" s="7" t="s">
        <v>7</v>
      </c>
      <c r="D41" s="6" t="s">
        <v>452</v>
      </c>
      <c r="E41" s="6">
        <f>Individual!C90*150</f>
        <v>13750</v>
      </c>
      <c r="F41" s="6">
        <f t="shared" ref="F41:F44" si="4">(E41*1.05)*1.12</f>
        <v>16170.000000000002</v>
      </c>
      <c r="G41" s="6">
        <f t="shared" ref="G41:G44" si="5">(E41*1.08)*1.12</f>
        <v>16632.000000000004</v>
      </c>
      <c r="H41" s="6">
        <f t="shared" ref="H41:H44" si="6">(E41*1.15)*1.12</f>
        <v>17710</v>
      </c>
    </row>
    <row r="42" spans="1:9" x14ac:dyDescent="0.3">
      <c r="A42" s="6">
        <v>12</v>
      </c>
      <c r="B42" s="6" t="s">
        <v>25</v>
      </c>
      <c r="C42" s="7" t="s">
        <v>7</v>
      </c>
      <c r="D42" s="6" t="s">
        <v>453</v>
      </c>
      <c r="E42" s="6">
        <f>Individual!C69*160</f>
        <v>10847.457627118645</v>
      </c>
      <c r="F42" s="6">
        <f t="shared" si="4"/>
        <v>12756.610169491527</v>
      </c>
      <c r="G42" s="6">
        <f t="shared" si="5"/>
        <v>13121.084745762715</v>
      </c>
      <c r="H42" s="6">
        <f t="shared" si="6"/>
        <v>13971.525423728815</v>
      </c>
    </row>
    <row r="43" spans="1:9" x14ac:dyDescent="0.3">
      <c r="A43" s="6">
        <v>13</v>
      </c>
      <c r="B43" s="7" t="s">
        <v>26</v>
      </c>
      <c r="C43" s="7" t="s">
        <v>7</v>
      </c>
      <c r="D43" s="6" t="s">
        <v>453</v>
      </c>
      <c r="E43" s="6">
        <f>Individual!C74*160</f>
        <v>3520</v>
      </c>
      <c r="F43" s="6">
        <f t="shared" si="4"/>
        <v>4139.5200000000004</v>
      </c>
      <c r="G43" s="6">
        <f t="shared" si="5"/>
        <v>4257.7920000000004</v>
      </c>
      <c r="H43" s="6">
        <f t="shared" si="6"/>
        <v>4533.76</v>
      </c>
    </row>
    <row r="44" spans="1:9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Individual!C78</f>
        <v>1952</v>
      </c>
      <c r="F44" s="6">
        <f t="shared" si="4"/>
        <v>2295.5520000000001</v>
      </c>
      <c r="G44" s="6">
        <f t="shared" si="5"/>
        <v>2361.1392000000005</v>
      </c>
      <c r="H44" s="6">
        <f t="shared" si="6"/>
        <v>2514.1759999999999</v>
      </c>
    </row>
    <row r="45" spans="1:9" ht="18" x14ac:dyDescent="0.3">
      <c r="C45" s="6" t="s">
        <v>14</v>
      </c>
      <c r="D45" s="6"/>
      <c r="E45" s="88">
        <f>SUM(E39:E44)</f>
        <v>220404.45762711865</v>
      </c>
      <c r="F45" s="88">
        <f>SUM(F39:F44)</f>
        <v>259195.6421694915</v>
      </c>
      <c r="G45" s="88">
        <f>SUM(G39:G44)</f>
        <v>266601.2319457627</v>
      </c>
      <c r="H45" s="88">
        <f>SUM(H39:H44)</f>
        <v>283880.94142372877</v>
      </c>
      <c r="I45" s="141">
        <f>E45*1.12-H45</f>
        <v>-37027.948881355871</v>
      </c>
    </row>
    <row r="46" spans="1:9" ht="18" x14ac:dyDescent="0.3">
      <c r="C46" s="10"/>
      <c r="D46" s="10"/>
      <c r="E46" s="31"/>
      <c r="F46" s="31"/>
      <c r="G46" s="31"/>
      <c r="H46" s="31"/>
    </row>
    <row r="47" spans="1:9" ht="18" x14ac:dyDescent="0.3">
      <c r="A47" s="91">
        <v>15</v>
      </c>
      <c r="B47" s="91" t="s">
        <v>70</v>
      </c>
      <c r="C47" s="7" t="s">
        <v>7</v>
      </c>
      <c r="D47" s="10" t="s">
        <v>454</v>
      </c>
      <c r="E47" s="31">
        <f>Individual!C118*59</f>
        <v>39901.481481481482</v>
      </c>
      <c r="F47" s="6">
        <f t="shared" ref="F47" si="7">(E47*1.05)*1.12</f>
        <v>46924.142222222225</v>
      </c>
      <c r="G47" s="6">
        <f t="shared" ref="G47" si="8">(E47*1.08)*1.12</f>
        <v>48264.832000000009</v>
      </c>
      <c r="H47" s="6">
        <f>(E47*1.15)*1.12</f>
        <v>51393.108148148152</v>
      </c>
    </row>
    <row r="48" spans="1:9" ht="18" x14ac:dyDescent="0.3">
      <c r="C48" s="10"/>
      <c r="D48" s="10"/>
      <c r="E48" s="31">
        <f>E39+E42+E43+E44+E47</f>
        <v>246555.93910860014</v>
      </c>
      <c r="F48" s="31">
        <f>F39+F42+F43+F44+F47</f>
        <v>289949.78439171374</v>
      </c>
      <c r="G48" s="31">
        <f t="shared" ref="G48:H48" si="9">G39+G42+G43+G44+G47</f>
        <v>298234.0639457627</v>
      </c>
      <c r="H48" s="31">
        <f t="shared" si="9"/>
        <v>317564.04957187694</v>
      </c>
    </row>
    <row r="49" spans="1:13" ht="18" x14ac:dyDescent="0.3">
      <c r="C49" s="10"/>
      <c r="D49" s="10"/>
      <c r="E49" s="31"/>
      <c r="F49" s="31"/>
      <c r="G49" s="31"/>
      <c r="H49" s="31"/>
    </row>
    <row r="50" spans="1:13" ht="18" x14ac:dyDescent="0.3">
      <c r="C50" s="10"/>
      <c r="D50" s="10"/>
      <c r="E50" s="31"/>
      <c r="F50" s="31"/>
      <c r="G50" s="31"/>
      <c r="H50" s="31"/>
    </row>
    <row r="51" spans="1:13" ht="18" x14ac:dyDescent="0.3">
      <c r="C51" s="10"/>
      <c r="D51" s="10"/>
      <c r="E51" s="31"/>
      <c r="F51" s="31"/>
      <c r="G51" s="31"/>
      <c r="H51" s="31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6:M61"/>
  <sheetViews>
    <sheetView topLeftCell="A29" zoomScale="85" zoomScaleNormal="85" workbookViewId="0">
      <selection activeCell="I40" sqref="I40"/>
    </sheetView>
  </sheetViews>
  <sheetFormatPr defaultColWidth="9.109375" defaultRowHeight="14.4" x14ac:dyDescent="0.3"/>
  <cols>
    <col min="1" max="1" width="5.33203125" style="99" customWidth="1"/>
    <col min="2" max="2" width="23" style="99" customWidth="1"/>
    <col min="3" max="3" width="50.33203125" style="99" customWidth="1"/>
    <col min="4" max="4" width="8" style="99" customWidth="1"/>
    <col min="5" max="5" width="9.88671875" style="99" bestFit="1" customWidth="1"/>
    <col min="6" max="6" width="10.88671875" style="99" bestFit="1" customWidth="1"/>
    <col min="7" max="7" width="10.88671875" style="99" customWidth="1"/>
    <col min="8" max="8" width="12.5546875" style="99" bestFit="1" customWidth="1"/>
    <col min="9" max="9" width="9.109375" style="99"/>
    <col min="10" max="10" width="10.44140625" style="99" customWidth="1"/>
    <col min="11" max="16384" width="9.109375" style="99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455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412</v>
      </c>
      <c r="E25" s="6">
        <f>Individual!C8*16</f>
        <v>144720</v>
      </c>
      <c r="F25" s="6">
        <f t="shared" ref="F25:F32" si="0">(E25*1.05)*1.12</f>
        <v>170190.72000000003</v>
      </c>
      <c r="G25" s="6">
        <f t="shared" ref="G25:G32" si="1">(E25*1.08)*1.12</f>
        <v>175053.31200000003</v>
      </c>
      <c r="H25" s="6">
        <f>(E25*1.13)*1.12</f>
        <v>183157.63199999998</v>
      </c>
    </row>
    <row r="26" spans="1:8" x14ac:dyDescent="0.3">
      <c r="A26" s="6">
        <v>2</v>
      </c>
      <c r="B26" s="7" t="s">
        <v>19</v>
      </c>
      <c r="C26" s="7" t="s">
        <v>456</v>
      </c>
      <c r="D26" s="6" t="s">
        <v>5</v>
      </c>
      <c r="E26" s="6">
        <f>Individual!C15</f>
        <v>19000</v>
      </c>
      <c r="F26" s="6">
        <f t="shared" si="0"/>
        <v>22344.000000000004</v>
      </c>
      <c r="G26" s="6">
        <f t="shared" si="1"/>
        <v>22982.400000000001</v>
      </c>
      <c r="H26" s="6">
        <f t="shared" ref="H26:H32" si="2">(E26*1.13)*1.12</f>
        <v>24046.399999999998</v>
      </c>
    </row>
    <row r="27" spans="1:8" ht="28.8" x14ac:dyDescent="0.3">
      <c r="A27" s="6">
        <v>3</v>
      </c>
      <c r="B27" s="7" t="s">
        <v>6</v>
      </c>
      <c r="C27" s="7" t="s">
        <v>457</v>
      </c>
      <c r="D27" s="6" t="s">
        <v>5</v>
      </c>
      <c r="E27" s="6">
        <f>Individual!K8</f>
        <v>27150</v>
      </c>
      <c r="F27" s="6">
        <f t="shared" si="0"/>
        <v>31928.400000000001</v>
      </c>
      <c r="G27" s="6">
        <f t="shared" si="1"/>
        <v>32840.640000000007</v>
      </c>
      <c r="H27" s="6">
        <f t="shared" si="2"/>
        <v>34361.040000000001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22</v>
      </c>
      <c r="E28" s="6">
        <f>Individual!C59*30</f>
        <v>1050</v>
      </c>
      <c r="F28" s="6">
        <f t="shared" si="0"/>
        <v>1234.8000000000002</v>
      </c>
      <c r="G28" s="6">
        <f t="shared" si="1"/>
        <v>1270.0800000000002</v>
      </c>
      <c r="H28" s="6">
        <f t="shared" si="2"/>
        <v>1328.88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3746.1759999999999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4429.6000000000004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Individual!C141</f>
        <v>12500</v>
      </c>
      <c r="F31" s="6">
        <f t="shared" si="0"/>
        <v>14700.000000000002</v>
      </c>
      <c r="G31" s="6">
        <f t="shared" si="1"/>
        <v>15120.000000000002</v>
      </c>
      <c r="H31" s="6">
        <f t="shared" si="2"/>
        <v>15820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Individual!C146</f>
        <v>6000</v>
      </c>
      <c r="F32" s="6">
        <f t="shared" si="0"/>
        <v>7056.0000000000009</v>
      </c>
      <c r="G32" s="6">
        <f t="shared" si="1"/>
        <v>7257.6</v>
      </c>
      <c r="H32" s="6">
        <f t="shared" si="2"/>
        <v>7593.5999999999995</v>
      </c>
    </row>
    <row r="33" spans="1:10" ht="18" x14ac:dyDescent="0.3">
      <c r="A33" s="6"/>
      <c r="B33" s="6"/>
      <c r="C33" s="6" t="s">
        <v>14</v>
      </c>
      <c r="D33" s="6"/>
      <c r="E33" s="88">
        <f>SUM(E25:E32)</f>
        <v>216880</v>
      </c>
      <c r="F33" s="88">
        <f>SUM(F25:F32)</f>
        <v>255050.88</v>
      </c>
      <c r="G33" s="88">
        <f>SUM(G25:G32)</f>
        <v>262338.04800000001</v>
      </c>
      <c r="H33" s="88">
        <f>SUM(H25:H32)</f>
        <v>274483.32799999998</v>
      </c>
    </row>
    <row r="35" spans="1:10" ht="28.8" x14ac:dyDescent="0.3">
      <c r="A35" s="6">
        <v>9</v>
      </c>
      <c r="B35" s="7" t="s">
        <v>20</v>
      </c>
      <c r="C35" s="7" t="s">
        <v>458</v>
      </c>
      <c r="D35" s="6" t="s">
        <v>5</v>
      </c>
      <c r="E35" s="6">
        <f>Individual!K63</f>
        <v>38000</v>
      </c>
      <c r="F35" s="6">
        <f>(E35*1.05)*1.12</f>
        <v>44688.000000000007</v>
      </c>
      <c r="G35" s="6">
        <f>(E35*1.08)*1.12</f>
        <v>45964.800000000003</v>
      </c>
      <c r="H35" s="6">
        <f>(E35*1.13)*1.12</f>
        <v>48092.799999999996</v>
      </c>
    </row>
    <row r="36" spans="1:10" ht="18" x14ac:dyDescent="0.3">
      <c r="A36" s="10"/>
      <c r="B36" s="11"/>
      <c r="C36" s="6" t="s">
        <v>14</v>
      </c>
      <c r="D36" s="6"/>
      <c r="E36" s="88">
        <f>SUM(E33:E35)</f>
        <v>254880</v>
      </c>
      <c r="F36" s="88">
        <f t="shared" ref="F36" si="3">SUM(F33:F35)</f>
        <v>299738.88</v>
      </c>
      <c r="G36" s="88">
        <f>SUM(G33:G35)</f>
        <v>308302.848</v>
      </c>
      <c r="H36" s="88">
        <f>SUM(H33:H35)</f>
        <v>322576.12799999997</v>
      </c>
    </row>
    <row r="37" spans="1:10" x14ac:dyDescent="0.3">
      <c r="B37" s="99" t="s">
        <v>23</v>
      </c>
    </row>
    <row r="38" spans="1:10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(E38*1.13)*1.12</f>
        <v>8827.56</v>
      </c>
    </row>
    <row r="39" spans="1:10" ht="18" x14ac:dyDescent="0.3">
      <c r="C39" s="6" t="s">
        <v>14</v>
      </c>
      <c r="D39" s="6"/>
      <c r="E39" s="88">
        <f>SUM(E36:E38)</f>
        <v>261855</v>
      </c>
      <c r="F39" s="88">
        <f>SUM(F36:F38)</f>
        <v>307941.48</v>
      </c>
      <c r="G39" s="88">
        <f>SUM(G36:G38)</f>
        <v>316739.80800000002</v>
      </c>
      <c r="H39" s="88">
        <f>SUM(H36:H38)</f>
        <v>331403.68799999997</v>
      </c>
      <c r="I39" s="99">
        <f>E39-E35</f>
        <v>223855</v>
      </c>
    </row>
    <row r="40" spans="1:10" x14ac:dyDescent="0.3">
      <c r="B40" s="99" t="s">
        <v>23</v>
      </c>
    </row>
    <row r="41" spans="1:10" x14ac:dyDescent="0.3">
      <c r="A41" s="6">
        <v>11</v>
      </c>
      <c r="B41" s="6" t="s">
        <v>309</v>
      </c>
      <c r="C41" s="7" t="s">
        <v>7</v>
      </c>
      <c r="D41" s="6" t="s">
        <v>30</v>
      </c>
      <c r="E41" s="6">
        <f>Individual!C101*40</f>
        <v>11500</v>
      </c>
      <c r="F41" s="6">
        <f t="shared" ref="F41:F44" si="4">(E41*1.05)*1.12</f>
        <v>13524.000000000002</v>
      </c>
      <c r="G41" s="6">
        <f t="shared" ref="G41:G44" si="5">(E41*1.08)*1.12</f>
        <v>13910.400000000001</v>
      </c>
      <c r="H41" s="6">
        <f t="shared" ref="H41:H44" si="6">(E41*1.13)*1.12</f>
        <v>14554.4</v>
      </c>
    </row>
    <row r="42" spans="1:10" x14ac:dyDescent="0.3">
      <c r="A42" s="6">
        <v>12</v>
      </c>
      <c r="B42" s="6" t="s">
        <v>473</v>
      </c>
      <c r="C42" s="7" t="s">
        <v>7</v>
      </c>
      <c r="D42" s="6" t="s">
        <v>304</v>
      </c>
      <c r="E42" s="6">
        <f>Individual!C70*50</f>
        <v>4491.5254237288136</v>
      </c>
      <c r="F42" s="6">
        <f t="shared" si="4"/>
        <v>5282.0338983050851</v>
      </c>
      <c r="G42" s="6">
        <f t="shared" si="5"/>
        <v>5432.9491525423737</v>
      </c>
      <c r="H42" s="6">
        <f t="shared" si="6"/>
        <v>5684.4745762711864</v>
      </c>
    </row>
    <row r="43" spans="1:10" x14ac:dyDescent="0.3">
      <c r="A43" s="6">
        <v>13</v>
      </c>
      <c r="B43" s="7" t="s">
        <v>26</v>
      </c>
      <c r="C43" s="7" t="s">
        <v>7</v>
      </c>
      <c r="D43" s="6" t="s">
        <v>304</v>
      </c>
      <c r="E43" s="6">
        <f>Individual!C74*50</f>
        <v>1100</v>
      </c>
      <c r="F43" s="6">
        <f t="shared" si="4"/>
        <v>1293.6000000000001</v>
      </c>
      <c r="G43" s="6">
        <f t="shared" si="5"/>
        <v>1330.5600000000002</v>
      </c>
      <c r="H43" s="6">
        <f t="shared" si="6"/>
        <v>1392.1599999999999</v>
      </c>
    </row>
    <row r="44" spans="1:10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Individual!C82</f>
        <v>4345</v>
      </c>
      <c r="F44" s="6">
        <f t="shared" si="4"/>
        <v>5109.72</v>
      </c>
      <c r="G44" s="6">
        <f t="shared" si="5"/>
        <v>5255.7120000000014</v>
      </c>
      <c r="H44" s="6">
        <f t="shared" si="6"/>
        <v>5499.0320000000002</v>
      </c>
    </row>
    <row r="45" spans="1:10" ht="18" x14ac:dyDescent="0.3">
      <c r="C45" s="6" t="s">
        <v>14</v>
      </c>
      <c r="D45" s="6"/>
      <c r="E45" s="88">
        <f>SUM(E39:E44)</f>
        <v>283291.5254237288</v>
      </c>
      <c r="F45" s="88">
        <f>SUM(F39:F44)</f>
        <v>333150.83389830502</v>
      </c>
      <c r="G45" s="88">
        <f>SUM(G39:G44)</f>
        <v>342669.42915254243</v>
      </c>
      <c r="H45" s="88">
        <f>SUM(H39:H44)</f>
        <v>358533.75457627117</v>
      </c>
      <c r="I45" s="141">
        <f>E45*1.12-H45</f>
        <v>-41247.24610169488</v>
      </c>
    </row>
    <row r="46" spans="1:10" ht="18" x14ac:dyDescent="0.3">
      <c r="C46" s="10"/>
      <c r="D46" s="10"/>
      <c r="E46" s="31"/>
      <c r="F46" s="31"/>
      <c r="G46" s="31"/>
      <c r="H46" s="31"/>
    </row>
    <row r="47" spans="1:10" ht="18" x14ac:dyDescent="0.3">
      <c r="A47" s="10"/>
      <c r="B47" s="10"/>
      <c r="C47" s="11"/>
      <c r="D47" s="10"/>
      <c r="E47" s="31"/>
      <c r="F47" s="10"/>
      <c r="G47" s="10"/>
      <c r="H47" s="10"/>
      <c r="I47" s="10"/>
      <c r="J47" s="10"/>
    </row>
    <row r="48" spans="1:10" ht="18" x14ac:dyDescent="0.3">
      <c r="A48" s="10"/>
      <c r="B48" s="10"/>
      <c r="C48" s="10"/>
      <c r="D48" s="10"/>
      <c r="E48" s="31"/>
      <c r="F48" s="31"/>
      <c r="G48" s="31"/>
      <c r="H48" s="31"/>
      <c r="I48" s="10"/>
      <c r="J48" s="10"/>
    </row>
    <row r="49" spans="1:13" ht="18" x14ac:dyDescent="0.3">
      <c r="A49" s="10"/>
      <c r="B49" s="10"/>
      <c r="C49" s="10"/>
      <c r="D49" s="10"/>
      <c r="E49" s="31"/>
      <c r="F49" s="31"/>
      <c r="G49" s="31"/>
      <c r="H49" s="31"/>
      <c r="I49" s="10"/>
      <c r="J49" s="10"/>
    </row>
    <row r="50" spans="1:13" ht="18" x14ac:dyDescent="0.3">
      <c r="A50" s="10"/>
      <c r="B50" s="10"/>
      <c r="C50" s="10"/>
      <c r="D50" s="10"/>
      <c r="E50" s="31"/>
      <c r="F50" s="31"/>
      <c r="G50" s="31"/>
      <c r="H50" s="31"/>
      <c r="I50" s="10"/>
      <c r="J50" s="10"/>
    </row>
    <row r="51" spans="1:13" ht="18" x14ac:dyDescent="0.3">
      <c r="A51" s="10"/>
      <c r="B51" s="10"/>
      <c r="C51" s="10"/>
      <c r="D51" s="10"/>
      <c r="E51" s="31"/>
      <c r="F51" s="31"/>
      <c r="G51" s="31"/>
      <c r="H51" s="31"/>
      <c r="I51" s="10"/>
      <c r="J51" s="10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6:M61"/>
  <sheetViews>
    <sheetView topLeftCell="A28" zoomScale="85" zoomScaleNormal="85" workbookViewId="0">
      <selection activeCell="I40" sqref="I40"/>
    </sheetView>
  </sheetViews>
  <sheetFormatPr defaultColWidth="9.109375" defaultRowHeight="14.4" x14ac:dyDescent="0.3"/>
  <cols>
    <col min="1" max="1" width="5.33203125" style="99" customWidth="1"/>
    <col min="2" max="2" width="23" style="99" customWidth="1"/>
    <col min="3" max="3" width="50.33203125" style="99" customWidth="1"/>
    <col min="4" max="4" width="8" style="99" customWidth="1"/>
    <col min="5" max="5" width="9.88671875" style="99" bestFit="1" customWidth="1"/>
    <col min="6" max="6" width="10.88671875" style="99" bestFit="1" customWidth="1"/>
    <col min="7" max="7" width="10.88671875" style="99" customWidth="1"/>
    <col min="8" max="8" width="12.5546875" style="99" bestFit="1" customWidth="1"/>
    <col min="9" max="9" width="9.109375" style="99"/>
    <col min="10" max="10" width="10.44140625" style="99" customWidth="1"/>
    <col min="11" max="16384" width="9.109375" style="99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459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412</v>
      </c>
      <c r="E25" s="6">
        <f>Individual!C8*16</f>
        <v>144720</v>
      </c>
      <c r="F25" s="6">
        <f t="shared" ref="F25:F32" si="0">(E25*1.05)*1.12</f>
        <v>170190.72000000003</v>
      </c>
      <c r="G25" s="6">
        <f t="shared" ref="G25:G32" si="1">(E25*1.08)*1.12</f>
        <v>175053.31200000003</v>
      </c>
      <c r="H25" s="6">
        <f>(E25*1.13)*1.12</f>
        <v>183157.63199999998</v>
      </c>
    </row>
    <row r="26" spans="1:8" x14ac:dyDescent="0.3">
      <c r="A26" s="6">
        <v>2</v>
      </c>
      <c r="B26" s="7" t="s">
        <v>19</v>
      </c>
      <c r="C26" s="7" t="s">
        <v>456</v>
      </c>
      <c r="D26" s="6" t="s">
        <v>5</v>
      </c>
      <c r="E26" s="6">
        <f>Individual!C15</f>
        <v>19000</v>
      </c>
      <c r="F26" s="6">
        <f t="shared" si="0"/>
        <v>22344.000000000004</v>
      </c>
      <c r="G26" s="6">
        <f t="shared" si="1"/>
        <v>22982.400000000001</v>
      </c>
      <c r="H26" s="6">
        <f t="shared" ref="H26:H32" si="2">(E26*1.13)*1.12</f>
        <v>24046.399999999998</v>
      </c>
    </row>
    <row r="27" spans="1:8" ht="28.8" x14ac:dyDescent="0.3">
      <c r="A27" s="6">
        <v>3</v>
      </c>
      <c r="B27" s="7" t="s">
        <v>6</v>
      </c>
      <c r="C27" s="7" t="s">
        <v>457</v>
      </c>
      <c r="D27" s="6" t="s">
        <v>5</v>
      </c>
      <c r="E27" s="6">
        <f>Individual!K8</f>
        <v>27150</v>
      </c>
      <c r="F27" s="6">
        <f t="shared" si="0"/>
        <v>31928.400000000001</v>
      </c>
      <c r="G27" s="6">
        <f t="shared" si="1"/>
        <v>32840.640000000007</v>
      </c>
      <c r="H27" s="6">
        <f t="shared" si="2"/>
        <v>34361.040000000001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22</v>
      </c>
      <c r="E28" s="6">
        <f>Individual!C59*30</f>
        <v>1050</v>
      </c>
      <c r="F28" s="6">
        <f t="shared" si="0"/>
        <v>1234.8000000000002</v>
      </c>
      <c r="G28" s="6">
        <f t="shared" si="1"/>
        <v>1270.0800000000002</v>
      </c>
      <c r="H28" s="6">
        <f t="shared" si="2"/>
        <v>1328.88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3746.1759999999999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4429.6000000000004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Individual!C141</f>
        <v>12500</v>
      </c>
      <c r="F31" s="6">
        <f t="shared" si="0"/>
        <v>14700.000000000002</v>
      </c>
      <c r="G31" s="6">
        <f t="shared" si="1"/>
        <v>15120.000000000002</v>
      </c>
      <c r="H31" s="6">
        <f t="shared" si="2"/>
        <v>15820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Individual!C146</f>
        <v>6000</v>
      </c>
      <c r="F32" s="6">
        <f t="shared" si="0"/>
        <v>7056.0000000000009</v>
      </c>
      <c r="G32" s="6">
        <f t="shared" si="1"/>
        <v>7257.6</v>
      </c>
      <c r="H32" s="6">
        <f t="shared" si="2"/>
        <v>7593.5999999999995</v>
      </c>
    </row>
    <row r="33" spans="1:9" ht="18" x14ac:dyDescent="0.3">
      <c r="A33" s="6"/>
      <c r="B33" s="6"/>
      <c r="C33" s="6" t="s">
        <v>14</v>
      </c>
      <c r="D33" s="6"/>
      <c r="E33" s="88">
        <f>SUM(E25:E32)</f>
        <v>216880</v>
      </c>
      <c r="F33" s="88">
        <f>SUM(F25:F32)</f>
        <v>255050.88</v>
      </c>
      <c r="G33" s="88">
        <f>SUM(G25:G32)</f>
        <v>262338.04800000001</v>
      </c>
      <c r="H33" s="88">
        <f>SUM(H25:H32)</f>
        <v>274483.32799999998</v>
      </c>
    </row>
    <row r="35" spans="1:9" ht="28.8" x14ac:dyDescent="0.3">
      <c r="A35" s="6">
        <v>9</v>
      </c>
      <c r="B35" s="7" t="s">
        <v>20</v>
      </c>
      <c r="C35" s="7" t="s">
        <v>460</v>
      </c>
      <c r="D35" s="6" t="s">
        <v>5</v>
      </c>
      <c r="E35" s="6">
        <f>Individual!K68</f>
        <v>40000</v>
      </c>
      <c r="F35" s="6">
        <f>(E35*1.05)*1.12</f>
        <v>47040.000000000007</v>
      </c>
      <c r="G35" s="6">
        <f>(E35*1.08)*1.12</f>
        <v>48384.000000000007</v>
      </c>
      <c r="H35" s="6">
        <f>(E35*1.13)*1.12</f>
        <v>50624</v>
      </c>
    </row>
    <row r="36" spans="1:9" ht="18" x14ac:dyDescent="0.3">
      <c r="A36" s="10"/>
      <c r="B36" s="11"/>
      <c r="C36" s="6" t="s">
        <v>14</v>
      </c>
      <c r="D36" s="6"/>
      <c r="E36" s="88">
        <f>SUM(E33:E35)</f>
        <v>256880</v>
      </c>
      <c r="F36" s="88">
        <f t="shared" ref="F36" si="3">SUM(F33:F35)</f>
        <v>302090.88</v>
      </c>
      <c r="G36" s="88">
        <f>SUM(G33:G35)</f>
        <v>310722.04800000001</v>
      </c>
      <c r="H36" s="88">
        <f>SUM(H33:H35)</f>
        <v>325107.32799999998</v>
      </c>
    </row>
    <row r="37" spans="1:9" x14ac:dyDescent="0.3">
      <c r="B37" s="99" t="s">
        <v>23</v>
      </c>
    </row>
    <row r="38" spans="1:9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(E38*1.13)*1.12</f>
        <v>8827.56</v>
      </c>
    </row>
    <row r="39" spans="1:9" ht="18" x14ac:dyDescent="0.3">
      <c r="C39" s="6" t="s">
        <v>14</v>
      </c>
      <c r="D39" s="6"/>
      <c r="E39" s="88">
        <f>SUM(E36:E38)</f>
        <v>263855</v>
      </c>
      <c r="F39" s="88">
        <f>SUM(F36:F38)</f>
        <v>310293.48</v>
      </c>
      <c r="G39" s="88">
        <f>SUM(G36:G38)</f>
        <v>319159.00800000003</v>
      </c>
      <c r="H39" s="88">
        <f>SUM(H36:H38)</f>
        <v>333934.88799999998</v>
      </c>
      <c r="I39" s="99">
        <f>E39-E35</f>
        <v>223855</v>
      </c>
    </row>
    <row r="40" spans="1:9" x14ac:dyDescent="0.3">
      <c r="B40" s="99" t="s">
        <v>23</v>
      </c>
    </row>
    <row r="41" spans="1:9" x14ac:dyDescent="0.3">
      <c r="A41" s="6">
        <v>11</v>
      </c>
      <c r="B41" s="6" t="s">
        <v>285</v>
      </c>
      <c r="C41" s="7" t="s">
        <v>7</v>
      </c>
      <c r="D41" s="6" t="s">
        <v>461</v>
      </c>
      <c r="E41" s="6">
        <f>Individual!C100*65</f>
        <v>13270.833333333334</v>
      </c>
      <c r="F41" s="6">
        <f t="shared" ref="F41:F44" si="4">(E41*1.05)*1.12</f>
        <v>15606.500000000004</v>
      </c>
      <c r="G41" s="6">
        <f t="shared" ref="G41:G44" si="5">(E41*1.08)*1.12</f>
        <v>16052.400000000003</v>
      </c>
      <c r="H41" s="6">
        <f t="shared" ref="H41:H44" si="6">(E41*1.13)*1.12</f>
        <v>16795.566666666669</v>
      </c>
    </row>
    <row r="42" spans="1:9" x14ac:dyDescent="0.3">
      <c r="A42" s="6">
        <v>12</v>
      </c>
      <c r="B42" s="6" t="s">
        <v>473</v>
      </c>
      <c r="C42" s="7" t="s">
        <v>7</v>
      </c>
      <c r="D42" s="6" t="s">
        <v>463</v>
      </c>
      <c r="E42" s="6">
        <f>Individual!C70*75</f>
        <v>6737.2881355932204</v>
      </c>
      <c r="F42" s="6">
        <f t="shared" si="4"/>
        <v>7923.0508474576282</v>
      </c>
      <c r="G42" s="6">
        <f t="shared" si="5"/>
        <v>8149.42372881356</v>
      </c>
      <c r="H42" s="6">
        <f t="shared" si="6"/>
        <v>8526.7118644067796</v>
      </c>
    </row>
    <row r="43" spans="1:9" x14ac:dyDescent="0.3">
      <c r="A43" s="6">
        <v>13</v>
      </c>
      <c r="B43" s="7" t="s">
        <v>26</v>
      </c>
      <c r="C43" s="7" t="s">
        <v>7</v>
      </c>
      <c r="D43" s="6" t="s">
        <v>463</v>
      </c>
      <c r="E43" s="6">
        <f>Individual!C74*75</f>
        <v>1650</v>
      </c>
      <c r="F43" s="6">
        <f t="shared" si="4"/>
        <v>1940.4</v>
      </c>
      <c r="G43" s="6">
        <f t="shared" si="5"/>
        <v>1995.8400000000004</v>
      </c>
      <c r="H43" s="6">
        <f t="shared" si="6"/>
        <v>2088.2399999999998</v>
      </c>
    </row>
    <row r="44" spans="1:9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Individual!C81</f>
        <v>3510</v>
      </c>
      <c r="F44" s="6">
        <f t="shared" si="4"/>
        <v>4127.76</v>
      </c>
      <c r="G44" s="6">
        <f t="shared" si="5"/>
        <v>4245.6960000000008</v>
      </c>
      <c r="H44" s="6">
        <f t="shared" si="6"/>
        <v>4442.2560000000003</v>
      </c>
    </row>
    <row r="45" spans="1:9" ht="18" x14ac:dyDescent="0.3">
      <c r="C45" s="6" t="s">
        <v>14</v>
      </c>
      <c r="D45" s="6"/>
      <c r="E45" s="88">
        <f>SUM(E39:E44)</f>
        <v>289023.12146892655</v>
      </c>
      <c r="F45" s="88">
        <f>SUM(F39:F44)</f>
        <v>339891.19084745762</v>
      </c>
      <c r="G45" s="88">
        <f>SUM(G39:G44)</f>
        <v>349602.36772881361</v>
      </c>
      <c r="H45" s="88">
        <f>SUM(H39:H44)</f>
        <v>365787.66253107338</v>
      </c>
    </row>
    <row r="46" spans="1:9" ht="18" x14ac:dyDescent="0.3">
      <c r="C46" s="10"/>
      <c r="D46" s="10"/>
      <c r="E46" s="31"/>
      <c r="F46" s="31"/>
      <c r="G46" s="31"/>
      <c r="H46" s="31"/>
    </row>
    <row r="47" spans="1:9" ht="18" x14ac:dyDescent="0.3">
      <c r="A47" s="6">
        <v>15</v>
      </c>
      <c r="B47" s="6" t="s">
        <v>70</v>
      </c>
      <c r="C47" s="7" t="s">
        <v>7</v>
      </c>
      <c r="D47" s="6" t="s">
        <v>462</v>
      </c>
      <c r="E47" s="88">
        <f>Individual!C135*21</f>
        <v>30955.555555555551</v>
      </c>
      <c r="F47" s="6">
        <f t="shared" ref="F47" si="7">(E47*1.05)*1.12</f>
        <v>36403.73333333333</v>
      </c>
      <c r="G47" s="6">
        <f t="shared" ref="G47" si="8">(E47*1.08)*1.12</f>
        <v>37443.840000000004</v>
      </c>
      <c r="H47" s="6">
        <f>(E47*1.13)*1.12</f>
        <v>39177.3511111111</v>
      </c>
    </row>
    <row r="48" spans="1:9" ht="18" x14ac:dyDescent="0.3">
      <c r="C48" s="10"/>
      <c r="D48" s="10"/>
      <c r="E48" s="31">
        <f>E39+E42+E43+E44+E47</f>
        <v>306707.8436911488</v>
      </c>
      <c r="F48" s="31">
        <f>F39+F42+F43+F44+F47</f>
        <v>360688.42418079096</v>
      </c>
      <c r="G48" s="31">
        <f t="shared" ref="G48:H48" si="9">G39+G42+G43+G44+G47</f>
        <v>370993.80772881361</v>
      </c>
      <c r="H48" s="31">
        <f t="shared" si="9"/>
        <v>388169.44697551784</v>
      </c>
    </row>
    <row r="49" spans="1:13" ht="18" x14ac:dyDescent="0.3">
      <c r="C49" s="10"/>
      <c r="D49" s="10"/>
      <c r="E49" s="31"/>
      <c r="F49" s="31"/>
      <c r="G49" s="31"/>
      <c r="H49" s="31"/>
    </row>
    <row r="50" spans="1:13" ht="18" x14ac:dyDescent="0.3">
      <c r="C50" s="10"/>
      <c r="D50" s="10"/>
      <c r="E50" s="31"/>
      <c r="F50" s="31"/>
      <c r="G50" s="31"/>
      <c r="H50" s="31"/>
    </row>
    <row r="51" spans="1:13" ht="18" x14ac:dyDescent="0.3">
      <c r="C51" s="10"/>
      <c r="D51" s="10"/>
      <c r="E51" s="31"/>
      <c r="F51" s="31"/>
      <c r="G51" s="31"/>
      <c r="H51" s="31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6:M61"/>
  <sheetViews>
    <sheetView topLeftCell="A31" zoomScale="85" zoomScaleNormal="85" workbookViewId="0">
      <selection activeCell="I40" sqref="I40"/>
    </sheetView>
  </sheetViews>
  <sheetFormatPr defaultColWidth="9.109375" defaultRowHeight="14.4" x14ac:dyDescent="0.3"/>
  <cols>
    <col min="1" max="1" width="5.33203125" style="99" customWidth="1"/>
    <col min="2" max="2" width="23" style="99" customWidth="1"/>
    <col min="3" max="3" width="50.33203125" style="99" customWidth="1"/>
    <col min="4" max="4" width="8" style="99" customWidth="1"/>
    <col min="5" max="5" width="9.88671875" style="99" bestFit="1" customWidth="1"/>
    <col min="6" max="6" width="10.88671875" style="99" bestFit="1" customWidth="1"/>
    <col min="7" max="7" width="10.88671875" style="99" customWidth="1"/>
    <col min="8" max="8" width="12.5546875" style="99" bestFit="1" customWidth="1"/>
    <col min="9" max="9" width="9.109375" style="99"/>
    <col min="10" max="10" width="10.44140625" style="99" customWidth="1"/>
    <col min="11" max="16384" width="9.109375" style="99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464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412</v>
      </c>
      <c r="E25" s="6">
        <f>Individual!C8*16</f>
        <v>144720</v>
      </c>
      <c r="F25" s="6">
        <f t="shared" ref="F25:F32" si="0">(E25*1.05)*1.12</f>
        <v>170190.72000000003</v>
      </c>
      <c r="G25" s="6">
        <f t="shared" ref="G25:G32" si="1">(E25*1.08)*1.12</f>
        <v>175053.31200000003</v>
      </c>
      <c r="H25" s="6">
        <f>(E25*1.13)*1.12</f>
        <v>183157.63199999998</v>
      </c>
    </row>
    <row r="26" spans="1:8" x14ac:dyDescent="0.3">
      <c r="A26" s="6">
        <v>2</v>
      </c>
      <c r="B26" s="7" t="s">
        <v>19</v>
      </c>
      <c r="C26" s="7" t="s">
        <v>465</v>
      </c>
      <c r="D26" s="6" t="s">
        <v>5</v>
      </c>
      <c r="E26" s="6">
        <f>Individual!C15</f>
        <v>19000</v>
      </c>
      <c r="F26" s="6">
        <f t="shared" si="0"/>
        <v>22344.000000000004</v>
      </c>
      <c r="G26" s="6">
        <f t="shared" si="1"/>
        <v>22982.400000000001</v>
      </c>
      <c r="H26" s="6">
        <f t="shared" ref="H26:H32" si="2">(E26*1.13)*1.12</f>
        <v>24046.399999999998</v>
      </c>
    </row>
    <row r="27" spans="1:8" ht="28.8" x14ac:dyDescent="0.3">
      <c r="A27" s="6">
        <v>3</v>
      </c>
      <c r="B27" s="7" t="s">
        <v>6</v>
      </c>
      <c r="C27" s="7" t="s">
        <v>457</v>
      </c>
      <c r="D27" s="6" t="s">
        <v>5</v>
      </c>
      <c r="E27" s="6">
        <f>Individual!K8</f>
        <v>27150</v>
      </c>
      <c r="F27" s="6">
        <f t="shared" si="0"/>
        <v>31928.400000000001</v>
      </c>
      <c r="G27" s="6">
        <f t="shared" si="1"/>
        <v>32840.640000000007</v>
      </c>
      <c r="H27" s="6">
        <f t="shared" si="2"/>
        <v>34361.040000000001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22</v>
      </c>
      <c r="E28" s="6">
        <f>Individual!C59*30</f>
        <v>1050</v>
      </c>
      <c r="F28" s="6">
        <f t="shared" si="0"/>
        <v>1234.8000000000002</v>
      </c>
      <c r="G28" s="6">
        <f t="shared" si="1"/>
        <v>1270.0800000000002</v>
      </c>
      <c r="H28" s="6">
        <f t="shared" si="2"/>
        <v>1328.88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3746.1759999999999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4429.6000000000004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Individual!C141</f>
        <v>12500</v>
      </c>
      <c r="F31" s="6">
        <f t="shared" si="0"/>
        <v>14700.000000000002</v>
      </c>
      <c r="G31" s="6">
        <f t="shared" si="1"/>
        <v>15120.000000000002</v>
      </c>
      <c r="H31" s="6">
        <f t="shared" si="2"/>
        <v>15820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Individual!C146</f>
        <v>6000</v>
      </c>
      <c r="F32" s="6">
        <f t="shared" si="0"/>
        <v>7056.0000000000009</v>
      </c>
      <c r="G32" s="6">
        <f t="shared" si="1"/>
        <v>7257.6</v>
      </c>
      <c r="H32" s="6">
        <f t="shared" si="2"/>
        <v>7593.5999999999995</v>
      </c>
    </row>
    <row r="33" spans="1:9" ht="18" x14ac:dyDescent="0.3">
      <c r="A33" s="6"/>
      <c r="B33" s="6"/>
      <c r="C33" s="6" t="s">
        <v>14</v>
      </c>
      <c r="D33" s="6"/>
      <c r="E33" s="88">
        <f>SUM(E25:E32)</f>
        <v>216880</v>
      </c>
      <c r="F33" s="88">
        <f>SUM(F25:F32)</f>
        <v>255050.88</v>
      </c>
      <c r="G33" s="88">
        <f>SUM(G25:G32)</f>
        <v>262338.04800000001</v>
      </c>
      <c r="H33" s="88">
        <f>SUM(H25:H32)</f>
        <v>274483.32799999998</v>
      </c>
    </row>
    <row r="35" spans="1:9" ht="28.8" x14ac:dyDescent="0.3">
      <c r="A35" s="6">
        <v>9</v>
      </c>
      <c r="B35" s="7" t="s">
        <v>20</v>
      </c>
      <c r="C35" s="7" t="s">
        <v>466</v>
      </c>
      <c r="D35" s="6" t="s">
        <v>5</v>
      </c>
      <c r="E35" s="6">
        <f>Individual!K71</f>
        <v>33000</v>
      </c>
      <c r="F35" s="6">
        <f>(E35*1.05)*1.12</f>
        <v>38808.000000000007</v>
      </c>
      <c r="G35" s="6">
        <f>(E35*1.08)*1.12</f>
        <v>39916.800000000003</v>
      </c>
      <c r="H35" s="6">
        <f>(E35*1.13)*1.12</f>
        <v>41764.800000000003</v>
      </c>
    </row>
    <row r="36" spans="1:9" ht="18" x14ac:dyDescent="0.3">
      <c r="A36" s="10"/>
      <c r="B36" s="11"/>
      <c r="C36" s="6" t="s">
        <v>14</v>
      </c>
      <c r="D36" s="6"/>
      <c r="E36" s="88">
        <f>SUM(E33:E35)</f>
        <v>249880</v>
      </c>
      <c r="F36" s="88">
        <f t="shared" ref="F36" si="3">SUM(F33:F35)</f>
        <v>293858.88</v>
      </c>
      <c r="G36" s="88">
        <f>SUM(G33:G35)</f>
        <v>302254.848</v>
      </c>
      <c r="H36" s="88">
        <f>SUM(H33:H35)</f>
        <v>316248.12799999997</v>
      </c>
    </row>
    <row r="37" spans="1:9" x14ac:dyDescent="0.3">
      <c r="B37" s="99" t="s">
        <v>23</v>
      </c>
    </row>
    <row r="38" spans="1:9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(E38*1.13)*1.12</f>
        <v>8827.56</v>
      </c>
    </row>
    <row r="39" spans="1:9" ht="18" x14ac:dyDescent="0.3">
      <c r="C39" s="6" t="s">
        <v>14</v>
      </c>
      <c r="D39" s="6"/>
      <c r="E39" s="88">
        <f>SUM(E36:E38)</f>
        <v>256855</v>
      </c>
      <c r="F39" s="88">
        <f>SUM(F36:F38)</f>
        <v>302061.48</v>
      </c>
      <c r="G39" s="88">
        <f>SUM(G36:G38)</f>
        <v>310691.80800000002</v>
      </c>
      <c r="H39" s="88">
        <f>SUM(H36:H38)</f>
        <v>325075.68799999997</v>
      </c>
      <c r="I39" s="99">
        <f>E39-E35</f>
        <v>223855</v>
      </c>
    </row>
    <row r="40" spans="1:9" x14ac:dyDescent="0.3">
      <c r="B40" s="99" t="s">
        <v>23</v>
      </c>
    </row>
    <row r="41" spans="1:9" x14ac:dyDescent="0.3">
      <c r="A41" s="6">
        <v>11</v>
      </c>
      <c r="B41" s="6" t="s">
        <v>287</v>
      </c>
      <c r="C41" s="7" t="s">
        <v>7</v>
      </c>
      <c r="D41" s="6" t="s">
        <v>307</v>
      </c>
      <c r="E41" s="6">
        <f>Individual!C98*100</f>
        <v>21916.666666666668</v>
      </c>
      <c r="F41" s="6">
        <f t="shared" ref="F41:F44" si="4">(E41*1.05)*1.12</f>
        <v>25774.000000000007</v>
      </c>
      <c r="G41" s="6">
        <f t="shared" ref="G41:G44" si="5">(E41*1.08)*1.12</f>
        <v>26510.400000000005</v>
      </c>
      <c r="H41" s="6">
        <f t="shared" ref="H41:H44" si="6">(E41*1.13)*1.12</f>
        <v>27737.733333333334</v>
      </c>
    </row>
    <row r="42" spans="1:9" x14ac:dyDescent="0.3">
      <c r="A42" s="6">
        <v>12</v>
      </c>
      <c r="B42" s="6" t="s">
        <v>474</v>
      </c>
      <c r="C42" s="7" t="s">
        <v>7</v>
      </c>
      <c r="D42" s="6" t="s">
        <v>467</v>
      </c>
      <c r="E42" s="6">
        <f>Individual!C70*110</f>
        <v>9881.3559322033907</v>
      </c>
      <c r="F42" s="6">
        <f t="shared" si="4"/>
        <v>11620.47457627119</v>
      </c>
      <c r="G42" s="6">
        <f t="shared" si="5"/>
        <v>11952.488135593223</v>
      </c>
      <c r="H42" s="6">
        <f t="shared" si="6"/>
        <v>12505.84406779661</v>
      </c>
    </row>
    <row r="43" spans="1:9" x14ac:dyDescent="0.3">
      <c r="A43" s="6">
        <v>13</v>
      </c>
      <c r="B43" s="7" t="s">
        <v>26</v>
      </c>
      <c r="C43" s="7" t="s">
        <v>7</v>
      </c>
      <c r="D43" s="6" t="s">
        <v>467</v>
      </c>
      <c r="E43" s="6">
        <f>Individual!C74*110</f>
        <v>2420</v>
      </c>
      <c r="F43" s="6">
        <f t="shared" si="4"/>
        <v>2845.92</v>
      </c>
      <c r="G43" s="6">
        <f t="shared" si="5"/>
        <v>2927.2320000000009</v>
      </c>
      <c r="H43" s="6">
        <f t="shared" si="6"/>
        <v>3062.7520000000004</v>
      </c>
    </row>
    <row r="44" spans="1:9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Individual!C80</f>
        <v>3205</v>
      </c>
      <c r="F44" s="6">
        <f t="shared" si="4"/>
        <v>3769.0800000000004</v>
      </c>
      <c r="G44" s="6">
        <f t="shared" si="5"/>
        <v>3876.7680000000005</v>
      </c>
      <c r="H44" s="6">
        <f t="shared" si="6"/>
        <v>4056.248</v>
      </c>
    </row>
    <row r="45" spans="1:9" ht="18" x14ac:dyDescent="0.3">
      <c r="C45" s="6" t="s">
        <v>14</v>
      </c>
      <c r="D45" s="6"/>
      <c r="E45" s="88">
        <f>SUM(E39:E44)</f>
        <v>294278.0225988701</v>
      </c>
      <c r="F45" s="88">
        <f>SUM(F39:F44)</f>
        <v>346070.95457627118</v>
      </c>
      <c r="G45" s="88">
        <f>SUM(G39:G44)</f>
        <v>355958.69613559329</v>
      </c>
      <c r="H45" s="88">
        <f>SUM(H39:H44)</f>
        <v>372438.2654011299</v>
      </c>
    </row>
    <row r="46" spans="1:9" ht="18" x14ac:dyDescent="0.3">
      <c r="C46" s="10"/>
      <c r="D46" s="10"/>
      <c r="E46" s="31"/>
      <c r="F46" s="31"/>
      <c r="G46" s="31"/>
      <c r="H46" s="31"/>
    </row>
    <row r="47" spans="1:9" ht="18" x14ac:dyDescent="0.3">
      <c r="A47" s="6">
        <v>15</v>
      </c>
      <c r="B47" s="6" t="s">
        <v>70</v>
      </c>
      <c r="C47" s="7" t="s">
        <v>7</v>
      </c>
      <c r="D47" s="6" t="s">
        <v>468</v>
      </c>
      <c r="E47" s="88">
        <f>Individual!C130*33</f>
        <v>35371.111111111109</v>
      </c>
      <c r="F47" s="6">
        <f t="shared" ref="F47" si="7">(E47*1.05)*1.12</f>
        <v>41596.426666666666</v>
      </c>
      <c r="G47" s="6">
        <f t="shared" ref="G47" si="8">(E47*1.08)*1.12</f>
        <v>42784.896000000008</v>
      </c>
      <c r="H47" s="6">
        <f>(E47*1.13)*1.12</f>
        <v>44765.678222222217</v>
      </c>
    </row>
    <row r="48" spans="1:9" ht="18" x14ac:dyDescent="0.3">
      <c r="C48" s="10"/>
      <c r="D48" s="10"/>
      <c r="E48" s="31">
        <f>E39+E42+E43+E44+E47</f>
        <v>307732.46704331454</v>
      </c>
      <c r="F48" s="31">
        <f>F39+F42+F43+F44+F47</f>
        <v>361893.38124293787</v>
      </c>
      <c r="G48" s="31">
        <f t="shared" ref="G48:H48" si="9">G39+G42+G43+G44+G47</f>
        <v>372233.19213559327</v>
      </c>
      <c r="H48" s="31">
        <f t="shared" si="9"/>
        <v>389466.21029001876</v>
      </c>
    </row>
    <row r="49" spans="1:13" ht="18" x14ac:dyDescent="0.3">
      <c r="C49" s="10"/>
      <c r="D49" s="10"/>
      <c r="E49" s="31"/>
      <c r="F49" s="31"/>
      <c r="G49" s="31"/>
      <c r="H49" s="31"/>
    </row>
    <row r="50" spans="1:13" ht="18" x14ac:dyDescent="0.3">
      <c r="C50" s="10"/>
      <c r="D50" s="10"/>
      <c r="E50" s="31"/>
      <c r="F50" s="31"/>
      <c r="G50" s="31"/>
      <c r="H50" s="31"/>
    </row>
    <row r="51" spans="1:13" ht="18" x14ac:dyDescent="0.3">
      <c r="C51" s="10"/>
      <c r="D51" s="10"/>
      <c r="E51" s="31"/>
      <c r="F51" s="31"/>
      <c r="G51" s="31"/>
      <c r="H51" s="31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6:M61"/>
  <sheetViews>
    <sheetView topLeftCell="A30" zoomScale="85" zoomScaleNormal="85" workbookViewId="0">
      <selection activeCell="I40" sqref="I40"/>
    </sheetView>
  </sheetViews>
  <sheetFormatPr defaultColWidth="9.109375" defaultRowHeight="14.4" x14ac:dyDescent="0.3"/>
  <cols>
    <col min="1" max="1" width="5.33203125" style="99" customWidth="1"/>
    <col min="2" max="2" width="23" style="99" customWidth="1"/>
    <col min="3" max="3" width="50.33203125" style="99" customWidth="1"/>
    <col min="4" max="4" width="8" style="99" customWidth="1"/>
    <col min="5" max="5" width="9.88671875" style="99" bestFit="1" customWidth="1"/>
    <col min="6" max="6" width="10.88671875" style="99" bestFit="1" customWidth="1"/>
    <col min="7" max="7" width="10.88671875" style="99" customWidth="1"/>
    <col min="8" max="8" width="12.5546875" style="99" bestFit="1" customWidth="1"/>
    <col min="9" max="9" width="9.109375" style="99"/>
    <col min="10" max="10" width="10.44140625" style="99" customWidth="1"/>
    <col min="11" max="16384" width="9.109375" style="99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469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412</v>
      </c>
      <c r="E25" s="6">
        <f>Individual!C8*16</f>
        <v>144720</v>
      </c>
      <c r="F25" s="6">
        <f t="shared" ref="F25:F32" si="0">(E25*1.05)*1.12</f>
        <v>170190.72000000003</v>
      </c>
      <c r="G25" s="6">
        <f t="shared" ref="G25:G32" si="1">(E25*1.08)*1.12</f>
        <v>175053.31200000003</v>
      </c>
      <c r="H25" s="6">
        <f>(E25*1.13)*1.12</f>
        <v>183157.63199999998</v>
      </c>
    </row>
    <row r="26" spans="1:8" x14ac:dyDescent="0.3">
      <c r="A26" s="6">
        <v>2</v>
      </c>
      <c r="B26" s="7" t="s">
        <v>19</v>
      </c>
      <c r="C26" s="7" t="s">
        <v>456</v>
      </c>
      <c r="D26" s="6" t="s">
        <v>5</v>
      </c>
      <c r="E26" s="6">
        <f>Individual!C15</f>
        <v>19000</v>
      </c>
      <c r="F26" s="6">
        <f t="shared" si="0"/>
        <v>22344.000000000004</v>
      </c>
      <c r="G26" s="6">
        <f t="shared" si="1"/>
        <v>22982.400000000001</v>
      </c>
      <c r="H26" s="6">
        <f t="shared" ref="H26:H32" si="2">(E26*1.13)*1.12</f>
        <v>24046.399999999998</v>
      </c>
    </row>
    <row r="27" spans="1:8" ht="28.8" x14ac:dyDescent="0.3">
      <c r="A27" s="6">
        <v>3</v>
      </c>
      <c r="B27" s="7" t="s">
        <v>6</v>
      </c>
      <c r="C27" s="7" t="s">
        <v>457</v>
      </c>
      <c r="D27" s="6" t="s">
        <v>5</v>
      </c>
      <c r="E27" s="6">
        <f>Individual!K8</f>
        <v>27150</v>
      </c>
      <c r="F27" s="6">
        <f t="shared" si="0"/>
        <v>31928.400000000001</v>
      </c>
      <c r="G27" s="6">
        <f t="shared" si="1"/>
        <v>32840.640000000007</v>
      </c>
      <c r="H27" s="6">
        <f t="shared" si="2"/>
        <v>34361.040000000001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22</v>
      </c>
      <c r="E28" s="6">
        <f>Individual!C59*30</f>
        <v>1050</v>
      </c>
      <c r="F28" s="6">
        <f t="shared" si="0"/>
        <v>1234.8000000000002</v>
      </c>
      <c r="G28" s="6">
        <f t="shared" si="1"/>
        <v>1270.0800000000002</v>
      </c>
      <c r="H28" s="6">
        <f t="shared" si="2"/>
        <v>1328.88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3746.1759999999999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4429.6000000000004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Individual!C141</f>
        <v>12500</v>
      </c>
      <c r="F31" s="6">
        <f t="shared" si="0"/>
        <v>14700.000000000002</v>
      </c>
      <c r="G31" s="6">
        <f t="shared" si="1"/>
        <v>15120.000000000002</v>
      </c>
      <c r="H31" s="6">
        <f t="shared" si="2"/>
        <v>15820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Individual!C146</f>
        <v>6000</v>
      </c>
      <c r="F32" s="6">
        <f t="shared" si="0"/>
        <v>7056.0000000000009</v>
      </c>
      <c r="G32" s="6">
        <f t="shared" si="1"/>
        <v>7257.6</v>
      </c>
      <c r="H32" s="6">
        <f t="shared" si="2"/>
        <v>7593.5999999999995</v>
      </c>
    </row>
    <row r="33" spans="1:9" ht="18" x14ac:dyDescent="0.3">
      <c r="A33" s="6"/>
      <c r="B33" s="6"/>
      <c r="C33" s="6" t="s">
        <v>14</v>
      </c>
      <c r="D33" s="6"/>
      <c r="E33" s="88">
        <f>SUM(E25:E32)</f>
        <v>216880</v>
      </c>
      <c r="F33" s="88">
        <f>SUM(F25:F32)</f>
        <v>255050.88</v>
      </c>
      <c r="G33" s="88">
        <f>SUM(G25:G32)</f>
        <v>262338.04800000001</v>
      </c>
      <c r="H33" s="88">
        <f>SUM(H25:H32)</f>
        <v>274483.32799999998</v>
      </c>
    </row>
    <row r="35" spans="1:9" ht="28.8" x14ac:dyDescent="0.3">
      <c r="A35" s="6">
        <v>9</v>
      </c>
      <c r="B35" s="7" t="s">
        <v>20</v>
      </c>
      <c r="C35" s="7" t="s">
        <v>470</v>
      </c>
      <c r="D35" s="6" t="s">
        <v>5</v>
      </c>
      <c r="E35" s="6">
        <f>Individual!K74</f>
        <v>38000</v>
      </c>
      <c r="F35" s="6">
        <f>(E35*1.05)*1.12</f>
        <v>44688.000000000007</v>
      </c>
      <c r="G35" s="6">
        <f>(E35*1.08)*1.12</f>
        <v>45964.800000000003</v>
      </c>
      <c r="H35" s="6">
        <f>(E35*1.13)*1.12</f>
        <v>48092.799999999996</v>
      </c>
    </row>
    <row r="36" spans="1:9" ht="18" x14ac:dyDescent="0.3">
      <c r="A36" s="10"/>
      <c r="B36" s="11"/>
      <c r="C36" s="6" t="s">
        <v>14</v>
      </c>
      <c r="D36" s="6"/>
      <c r="E36" s="88">
        <f>SUM(E33:E35)</f>
        <v>254880</v>
      </c>
      <c r="F36" s="88">
        <f t="shared" ref="F36" si="3">SUM(F33:F35)</f>
        <v>299738.88</v>
      </c>
      <c r="G36" s="88">
        <f>SUM(G33:G35)</f>
        <v>308302.848</v>
      </c>
      <c r="H36" s="88">
        <f>SUM(H33:H35)</f>
        <v>322576.12799999997</v>
      </c>
    </row>
    <row r="37" spans="1:9" x14ac:dyDescent="0.3">
      <c r="B37" s="99" t="s">
        <v>23</v>
      </c>
    </row>
    <row r="38" spans="1:9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(E38*1.13)*1.12</f>
        <v>8827.56</v>
      </c>
    </row>
    <row r="39" spans="1:9" ht="18" x14ac:dyDescent="0.3">
      <c r="C39" s="6" t="s">
        <v>14</v>
      </c>
      <c r="D39" s="6"/>
      <c r="E39" s="88">
        <f>SUM(E36:E38)</f>
        <v>261855</v>
      </c>
      <c r="F39" s="88">
        <f>SUM(F36:F38)</f>
        <v>307941.48</v>
      </c>
      <c r="G39" s="88">
        <f>SUM(G36:G38)</f>
        <v>316739.80800000002</v>
      </c>
      <c r="H39" s="88">
        <f>SUM(H36:H38)</f>
        <v>331403.68799999997</v>
      </c>
      <c r="I39" s="99">
        <f>E39-E35</f>
        <v>223855</v>
      </c>
    </row>
    <row r="40" spans="1:9" x14ac:dyDescent="0.3">
      <c r="B40" s="99" t="s">
        <v>23</v>
      </c>
    </row>
    <row r="41" spans="1:9" x14ac:dyDescent="0.3">
      <c r="A41" s="6">
        <v>11</v>
      </c>
      <c r="B41" s="6" t="s">
        <v>310</v>
      </c>
      <c r="C41" s="7" t="s">
        <v>7</v>
      </c>
      <c r="D41" s="6" t="s">
        <v>471</v>
      </c>
      <c r="E41" s="6">
        <f>Individual!C94*200</f>
        <v>28833.333333333336</v>
      </c>
      <c r="F41" s="6">
        <f t="shared" ref="F41:F44" si="4">(E41*1.05)*1.12</f>
        <v>33908.000000000007</v>
      </c>
      <c r="G41" s="6">
        <f t="shared" ref="G41:G44" si="5">(E41*1.08)*1.12</f>
        <v>34876.80000000001</v>
      </c>
      <c r="H41" s="6">
        <f t="shared" ref="H41:H44" si="6">(E41*1.13)*1.12</f>
        <v>36491.466666666674</v>
      </c>
    </row>
    <row r="42" spans="1:9" x14ac:dyDescent="0.3">
      <c r="A42" s="6">
        <v>12</v>
      </c>
      <c r="B42" s="6" t="s">
        <v>473</v>
      </c>
      <c r="C42" s="7" t="s">
        <v>7</v>
      </c>
      <c r="D42" s="6" t="s">
        <v>472</v>
      </c>
      <c r="E42" s="6">
        <f>Individual!C70*210</f>
        <v>18864.406779661018</v>
      </c>
      <c r="F42" s="6">
        <f t="shared" si="4"/>
        <v>22184.542372881358</v>
      </c>
      <c r="G42" s="6">
        <f t="shared" si="5"/>
        <v>22818.386440677968</v>
      </c>
      <c r="H42" s="6">
        <f t="shared" si="6"/>
        <v>23874.793220338986</v>
      </c>
    </row>
    <row r="43" spans="1:9" x14ac:dyDescent="0.3">
      <c r="A43" s="6">
        <v>13</v>
      </c>
      <c r="B43" s="7" t="s">
        <v>26</v>
      </c>
      <c r="C43" s="7" t="s">
        <v>7</v>
      </c>
      <c r="D43" s="6" t="s">
        <v>472</v>
      </c>
      <c r="E43" s="6">
        <f>Individual!C74*210</f>
        <v>4620</v>
      </c>
      <c r="F43" s="6">
        <f t="shared" si="4"/>
        <v>5433.1200000000008</v>
      </c>
      <c r="G43" s="6">
        <f t="shared" si="5"/>
        <v>5588.3520000000008</v>
      </c>
      <c r="H43" s="6">
        <f t="shared" si="6"/>
        <v>5847.0720000000001</v>
      </c>
    </row>
    <row r="44" spans="1:9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Individual!C79</f>
        <v>2280</v>
      </c>
      <c r="F44" s="6">
        <f t="shared" si="4"/>
        <v>2681.28</v>
      </c>
      <c r="G44" s="6">
        <f t="shared" si="5"/>
        <v>2757.8880000000004</v>
      </c>
      <c r="H44" s="6">
        <f t="shared" si="6"/>
        <v>2885.5679999999998</v>
      </c>
    </row>
    <row r="45" spans="1:9" ht="18" x14ac:dyDescent="0.3">
      <c r="C45" s="6" t="s">
        <v>14</v>
      </c>
      <c r="D45" s="6"/>
      <c r="E45" s="88">
        <f>SUM(E39:E44)</f>
        <v>316452.74011299433</v>
      </c>
      <c r="F45" s="88">
        <f>SUM(F39:F44)</f>
        <v>372148.42237288138</v>
      </c>
      <c r="G45" s="88">
        <f>SUM(G39:G44)</f>
        <v>382781.23444067797</v>
      </c>
      <c r="H45" s="88">
        <f>SUM(H39:H44)</f>
        <v>400502.58788700565</v>
      </c>
    </row>
    <row r="46" spans="1:9" ht="18" x14ac:dyDescent="0.3">
      <c r="C46" s="10"/>
      <c r="D46" s="10"/>
      <c r="E46" s="31"/>
      <c r="F46" s="31"/>
      <c r="G46" s="31"/>
      <c r="H46" s="31"/>
    </row>
    <row r="47" spans="1:9" ht="18" x14ac:dyDescent="0.3">
      <c r="A47" s="6">
        <v>15</v>
      </c>
      <c r="B47" s="6" t="s">
        <v>70</v>
      </c>
      <c r="C47" s="7" t="s">
        <v>7</v>
      </c>
      <c r="D47" s="6" t="s">
        <v>475</v>
      </c>
      <c r="E47" s="88">
        <f>Individual!C125*65</f>
        <v>46800</v>
      </c>
      <c r="F47" s="6">
        <f t="shared" ref="F47" si="7">(E47*1.05)*1.12</f>
        <v>55036.800000000003</v>
      </c>
      <c r="G47" s="6">
        <f t="shared" ref="G47" si="8">(E47*1.08)*1.12</f>
        <v>56609.280000000006</v>
      </c>
      <c r="H47" s="6">
        <f>(E47*1.13)*1.12</f>
        <v>59230.079999999994</v>
      </c>
    </row>
    <row r="48" spans="1:9" ht="18" x14ac:dyDescent="0.3">
      <c r="C48" s="10"/>
      <c r="D48" s="10"/>
      <c r="E48" s="31">
        <f>E39+E42+E43+E44+E47</f>
        <v>334419.40677966102</v>
      </c>
      <c r="F48" s="31">
        <f>F39+F42+F43+F44+F47</f>
        <v>393277.22237288137</v>
      </c>
      <c r="G48" s="31">
        <f t="shared" ref="G48:H48" si="9">G39+G42+G43+G44+G47</f>
        <v>404513.71444067801</v>
      </c>
      <c r="H48" s="31">
        <f t="shared" si="9"/>
        <v>423241.20122033899</v>
      </c>
    </row>
    <row r="49" spans="1:13" ht="18" x14ac:dyDescent="0.3">
      <c r="C49" s="10"/>
      <c r="D49" s="10"/>
      <c r="E49" s="31"/>
      <c r="F49" s="31"/>
      <c r="G49" s="31"/>
      <c r="H49" s="31"/>
    </row>
    <row r="50" spans="1:13" ht="18" x14ac:dyDescent="0.3">
      <c r="C50" s="10"/>
      <c r="D50" s="10"/>
      <c r="E50" s="31"/>
      <c r="F50" s="31"/>
      <c r="G50" s="31"/>
      <c r="H50" s="31"/>
    </row>
    <row r="51" spans="1:13" ht="18" x14ac:dyDescent="0.3">
      <c r="C51" s="10"/>
      <c r="D51" s="10"/>
      <c r="E51" s="31"/>
      <c r="F51" s="31"/>
      <c r="G51" s="31"/>
      <c r="H51" s="31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6:M61"/>
  <sheetViews>
    <sheetView topLeftCell="A28" zoomScale="85" zoomScaleNormal="85" workbookViewId="0">
      <selection activeCell="H49" sqref="H49"/>
    </sheetView>
  </sheetViews>
  <sheetFormatPr defaultColWidth="9.109375" defaultRowHeight="14.4" x14ac:dyDescent="0.3"/>
  <cols>
    <col min="1" max="1" width="5.33203125" style="139" customWidth="1"/>
    <col min="2" max="2" width="23" style="139" customWidth="1"/>
    <col min="3" max="3" width="50.33203125" style="139" customWidth="1"/>
    <col min="4" max="4" width="8" style="139" customWidth="1"/>
    <col min="5" max="5" width="9.88671875" style="139" bestFit="1" customWidth="1"/>
    <col min="6" max="6" width="10.88671875" style="139" bestFit="1" customWidth="1"/>
    <col min="7" max="7" width="10.88671875" style="139" customWidth="1"/>
    <col min="8" max="8" width="12.5546875" style="139" bestFit="1" customWidth="1"/>
    <col min="9" max="9" width="9.109375" style="139"/>
    <col min="10" max="10" width="10.44140625" style="139" customWidth="1"/>
    <col min="11" max="16384" width="9.109375" style="139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476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412</v>
      </c>
      <c r="E25" s="6">
        <f>Individual!C8*16</f>
        <v>144720</v>
      </c>
      <c r="F25" s="6">
        <f t="shared" ref="F25:F32" si="0">(E25*1.05)*1.12</f>
        <v>170190.72000000003</v>
      </c>
      <c r="G25" s="6">
        <f t="shared" ref="G25:G32" si="1">(E25*1.08)*1.12</f>
        <v>175053.31200000003</v>
      </c>
      <c r="H25" s="6">
        <f>(E25*1.13)*1.12</f>
        <v>183157.63199999998</v>
      </c>
    </row>
    <row r="26" spans="1:8" x14ac:dyDescent="0.3">
      <c r="A26" s="6">
        <v>2</v>
      </c>
      <c r="B26" s="7" t="s">
        <v>19</v>
      </c>
      <c r="C26" s="7" t="s">
        <v>456</v>
      </c>
      <c r="D26" s="6" t="s">
        <v>5</v>
      </c>
      <c r="E26" s="6">
        <f>Individual!C15</f>
        <v>19000</v>
      </c>
      <c r="F26" s="6">
        <f t="shared" si="0"/>
        <v>22344.000000000004</v>
      </c>
      <c r="G26" s="6">
        <f t="shared" si="1"/>
        <v>22982.400000000001</v>
      </c>
      <c r="H26" s="6">
        <f t="shared" ref="H26:H32" si="2">(E26*1.13)*1.12</f>
        <v>24046.399999999998</v>
      </c>
    </row>
    <row r="27" spans="1:8" ht="28.8" x14ac:dyDescent="0.3">
      <c r="A27" s="6">
        <v>3</v>
      </c>
      <c r="B27" s="7" t="s">
        <v>6</v>
      </c>
      <c r="C27" s="7" t="s">
        <v>457</v>
      </c>
      <c r="D27" s="6" t="s">
        <v>5</v>
      </c>
      <c r="E27" s="6">
        <f>Individual!K8</f>
        <v>27150</v>
      </c>
      <c r="F27" s="6">
        <f t="shared" si="0"/>
        <v>31928.400000000001</v>
      </c>
      <c r="G27" s="6">
        <f t="shared" si="1"/>
        <v>32840.640000000007</v>
      </c>
      <c r="H27" s="6">
        <f t="shared" si="2"/>
        <v>34361.040000000001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22</v>
      </c>
      <c r="E28" s="6">
        <f>Individual!C59*30</f>
        <v>1050</v>
      </c>
      <c r="F28" s="6">
        <f t="shared" si="0"/>
        <v>1234.8000000000002</v>
      </c>
      <c r="G28" s="6">
        <f t="shared" si="1"/>
        <v>1270.0800000000002</v>
      </c>
      <c r="H28" s="6">
        <f t="shared" si="2"/>
        <v>1328.88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3746.1759999999999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4429.6000000000004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Individual!C141</f>
        <v>12500</v>
      </c>
      <c r="F31" s="6">
        <f t="shared" si="0"/>
        <v>14700.000000000002</v>
      </c>
      <c r="G31" s="6">
        <f t="shared" si="1"/>
        <v>15120.000000000002</v>
      </c>
      <c r="H31" s="6">
        <f t="shared" si="2"/>
        <v>15820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Individual!C146</f>
        <v>6000</v>
      </c>
      <c r="F32" s="6">
        <f t="shared" si="0"/>
        <v>7056.0000000000009</v>
      </c>
      <c r="G32" s="6">
        <f t="shared" si="1"/>
        <v>7257.6</v>
      </c>
      <c r="H32" s="6">
        <f t="shared" si="2"/>
        <v>7593.5999999999995</v>
      </c>
    </row>
    <row r="33" spans="1:9" ht="18" x14ac:dyDescent="0.3">
      <c r="A33" s="6"/>
      <c r="B33" s="6"/>
      <c r="C33" s="6" t="s">
        <v>14</v>
      </c>
      <c r="D33" s="6"/>
      <c r="E33" s="88">
        <f>SUM(E25:E32)</f>
        <v>216880</v>
      </c>
      <c r="F33" s="88">
        <f>SUM(F25:F32)</f>
        <v>255050.88</v>
      </c>
      <c r="G33" s="88">
        <f>SUM(G25:G32)</f>
        <v>262338.04800000001</v>
      </c>
      <c r="H33" s="88">
        <f>SUM(H25:H32)</f>
        <v>274483.32799999998</v>
      </c>
    </row>
    <row r="35" spans="1:9" ht="28.8" x14ac:dyDescent="0.3">
      <c r="A35" s="6">
        <v>9</v>
      </c>
      <c r="B35" s="7" t="s">
        <v>20</v>
      </c>
      <c r="C35" s="7" t="s">
        <v>477</v>
      </c>
      <c r="D35" s="6" t="s">
        <v>5</v>
      </c>
      <c r="E35" s="6">
        <f>Individual!K78</f>
        <v>38818.897637795279</v>
      </c>
      <c r="F35" s="6">
        <f>(E35*1.05)*1.12</f>
        <v>45651.023622047251</v>
      </c>
      <c r="G35" s="6">
        <f>(E35*1.08)*1.12</f>
        <v>46955.33858267717</v>
      </c>
      <c r="H35" s="6">
        <f>(E35*1.13)*1.12</f>
        <v>49129.196850393702</v>
      </c>
    </row>
    <row r="36" spans="1:9" ht="18" x14ac:dyDescent="0.3">
      <c r="A36" s="10"/>
      <c r="B36" s="11"/>
      <c r="C36" s="6" t="s">
        <v>14</v>
      </c>
      <c r="D36" s="6"/>
      <c r="E36" s="88">
        <f>SUM(E33:E35)</f>
        <v>255698.89763779528</v>
      </c>
      <c r="F36" s="88">
        <f t="shared" ref="F36" si="3">SUM(F33:F35)</f>
        <v>300701.90362204728</v>
      </c>
      <c r="G36" s="88">
        <f>SUM(G33:G35)</f>
        <v>309293.38658267719</v>
      </c>
      <c r="H36" s="88">
        <f>SUM(H33:H35)</f>
        <v>323612.5248503937</v>
      </c>
    </row>
    <row r="37" spans="1:9" x14ac:dyDescent="0.3">
      <c r="B37" s="139" t="s">
        <v>23</v>
      </c>
    </row>
    <row r="38" spans="1:9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(E38*1.13)*1.12</f>
        <v>8827.56</v>
      </c>
    </row>
    <row r="39" spans="1:9" ht="18" x14ac:dyDescent="0.3">
      <c r="C39" s="6" t="s">
        <v>14</v>
      </c>
      <c r="D39" s="6"/>
      <c r="E39" s="88">
        <f>SUM(E36:E38)</f>
        <v>262673.89763779531</v>
      </c>
      <c r="F39" s="88">
        <f>SUM(F36:F38)</f>
        <v>308904.50362204725</v>
      </c>
      <c r="G39" s="88">
        <f>SUM(G36:G38)</f>
        <v>317730.34658267722</v>
      </c>
      <c r="H39" s="88">
        <f>SUM(H36:H38)</f>
        <v>332440.0848503937</v>
      </c>
      <c r="I39" s="139">
        <f>E39-E35</f>
        <v>223855.00000000003</v>
      </c>
    </row>
    <row r="40" spans="1:9" x14ac:dyDescent="0.3">
      <c r="B40" s="139" t="s">
        <v>23</v>
      </c>
    </row>
    <row r="41" spans="1:9" ht="18" x14ac:dyDescent="0.3">
      <c r="A41" s="6">
        <v>11</v>
      </c>
      <c r="B41" s="6" t="s">
        <v>70</v>
      </c>
      <c r="C41" s="7" t="s">
        <v>7</v>
      </c>
      <c r="D41" s="6" t="s">
        <v>479</v>
      </c>
      <c r="E41" s="88">
        <f>Individual!C119*100</f>
        <v>86296.296296296292</v>
      </c>
      <c r="F41" s="6">
        <f t="shared" ref="F41" si="4">(E41*1.05)*1.12</f>
        <v>101484.44444444445</v>
      </c>
      <c r="G41" s="6">
        <f t="shared" ref="G41" si="5">(E41*1.08)*1.12</f>
        <v>104384.00000000001</v>
      </c>
      <c r="H41" s="6">
        <f t="shared" ref="H41:H44" si="6">(E41*1.13)*1.12</f>
        <v>109216.59259259258</v>
      </c>
    </row>
    <row r="42" spans="1:9" x14ac:dyDescent="0.3">
      <c r="A42" s="6">
        <v>12</v>
      </c>
      <c r="B42" s="6" t="s">
        <v>473</v>
      </c>
      <c r="C42" s="7" t="s">
        <v>7</v>
      </c>
      <c r="D42" s="6" t="s">
        <v>478</v>
      </c>
      <c r="E42" s="6">
        <f>Individual!C70*310</f>
        <v>27847.457627118645</v>
      </c>
      <c r="F42" s="6">
        <f t="shared" ref="F42:F44" si="7">(E42*1.05)*1.12</f>
        <v>32748.610169491531</v>
      </c>
      <c r="G42" s="6">
        <f t="shared" ref="G42:G44" si="8">(E42*1.08)*1.12</f>
        <v>33684.284745762721</v>
      </c>
      <c r="H42" s="6">
        <f t="shared" si="6"/>
        <v>35243.742372881359</v>
      </c>
    </row>
    <row r="43" spans="1:9" x14ac:dyDescent="0.3">
      <c r="A43" s="6">
        <v>13</v>
      </c>
      <c r="B43" s="7" t="s">
        <v>26</v>
      </c>
      <c r="C43" s="7" t="s">
        <v>7</v>
      </c>
      <c r="D43" s="6" t="s">
        <v>478</v>
      </c>
      <c r="E43" s="6">
        <f>Individual!C74*310</f>
        <v>6820</v>
      </c>
      <c r="F43" s="6">
        <f t="shared" si="7"/>
        <v>8020.3200000000006</v>
      </c>
      <c r="G43" s="6">
        <f t="shared" si="8"/>
        <v>8249.4720000000016</v>
      </c>
      <c r="H43" s="6">
        <f t="shared" si="6"/>
        <v>8631.3919999999998</v>
      </c>
    </row>
    <row r="44" spans="1:9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Individual!C78</f>
        <v>1952</v>
      </c>
      <c r="F44" s="6">
        <f t="shared" si="7"/>
        <v>2295.5520000000001</v>
      </c>
      <c r="G44" s="6">
        <f t="shared" si="8"/>
        <v>2361.1392000000005</v>
      </c>
      <c r="H44" s="6">
        <f t="shared" si="6"/>
        <v>2470.4512</v>
      </c>
    </row>
    <row r="45" spans="1:9" ht="18" x14ac:dyDescent="0.3">
      <c r="C45" s="6" t="s">
        <v>14</v>
      </c>
      <c r="D45" s="6"/>
      <c r="E45" s="88">
        <f>SUM(E39:E44)</f>
        <v>385589.65156121022</v>
      </c>
      <c r="F45" s="88">
        <f>SUM(F39:F44)</f>
        <v>453453.43023598328</v>
      </c>
      <c r="G45" s="88">
        <f>SUM(G39:G44)</f>
        <v>466409.24252843991</v>
      </c>
      <c r="H45" s="88">
        <f>SUM(H39:H44)</f>
        <v>488002.26301586768</v>
      </c>
      <c r="I45" s="141">
        <f>E45*1.12-H45</f>
        <v>-56141.853267312166</v>
      </c>
    </row>
    <row r="46" spans="1:9" ht="18" x14ac:dyDescent="0.3">
      <c r="C46" s="10"/>
      <c r="D46" s="10"/>
      <c r="E46" s="31"/>
      <c r="F46" s="31"/>
      <c r="G46" s="31"/>
      <c r="H46" s="31"/>
    </row>
    <row r="48" spans="1:9" ht="18" x14ac:dyDescent="0.3">
      <c r="C48" s="10"/>
      <c r="D48" s="10"/>
      <c r="E48" s="31"/>
      <c r="F48" s="31"/>
      <c r="G48" s="31"/>
      <c r="H48" s="31"/>
    </row>
    <row r="49" spans="1:13" ht="18" x14ac:dyDescent="0.3">
      <c r="C49" s="10"/>
      <c r="D49" s="10"/>
      <c r="E49" s="31"/>
      <c r="F49" s="31"/>
      <c r="G49" s="31"/>
      <c r="H49" s="31"/>
    </row>
    <row r="50" spans="1:13" ht="18" x14ac:dyDescent="0.3">
      <c r="C50" s="10"/>
      <c r="D50" s="10"/>
      <c r="E50" s="31"/>
      <c r="F50" s="31"/>
      <c r="G50" s="31"/>
      <c r="H50" s="31"/>
    </row>
    <row r="51" spans="1:13" ht="18" x14ac:dyDescent="0.3">
      <c r="C51" s="10"/>
      <c r="D51" s="10"/>
      <c r="E51" s="31"/>
      <c r="F51" s="31"/>
      <c r="G51" s="31"/>
      <c r="H51" s="31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6:M61"/>
  <sheetViews>
    <sheetView topLeftCell="A25" zoomScale="85" zoomScaleNormal="85" workbookViewId="0">
      <selection activeCell="I37" sqref="I37"/>
    </sheetView>
  </sheetViews>
  <sheetFormatPr defaultColWidth="9.109375" defaultRowHeight="14.4" x14ac:dyDescent="0.3"/>
  <cols>
    <col min="1" max="1" width="5.33203125" style="99" customWidth="1"/>
    <col min="2" max="2" width="23" style="99" customWidth="1"/>
    <col min="3" max="3" width="50.33203125" style="99" customWidth="1"/>
    <col min="4" max="4" width="8" style="99" customWidth="1"/>
    <col min="5" max="5" width="9.88671875" style="99" bestFit="1" customWidth="1"/>
    <col min="6" max="6" width="10.88671875" style="99" bestFit="1" customWidth="1"/>
    <col min="7" max="7" width="10.88671875" style="99" customWidth="1"/>
    <col min="8" max="8" width="12.5546875" style="99" bestFit="1" customWidth="1"/>
    <col min="9" max="9" width="9.109375" style="99"/>
    <col min="10" max="10" width="10.44140625" style="99" customWidth="1"/>
    <col min="11" max="16384" width="9.109375" style="99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480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413</v>
      </c>
      <c r="E25" s="6">
        <f>Individual!C8*24</f>
        <v>217080</v>
      </c>
      <c r="F25" s="6">
        <f t="shared" ref="F25:F32" si="0">(E25*1.05)*1.12</f>
        <v>255286.08000000002</v>
      </c>
      <c r="G25" s="6">
        <f t="shared" ref="G25:G32" si="1">(E25*1.08)*1.12</f>
        <v>262579.96800000005</v>
      </c>
      <c r="H25" s="6">
        <f>(E25*1.13)*1.12</f>
        <v>274736.44799999997</v>
      </c>
    </row>
    <row r="26" spans="1:8" x14ac:dyDescent="0.3">
      <c r="A26" s="6">
        <v>2</v>
      </c>
      <c r="B26" s="7" t="s">
        <v>19</v>
      </c>
      <c r="C26" s="7" t="s">
        <v>481</v>
      </c>
      <c r="D26" s="6" t="s">
        <v>5</v>
      </c>
      <c r="E26" s="6">
        <f>Individual!C16</f>
        <v>24500</v>
      </c>
      <c r="F26" s="6">
        <f t="shared" si="0"/>
        <v>28812.000000000004</v>
      </c>
      <c r="G26" s="6">
        <f t="shared" si="1"/>
        <v>29635.200000000004</v>
      </c>
      <c r="H26" s="6">
        <f>(E26*1.13)*1.12</f>
        <v>31007.199999999997</v>
      </c>
    </row>
    <row r="27" spans="1:8" ht="28.8" x14ac:dyDescent="0.3">
      <c r="A27" s="6">
        <v>3</v>
      </c>
      <c r="B27" s="7" t="s">
        <v>6</v>
      </c>
      <c r="C27" s="7" t="s">
        <v>482</v>
      </c>
      <c r="D27" s="6" t="s">
        <v>5</v>
      </c>
      <c r="E27" s="6">
        <f>Individual!K9</f>
        <v>41200</v>
      </c>
      <c r="F27" s="6">
        <f t="shared" si="0"/>
        <v>48451.200000000004</v>
      </c>
      <c r="G27" s="6">
        <f t="shared" si="1"/>
        <v>49835.520000000004</v>
      </c>
      <c r="H27" s="6">
        <f t="shared" ref="H27:H32" si="2">(E27*1.13)*1.12</f>
        <v>52142.719999999994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305</v>
      </c>
      <c r="E28" s="6">
        <f>Individual!C59*60</f>
        <v>2100</v>
      </c>
      <c r="F28" s="6">
        <f t="shared" si="0"/>
        <v>2469.6000000000004</v>
      </c>
      <c r="G28" s="6">
        <f t="shared" si="1"/>
        <v>2540.1600000000003</v>
      </c>
      <c r="H28" s="6">
        <f t="shared" si="2"/>
        <v>2657.76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3746.1759999999999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4429.6000000000004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Individual!C142</f>
        <v>16000</v>
      </c>
      <c r="F31" s="6">
        <f t="shared" si="0"/>
        <v>18816</v>
      </c>
      <c r="G31" s="6">
        <f t="shared" si="1"/>
        <v>19353.600000000002</v>
      </c>
      <c r="H31" s="6">
        <f t="shared" si="2"/>
        <v>20249.600000000002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Individual!C146</f>
        <v>6000</v>
      </c>
      <c r="F32" s="6">
        <f t="shared" si="0"/>
        <v>7056.0000000000009</v>
      </c>
      <c r="G32" s="6">
        <f t="shared" si="1"/>
        <v>7257.6</v>
      </c>
      <c r="H32" s="6">
        <f t="shared" si="2"/>
        <v>7593.5999999999995</v>
      </c>
    </row>
    <row r="33" spans="1:9" ht="18" x14ac:dyDescent="0.3">
      <c r="A33" s="6"/>
      <c r="B33" s="6"/>
      <c r="C33" s="6" t="s">
        <v>14</v>
      </c>
      <c r="D33" s="6"/>
      <c r="E33" s="88">
        <f>SUM(E25:E32)</f>
        <v>313340</v>
      </c>
      <c r="F33" s="88">
        <f>SUM(F25:F32)</f>
        <v>368487.84</v>
      </c>
      <c r="G33" s="88">
        <f>SUM(G25:G32)</f>
        <v>379016.06400000001</v>
      </c>
      <c r="H33" s="88">
        <f>SUM(H25:H32)</f>
        <v>396563.10399999988</v>
      </c>
    </row>
    <row r="35" spans="1:9" ht="28.8" x14ac:dyDescent="0.3">
      <c r="A35" s="6">
        <v>9</v>
      </c>
      <c r="B35" s="7" t="s">
        <v>20</v>
      </c>
      <c r="C35" s="7" t="s">
        <v>483</v>
      </c>
      <c r="D35" s="6" t="s">
        <v>5</v>
      </c>
      <c r="E35" s="6">
        <f>Individual!K79</f>
        <v>39606.299212598424</v>
      </c>
      <c r="F35" s="6">
        <f>(E35*1.05)*1.12</f>
        <v>46577.007874015748</v>
      </c>
      <c r="G35" s="6">
        <f>(E35*1.08)*1.12</f>
        <v>47907.779527559062</v>
      </c>
      <c r="H35" s="6">
        <f>(E35*1.13)*1.12</f>
        <v>50125.732283464567</v>
      </c>
    </row>
    <row r="36" spans="1:9" ht="18" x14ac:dyDescent="0.3">
      <c r="A36" s="10"/>
      <c r="B36" s="11"/>
      <c r="C36" s="6" t="s">
        <v>14</v>
      </c>
      <c r="D36" s="6"/>
      <c r="E36" s="88">
        <f>SUM(E33:E35)</f>
        <v>352946.29921259842</v>
      </c>
      <c r="F36" s="88">
        <f t="shared" ref="F36" si="3">SUM(F33:F35)</f>
        <v>415064.8478740158</v>
      </c>
      <c r="G36" s="88">
        <f>SUM(G33:G35)</f>
        <v>426923.84352755907</v>
      </c>
      <c r="H36" s="88">
        <f>SUM(H33:H35)</f>
        <v>446688.83628346445</v>
      </c>
      <c r="I36" s="99">
        <f>E39-E35</f>
        <v>320315</v>
      </c>
    </row>
    <row r="37" spans="1:9" x14ac:dyDescent="0.3">
      <c r="B37" s="99" t="s">
        <v>23</v>
      </c>
    </row>
    <row r="38" spans="1:9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(E38*1.13)*1.12</f>
        <v>8827.56</v>
      </c>
    </row>
    <row r="39" spans="1:9" ht="18" x14ac:dyDescent="0.3">
      <c r="C39" s="6" t="s">
        <v>14</v>
      </c>
      <c r="D39" s="6"/>
      <c r="E39" s="88">
        <f>SUM(E36:E38)</f>
        <v>359921.29921259842</v>
      </c>
      <c r="F39" s="88">
        <f>SUM(F36:F38)</f>
        <v>423267.44787401578</v>
      </c>
      <c r="G39" s="88">
        <f>SUM(G36:G38)</f>
        <v>435360.8035275591</v>
      </c>
      <c r="H39" s="88">
        <f>SUM(H36:H38)</f>
        <v>455516.39628346445</v>
      </c>
    </row>
    <row r="40" spans="1:9" x14ac:dyDescent="0.3">
      <c r="B40" s="99" t="s">
        <v>23</v>
      </c>
    </row>
    <row r="41" spans="1:9" x14ac:dyDescent="0.3">
      <c r="A41" s="6">
        <v>11</v>
      </c>
      <c r="B41" s="6" t="s">
        <v>309</v>
      </c>
      <c r="C41" s="7" t="s">
        <v>7</v>
      </c>
      <c r="D41" s="6" t="s">
        <v>22</v>
      </c>
      <c r="E41" s="6">
        <f>Individual!C101*30</f>
        <v>8625</v>
      </c>
      <c r="F41" s="6">
        <f t="shared" ref="F41:F44" si="4">(E41*1.05)*1.12</f>
        <v>10143.000000000002</v>
      </c>
      <c r="G41" s="6">
        <f t="shared" ref="G41:G44" si="5">(E41*1.08)*1.12</f>
        <v>10432.800000000001</v>
      </c>
      <c r="H41" s="6">
        <f t="shared" ref="H41:H44" si="6">(E41*1.13)*1.12</f>
        <v>10915.8</v>
      </c>
    </row>
    <row r="42" spans="1:9" x14ac:dyDescent="0.3">
      <c r="A42" s="6">
        <v>12</v>
      </c>
      <c r="B42" s="6" t="s">
        <v>484</v>
      </c>
      <c r="C42" s="7" t="s">
        <v>7</v>
      </c>
      <c r="D42" s="6" t="s">
        <v>30</v>
      </c>
      <c r="E42" s="6">
        <f>Individual!C71*40</f>
        <v>5762.7118644067796</v>
      </c>
      <c r="F42" s="6">
        <f t="shared" si="4"/>
        <v>6776.9491525423746</v>
      </c>
      <c r="G42" s="6">
        <f t="shared" si="5"/>
        <v>6970.5762711864418</v>
      </c>
      <c r="H42" s="6">
        <f t="shared" si="6"/>
        <v>7293.2881355932204</v>
      </c>
    </row>
    <row r="43" spans="1:9" x14ac:dyDescent="0.3">
      <c r="A43" s="6">
        <v>13</v>
      </c>
      <c r="B43" s="7" t="s">
        <v>26</v>
      </c>
      <c r="C43" s="7" t="s">
        <v>7</v>
      </c>
      <c r="D43" s="6" t="s">
        <v>30</v>
      </c>
      <c r="E43" s="6">
        <f>Individual!C75*40</f>
        <v>1000</v>
      </c>
      <c r="F43" s="6">
        <f t="shared" si="4"/>
        <v>1176</v>
      </c>
      <c r="G43" s="6">
        <f t="shared" si="5"/>
        <v>1209.6000000000001</v>
      </c>
      <c r="H43" s="6">
        <f t="shared" si="6"/>
        <v>1265.6000000000001</v>
      </c>
    </row>
    <row r="44" spans="1:9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Individual!C82</f>
        <v>4345</v>
      </c>
      <c r="F44" s="6">
        <f t="shared" si="4"/>
        <v>5109.72</v>
      </c>
      <c r="G44" s="6">
        <f t="shared" si="5"/>
        <v>5255.7120000000014</v>
      </c>
      <c r="H44" s="6">
        <f t="shared" si="6"/>
        <v>5499.0320000000002</v>
      </c>
    </row>
    <row r="45" spans="1:9" ht="18" x14ac:dyDescent="0.3">
      <c r="C45" s="6" t="s">
        <v>14</v>
      </c>
      <c r="D45" s="6"/>
      <c r="E45" s="88">
        <f>SUM(E39:E44)</f>
        <v>379654.01107700518</v>
      </c>
      <c r="F45" s="88">
        <f>SUM(F39:F44)</f>
        <v>446473.11702655815</v>
      </c>
      <c r="G45" s="88">
        <f>SUM(G39:G44)</f>
        <v>459229.49179874553</v>
      </c>
      <c r="H45" s="88">
        <f>SUM(H39:H44)</f>
        <v>480490.11641905765</v>
      </c>
      <c r="I45" s="141">
        <f>E45*1.12-H45</f>
        <v>-55277.624012811808</v>
      </c>
    </row>
    <row r="46" spans="1:9" ht="18" x14ac:dyDescent="0.3">
      <c r="C46" s="10"/>
      <c r="D46" s="10"/>
      <c r="E46" s="31"/>
      <c r="F46" s="31"/>
      <c r="G46" s="31"/>
      <c r="H46" s="31"/>
    </row>
    <row r="47" spans="1:9" ht="18" x14ac:dyDescent="0.3">
      <c r="A47" s="10"/>
      <c r="B47" s="10"/>
      <c r="C47" s="11"/>
      <c r="D47" s="10"/>
      <c r="E47" s="31"/>
      <c r="F47" s="10"/>
      <c r="G47" s="10"/>
      <c r="H47" s="10"/>
    </row>
    <row r="48" spans="1:9" ht="18" x14ac:dyDescent="0.3">
      <c r="A48" s="10"/>
      <c r="B48" s="10"/>
      <c r="C48" s="10"/>
      <c r="D48" s="10"/>
      <c r="E48" s="31"/>
      <c r="F48" s="31"/>
      <c r="G48" s="31"/>
      <c r="H48" s="31"/>
    </row>
    <row r="49" spans="1:13" ht="18" x14ac:dyDescent="0.3">
      <c r="A49" s="10"/>
      <c r="B49" s="10"/>
      <c r="C49" s="10"/>
      <c r="D49" s="10"/>
      <c r="E49" s="31"/>
      <c r="F49" s="31"/>
      <c r="G49" s="31"/>
      <c r="H49" s="31"/>
    </row>
    <row r="50" spans="1:13" ht="18" x14ac:dyDescent="0.3">
      <c r="C50" s="10"/>
      <c r="D50" s="10"/>
      <c r="E50" s="31"/>
      <c r="F50" s="31"/>
      <c r="G50" s="31"/>
      <c r="H50" s="31"/>
    </row>
    <row r="51" spans="1:13" ht="18" x14ac:dyDescent="0.3">
      <c r="C51" s="10"/>
      <c r="D51" s="10"/>
      <c r="E51" s="31"/>
      <c r="F51" s="31"/>
      <c r="G51" s="31"/>
      <c r="H51" s="31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6:M61"/>
  <sheetViews>
    <sheetView topLeftCell="A31" zoomScale="85" zoomScaleNormal="85" workbookViewId="0">
      <selection activeCell="I40" sqref="I40"/>
    </sheetView>
  </sheetViews>
  <sheetFormatPr defaultColWidth="9.109375" defaultRowHeight="14.4" x14ac:dyDescent="0.3"/>
  <cols>
    <col min="1" max="1" width="5.33203125" style="139" customWidth="1"/>
    <col min="2" max="2" width="23" style="139" customWidth="1"/>
    <col min="3" max="3" width="50.33203125" style="139" customWidth="1"/>
    <col min="4" max="4" width="8" style="139" customWidth="1"/>
    <col min="5" max="5" width="9.88671875" style="139" bestFit="1" customWidth="1"/>
    <col min="6" max="6" width="10.88671875" style="139" bestFit="1" customWidth="1"/>
    <col min="7" max="7" width="10.88671875" style="139" customWidth="1"/>
    <col min="8" max="8" width="12.5546875" style="139" bestFit="1" customWidth="1"/>
    <col min="9" max="9" width="9.109375" style="139"/>
    <col min="10" max="10" width="10.44140625" style="139" customWidth="1"/>
    <col min="11" max="16384" width="9.109375" style="139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485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413</v>
      </c>
      <c r="E25" s="6">
        <f>Individual!C8*24</f>
        <v>217080</v>
      </c>
      <c r="F25" s="6">
        <f t="shared" ref="F25:F32" si="0">(E25*1.05)*1.12</f>
        <v>255286.08000000002</v>
      </c>
      <c r="G25" s="6">
        <f t="shared" ref="G25:G32" si="1">(E25*1.08)*1.12</f>
        <v>262579.96800000005</v>
      </c>
      <c r="H25" s="6">
        <f>(E25*1.13)*1.12</f>
        <v>274736.44799999997</v>
      </c>
    </row>
    <row r="26" spans="1:8" x14ac:dyDescent="0.3">
      <c r="A26" s="6">
        <v>2</v>
      </c>
      <c r="B26" s="7" t="s">
        <v>19</v>
      </c>
      <c r="C26" s="7" t="s">
        <v>481</v>
      </c>
      <c r="D26" s="6" t="s">
        <v>5</v>
      </c>
      <c r="E26" s="6">
        <f>Individual!C16</f>
        <v>24500</v>
      </c>
      <c r="F26" s="6">
        <f t="shared" si="0"/>
        <v>28812.000000000004</v>
      </c>
      <c r="G26" s="6">
        <f t="shared" si="1"/>
        <v>29635.200000000004</v>
      </c>
      <c r="H26" s="6">
        <f t="shared" ref="H26:H32" si="2">(E26*1.13)*1.12</f>
        <v>31007.199999999997</v>
      </c>
    </row>
    <row r="27" spans="1:8" ht="28.8" x14ac:dyDescent="0.3">
      <c r="A27" s="6">
        <v>3</v>
      </c>
      <c r="B27" s="7" t="s">
        <v>6</v>
      </c>
      <c r="C27" s="7" t="s">
        <v>482</v>
      </c>
      <c r="D27" s="6" t="s">
        <v>5</v>
      </c>
      <c r="E27" s="6">
        <f>Individual!K9</f>
        <v>41200</v>
      </c>
      <c r="F27" s="6">
        <f t="shared" si="0"/>
        <v>48451.200000000004</v>
      </c>
      <c r="G27" s="6">
        <f t="shared" si="1"/>
        <v>49835.520000000004</v>
      </c>
      <c r="H27" s="6">
        <f t="shared" si="2"/>
        <v>52142.719999999994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305</v>
      </c>
      <c r="E28" s="6">
        <f>Individual!C59*60</f>
        <v>2100</v>
      </c>
      <c r="F28" s="6">
        <f t="shared" si="0"/>
        <v>2469.6000000000004</v>
      </c>
      <c r="G28" s="6">
        <f t="shared" si="1"/>
        <v>2540.1600000000003</v>
      </c>
      <c r="H28" s="6">
        <f t="shared" si="2"/>
        <v>2657.76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3746.1759999999999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4429.6000000000004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Individual!C142</f>
        <v>16000</v>
      </c>
      <c r="F31" s="6">
        <f t="shared" si="0"/>
        <v>18816</v>
      </c>
      <c r="G31" s="6">
        <f t="shared" si="1"/>
        <v>19353.600000000002</v>
      </c>
      <c r="H31" s="6">
        <f t="shared" si="2"/>
        <v>20249.600000000002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Individual!C146</f>
        <v>6000</v>
      </c>
      <c r="F32" s="6">
        <f t="shared" si="0"/>
        <v>7056.0000000000009</v>
      </c>
      <c r="G32" s="6">
        <f t="shared" si="1"/>
        <v>7257.6</v>
      </c>
      <c r="H32" s="6">
        <f t="shared" si="2"/>
        <v>7593.5999999999995</v>
      </c>
    </row>
    <row r="33" spans="1:9" ht="18" x14ac:dyDescent="0.3">
      <c r="A33" s="6"/>
      <c r="B33" s="6"/>
      <c r="C33" s="6" t="s">
        <v>14</v>
      </c>
      <c r="D33" s="6"/>
      <c r="E33" s="88">
        <f>SUM(E25:E32)</f>
        <v>313340</v>
      </c>
      <c r="F33" s="88">
        <f>SUM(F25:F32)</f>
        <v>368487.84</v>
      </c>
      <c r="G33" s="88">
        <f>SUM(G25:G32)</f>
        <v>379016.06400000001</v>
      </c>
      <c r="H33" s="88">
        <f>SUM(H25:H32)</f>
        <v>396563.10399999988</v>
      </c>
    </row>
    <row r="35" spans="1:9" ht="28.8" x14ac:dyDescent="0.3">
      <c r="A35" s="6">
        <v>9</v>
      </c>
      <c r="B35" s="7" t="s">
        <v>20</v>
      </c>
      <c r="C35" s="7" t="s">
        <v>486</v>
      </c>
      <c r="D35" s="6" t="s">
        <v>5</v>
      </c>
      <c r="E35" s="6">
        <f>Individual!K83</f>
        <v>44881.889763779523</v>
      </c>
      <c r="F35" s="6">
        <f>(E35*1.05)*1.12</f>
        <v>52781.102362204729</v>
      </c>
      <c r="G35" s="6">
        <f>(E35*1.08)*1.12</f>
        <v>54289.133858267727</v>
      </c>
      <c r="H35" s="6">
        <f>(E35*1.13)*1.12</f>
        <v>56802.51968503937</v>
      </c>
    </row>
    <row r="36" spans="1:9" ht="18" x14ac:dyDescent="0.3">
      <c r="A36" s="10"/>
      <c r="B36" s="11"/>
      <c r="C36" s="6" t="s">
        <v>14</v>
      </c>
      <c r="D36" s="6"/>
      <c r="E36" s="88">
        <f>SUM(E33:E35)</f>
        <v>358221.88976377953</v>
      </c>
      <c r="F36" s="88">
        <f t="shared" ref="F36" si="3">SUM(F33:F35)</f>
        <v>421268.94236220478</v>
      </c>
      <c r="G36" s="88">
        <f>SUM(G33:G35)</f>
        <v>433305.19785826775</v>
      </c>
      <c r="H36" s="88">
        <f>SUM(H33:H35)</f>
        <v>453365.62368503923</v>
      </c>
    </row>
    <row r="37" spans="1:9" x14ac:dyDescent="0.3">
      <c r="B37" s="139" t="s">
        <v>23</v>
      </c>
    </row>
    <row r="38" spans="1:9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(E38*1.13)*1.12</f>
        <v>8827.56</v>
      </c>
    </row>
    <row r="39" spans="1:9" ht="18" x14ac:dyDescent="0.3">
      <c r="C39" s="6" t="s">
        <v>14</v>
      </c>
      <c r="D39" s="6"/>
      <c r="E39" s="88">
        <f>SUM(E36:E38)</f>
        <v>365196.88976377953</v>
      </c>
      <c r="F39" s="88">
        <f>SUM(F36:F38)</f>
        <v>429471.54236220475</v>
      </c>
      <c r="G39" s="88">
        <f>SUM(G36:G38)</f>
        <v>441742.15785826778</v>
      </c>
      <c r="H39" s="88">
        <f>SUM(H36:H38)</f>
        <v>462193.18368503923</v>
      </c>
      <c r="I39" s="139">
        <f>E39-E35</f>
        <v>320315</v>
      </c>
    </row>
    <row r="40" spans="1:9" x14ac:dyDescent="0.3">
      <c r="B40" s="139" t="s">
        <v>23</v>
      </c>
    </row>
    <row r="41" spans="1:9" x14ac:dyDescent="0.3">
      <c r="A41" s="6">
        <v>11</v>
      </c>
      <c r="B41" s="6" t="s">
        <v>285</v>
      </c>
      <c r="C41" s="7" t="s">
        <v>7</v>
      </c>
      <c r="D41" s="6" t="s">
        <v>444</v>
      </c>
      <c r="E41" s="6">
        <f>Individual!C100*80</f>
        <v>16333.333333333336</v>
      </c>
      <c r="F41" s="6">
        <f t="shared" ref="F41:F44" si="4">(E41*1.05)*1.12</f>
        <v>19208.000000000007</v>
      </c>
      <c r="G41" s="6">
        <f t="shared" ref="G41:G44" si="5">(E41*1.08)*1.12</f>
        <v>19756.800000000007</v>
      </c>
      <c r="H41" s="6">
        <f t="shared" ref="H41:H44" si="6">(E41*1.13)*1.12</f>
        <v>20671.466666666671</v>
      </c>
    </row>
    <row r="42" spans="1:9" x14ac:dyDescent="0.3">
      <c r="A42" s="6">
        <v>12</v>
      </c>
      <c r="B42" s="6" t="s">
        <v>487</v>
      </c>
      <c r="C42" s="7" t="s">
        <v>7</v>
      </c>
      <c r="D42" s="6" t="s">
        <v>306</v>
      </c>
      <c r="E42" s="6">
        <f>Individual!C71*90</f>
        <v>12966.101694915254</v>
      </c>
      <c r="F42" s="6">
        <f t="shared" si="4"/>
        <v>15248.135593220342</v>
      </c>
      <c r="G42" s="6">
        <f t="shared" si="5"/>
        <v>15683.796610169493</v>
      </c>
      <c r="H42" s="6">
        <f t="shared" si="6"/>
        <v>16409.898305084746</v>
      </c>
    </row>
    <row r="43" spans="1:9" x14ac:dyDescent="0.3">
      <c r="A43" s="6">
        <v>13</v>
      </c>
      <c r="B43" s="7" t="s">
        <v>26</v>
      </c>
      <c r="C43" s="7" t="s">
        <v>7</v>
      </c>
      <c r="D43" s="6" t="s">
        <v>306</v>
      </c>
      <c r="E43" s="6">
        <f>Individual!C75*90</f>
        <v>2250</v>
      </c>
      <c r="F43" s="6">
        <f t="shared" si="4"/>
        <v>2646.0000000000005</v>
      </c>
      <c r="G43" s="6">
        <f t="shared" si="5"/>
        <v>2721.6000000000004</v>
      </c>
      <c r="H43" s="6">
        <f t="shared" si="6"/>
        <v>2847.6</v>
      </c>
    </row>
    <row r="44" spans="1:9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Individual!C81</f>
        <v>3510</v>
      </c>
      <c r="F44" s="6">
        <f t="shared" si="4"/>
        <v>4127.76</v>
      </c>
      <c r="G44" s="6">
        <f t="shared" si="5"/>
        <v>4245.6960000000008</v>
      </c>
      <c r="H44" s="6">
        <f t="shared" si="6"/>
        <v>4442.2560000000003</v>
      </c>
    </row>
    <row r="45" spans="1:9" ht="18" x14ac:dyDescent="0.3">
      <c r="C45" s="6" t="s">
        <v>14</v>
      </c>
      <c r="D45" s="6"/>
      <c r="E45" s="88">
        <f>SUM(E39:E44)</f>
        <v>400256.32479202811</v>
      </c>
      <c r="F45" s="88">
        <f>SUM(F39:F44)</f>
        <v>470701.43795542512</v>
      </c>
      <c r="G45" s="88">
        <f>SUM(G39:G44)</f>
        <v>484150.05046843726</v>
      </c>
      <c r="H45" s="88">
        <f>SUM(H39:H44)</f>
        <v>506564.4046567906</v>
      </c>
    </row>
    <row r="46" spans="1:9" ht="18" x14ac:dyDescent="0.3">
      <c r="C46" s="10"/>
      <c r="D46" s="10"/>
      <c r="E46" s="31"/>
      <c r="F46" s="31"/>
      <c r="G46" s="31"/>
      <c r="H46" s="31"/>
    </row>
    <row r="47" spans="1:9" ht="18" x14ac:dyDescent="0.3">
      <c r="C47" s="10"/>
      <c r="D47" s="10"/>
      <c r="E47" s="31"/>
      <c r="F47" s="31"/>
      <c r="G47" s="31"/>
      <c r="H47" s="31"/>
    </row>
    <row r="48" spans="1:9" ht="18" x14ac:dyDescent="0.3">
      <c r="A48" s="6">
        <v>15</v>
      </c>
      <c r="B48" s="6" t="s">
        <v>70</v>
      </c>
      <c r="C48" s="7" t="s">
        <v>7</v>
      </c>
      <c r="D48" s="6" t="s">
        <v>488</v>
      </c>
      <c r="E48" s="88">
        <f>Individual!C135*26</f>
        <v>38325.92592592592</v>
      </c>
      <c r="F48" s="6">
        <f t="shared" ref="F48" si="7">(E48*1.05)*1.12</f>
        <v>45071.288888888892</v>
      </c>
      <c r="G48" s="6">
        <f t="shared" ref="G48" si="8">(E48*1.08)*1.12</f>
        <v>46359.039999999994</v>
      </c>
      <c r="H48" s="6">
        <f>(E48*1.13)*1.12</f>
        <v>48505.291851851842</v>
      </c>
    </row>
    <row r="49" spans="1:13" ht="18" x14ac:dyDescent="0.3">
      <c r="C49" s="10"/>
      <c r="D49" s="10"/>
      <c r="E49" s="31">
        <f>E40+E43+E44+E45+E48</f>
        <v>444342.25071795401</v>
      </c>
      <c r="F49" s="31">
        <f>F40+F43+F44+F45+F48</f>
        <v>522546.48684431403</v>
      </c>
      <c r="G49" s="31">
        <f t="shared" ref="G49:H49" si="9">G40+G43+G44+G45+G48</f>
        <v>537476.38646843727</v>
      </c>
      <c r="H49" s="31">
        <f t="shared" si="9"/>
        <v>562359.55250864243</v>
      </c>
    </row>
    <row r="50" spans="1:13" ht="18" x14ac:dyDescent="0.3">
      <c r="C50" s="10"/>
      <c r="D50" s="10"/>
      <c r="E50" s="31"/>
      <c r="F50" s="31"/>
      <c r="G50" s="31"/>
      <c r="H50" s="31"/>
    </row>
    <row r="51" spans="1:13" ht="18" x14ac:dyDescent="0.3">
      <c r="C51" s="10"/>
      <c r="D51" s="10"/>
      <c r="E51" s="31"/>
      <c r="F51" s="31"/>
      <c r="G51" s="31"/>
      <c r="H51" s="31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6:M61"/>
  <sheetViews>
    <sheetView topLeftCell="A31" zoomScale="85" zoomScaleNormal="85" workbookViewId="0">
      <selection activeCell="I40" sqref="I40"/>
    </sheetView>
  </sheetViews>
  <sheetFormatPr defaultColWidth="9.109375" defaultRowHeight="14.4" x14ac:dyDescent="0.3"/>
  <cols>
    <col min="1" max="1" width="5.33203125" style="139" customWidth="1"/>
    <col min="2" max="2" width="23" style="139" customWidth="1"/>
    <col min="3" max="3" width="50.33203125" style="139" customWidth="1"/>
    <col min="4" max="4" width="8" style="139" customWidth="1"/>
    <col min="5" max="5" width="9.88671875" style="139" bestFit="1" customWidth="1"/>
    <col min="6" max="6" width="10.88671875" style="139" bestFit="1" customWidth="1"/>
    <col min="7" max="7" width="10.88671875" style="139" customWidth="1"/>
    <col min="8" max="8" width="12.5546875" style="139" bestFit="1" customWidth="1"/>
    <col min="9" max="9" width="9.109375" style="139"/>
    <col min="10" max="10" width="10.44140625" style="139" customWidth="1"/>
    <col min="11" max="16384" width="9.109375" style="139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489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413</v>
      </c>
      <c r="E25" s="6">
        <f>Individual!C8*24</f>
        <v>217080</v>
      </c>
      <c r="F25" s="6">
        <f t="shared" ref="F25:F32" si="0">(E25*1.05)*1.12</f>
        <v>255286.08000000002</v>
      </c>
      <c r="G25" s="6">
        <f t="shared" ref="G25:G32" si="1">(E25*1.08)*1.12</f>
        <v>262579.96800000005</v>
      </c>
      <c r="H25" s="6">
        <f>(E25*1.13)*1.12</f>
        <v>274736.44799999997</v>
      </c>
    </row>
    <row r="26" spans="1:8" x14ac:dyDescent="0.3">
      <c r="A26" s="6">
        <v>2</v>
      </c>
      <c r="B26" s="7" t="s">
        <v>19</v>
      </c>
      <c r="C26" s="7" t="s">
        <v>481</v>
      </c>
      <c r="D26" s="6" t="s">
        <v>5</v>
      </c>
      <c r="E26" s="6">
        <f>Individual!C16</f>
        <v>24500</v>
      </c>
      <c r="F26" s="6">
        <f t="shared" si="0"/>
        <v>28812.000000000004</v>
      </c>
      <c r="G26" s="6">
        <f t="shared" si="1"/>
        <v>29635.200000000004</v>
      </c>
      <c r="H26" s="6">
        <f t="shared" ref="H26:H32" si="2">(E26*1.13)*1.12</f>
        <v>31007.199999999997</v>
      </c>
    </row>
    <row r="27" spans="1:8" ht="28.8" x14ac:dyDescent="0.3">
      <c r="A27" s="6">
        <v>3</v>
      </c>
      <c r="B27" s="7" t="s">
        <v>6</v>
      </c>
      <c r="C27" s="7" t="s">
        <v>482</v>
      </c>
      <c r="D27" s="6" t="s">
        <v>5</v>
      </c>
      <c r="E27" s="6">
        <f>Individual!K9</f>
        <v>41200</v>
      </c>
      <c r="F27" s="6">
        <f t="shared" si="0"/>
        <v>48451.200000000004</v>
      </c>
      <c r="G27" s="6">
        <f t="shared" si="1"/>
        <v>49835.520000000004</v>
      </c>
      <c r="H27" s="6">
        <f t="shared" si="2"/>
        <v>52142.719999999994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305</v>
      </c>
      <c r="E28" s="6">
        <f>Individual!C59*60</f>
        <v>2100</v>
      </c>
      <c r="F28" s="6">
        <f t="shared" si="0"/>
        <v>2469.6000000000004</v>
      </c>
      <c r="G28" s="6">
        <f t="shared" si="1"/>
        <v>2540.1600000000003</v>
      </c>
      <c r="H28" s="6">
        <f t="shared" si="2"/>
        <v>2657.76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3746.1759999999999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4429.6000000000004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Individual!C142</f>
        <v>16000</v>
      </c>
      <c r="F31" s="6">
        <f t="shared" si="0"/>
        <v>18816</v>
      </c>
      <c r="G31" s="6">
        <f t="shared" si="1"/>
        <v>19353.600000000002</v>
      </c>
      <c r="H31" s="6">
        <f t="shared" si="2"/>
        <v>20249.600000000002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Individual!C146</f>
        <v>6000</v>
      </c>
      <c r="F32" s="6">
        <f t="shared" si="0"/>
        <v>7056.0000000000009</v>
      </c>
      <c r="G32" s="6">
        <f t="shared" si="1"/>
        <v>7257.6</v>
      </c>
      <c r="H32" s="6">
        <f t="shared" si="2"/>
        <v>7593.5999999999995</v>
      </c>
    </row>
    <row r="33" spans="1:9" ht="18" x14ac:dyDescent="0.3">
      <c r="A33" s="6"/>
      <c r="B33" s="6"/>
      <c r="C33" s="6" t="s">
        <v>14</v>
      </c>
      <c r="D33" s="6"/>
      <c r="E33" s="88">
        <f>SUM(E25:E32)</f>
        <v>313340</v>
      </c>
      <c r="F33" s="88">
        <f>SUM(F25:F32)</f>
        <v>368487.84</v>
      </c>
      <c r="G33" s="88">
        <f>SUM(G25:G32)</f>
        <v>379016.06400000001</v>
      </c>
      <c r="H33" s="88">
        <f>SUM(H25:H32)</f>
        <v>396563.10399999988</v>
      </c>
    </row>
    <row r="35" spans="1:9" ht="28.8" x14ac:dyDescent="0.3">
      <c r="A35" s="6">
        <v>9</v>
      </c>
      <c r="B35" s="7" t="s">
        <v>20</v>
      </c>
      <c r="C35" s="7" t="s">
        <v>490</v>
      </c>
      <c r="D35" s="6" t="s">
        <v>5</v>
      </c>
      <c r="E35" s="6">
        <f>Individual!K88</f>
        <v>44196.428571428565</v>
      </c>
      <c r="F35" s="6">
        <f>(E35*1.05)*1.12</f>
        <v>51975</v>
      </c>
      <c r="G35" s="6">
        <f>(E35*1.08)*1.12</f>
        <v>53460</v>
      </c>
      <c r="H35" s="6">
        <f>(E35*1.13)*1.12</f>
        <v>55934.999999999993</v>
      </c>
    </row>
    <row r="36" spans="1:9" ht="18" x14ac:dyDescent="0.3">
      <c r="A36" s="10"/>
      <c r="B36" s="11"/>
      <c r="C36" s="6" t="s">
        <v>14</v>
      </c>
      <c r="D36" s="6"/>
      <c r="E36" s="88">
        <f>SUM(E33:E35)</f>
        <v>357536.42857142858</v>
      </c>
      <c r="F36" s="88">
        <f t="shared" ref="F36" si="3">SUM(F33:F35)</f>
        <v>420462.84</v>
      </c>
      <c r="G36" s="88">
        <f>SUM(G33:G35)</f>
        <v>432476.06400000001</v>
      </c>
      <c r="H36" s="88">
        <f>SUM(H33:H35)</f>
        <v>452498.10399999988</v>
      </c>
    </row>
    <row r="37" spans="1:9" x14ac:dyDescent="0.3">
      <c r="B37" s="139" t="s">
        <v>23</v>
      </c>
    </row>
    <row r="38" spans="1:9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(E38*1.13)*1.12</f>
        <v>8827.56</v>
      </c>
    </row>
    <row r="39" spans="1:9" ht="18" x14ac:dyDescent="0.3">
      <c r="C39" s="6" t="s">
        <v>14</v>
      </c>
      <c r="D39" s="6"/>
      <c r="E39" s="88">
        <f>SUM(E36:E38)</f>
        <v>364511.42857142858</v>
      </c>
      <c r="F39" s="88">
        <f>SUM(F36:F38)</f>
        <v>428665.44</v>
      </c>
      <c r="G39" s="88">
        <f>SUM(G36:G38)</f>
        <v>440913.02400000003</v>
      </c>
      <c r="H39" s="88">
        <f>SUM(H36:H38)</f>
        <v>461325.66399999987</v>
      </c>
      <c r="I39" s="139">
        <f>E39-E35</f>
        <v>320315</v>
      </c>
    </row>
    <row r="40" spans="1:9" x14ac:dyDescent="0.3">
      <c r="B40" s="139" t="s">
        <v>23</v>
      </c>
    </row>
    <row r="41" spans="1:9" x14ac:dyDescent="0.3">
      <c r="A41" s="6">
        <v>11</v>
      </c>
      <c r="B41" s="6" t="s">
        <v>287</v>
      </c>
      <c r="C41" s="7" t="s">
        <v>7</v>
      </c>
      <c r="D41" s="6" t="s">
        <v>301</v>
      </c>
      <c r="E41" s="6">
        <f>Individual!C98*150</f>
        <v>32875</v>
      </c>
      <c r="F41" s="6">
        <f t="shared" ref="F41:F44" si="4">(E41*1.05)*1.12</f>
        <v>38661.000000000007</v>
      </c>
      <c r="G41" s="6">
        <f t="shared" ref="G41:G44" si="5">(E41*1.08)*1.12</f>
        <v>39765.600000000006</v>
      </c>
      <c r="H41" s="6">
        <f t="shared" ref="H41:H44" si="6">(E41*1.13)*1.12</f>
        <v>41606.600000000006</v>
      </c>
    </row>
    <row r="42" spans="1:9" x14ac:dyDescent="0.3">
      <c r="A42" s="6">
        <v>12</v>
      </c>
      <c r="B42" s="6" t="s">
        <v>484</v>
      </c>
      <c r="C42" s="7" t="s">
        <v>7</v>
      </c>
      <c r="D42" s="6" t="s">
        <v>302</v>
      </c>
      <c r="E42" s="6">
        <f>Individual!C71*160</f>
        <v>23050.847457627118</v>
      </c>
      <c r="F42" s="6">
        <f t="shared" si="4"/>
        <v>27107.796610169498</v>
      </c>
      <c r="G42" s="6">
        <f t="shared" si="5"/>
        <v>27882.305084745767</v>
      </c>
      <c r="H42" s="6">
        <f t="shared" si="6"/>
        <v>29173.152542372882</v>
      </c>
    </row>
    <row r="43" spans="1:9" x14ac:dyDescent="0.3">
      <c r="A43" s="6">
        <v>13</v>
      </c>
      <c r="B43" s="7" t="s">
        <v>26</v>
      </c>
      <c r="C43" s="7" t="s">
        <v>7</v>
      </c>
      <c r="D43" s="6" t="s">
        <v>302</v>
      </c>
      <c r="E43" s="6">
        <f>Individual!C75*160</f>
        <v>4000</v>
      </c>
      <c r="F43" s="6">
        <f t="shared" si="4"/>
        <v>4704</v>
      </c>
      <c r="G43" s="6">
        <f t="shared" si="5"/>
        <v>4838.4000000000005</v>
      </c>
      <c r="H43" s="6">
        <f t="shared" si="6"/>
        <v>5062.4000000000005</v>
      </c>
    </row>
    <row r="44" spans="1:9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Individual!C80</f>
        <v>3205</v>
      </c>
      <c r="F44" s="6">
        <f t="shared" si="4"/>
        <v>3769.0800000000004</v>
      </c>
      <c r="G44" s="6">
        <f t="shared" si="5"/>
        <v>3876.7680000000005</v>
      </c>
      <c r="H44" s="6">
        <f t="shared" si="6"/>
        <v>4056.248</v>
      </c>
    </row>
    <row r="45" spans="1:9" ht="18" x14ac:dyDescent="0.3">
      <c r="C45" s="6" t="s">
        <v>14</v>
      </c>
      <c r="D45" s="6"/>
      <c r="E45" s="88">
        <f>SUM(E39:E44)</f>
        <v>427642.27602905571</v>
      </c>
      <c r="F45" s="88">
        <f>SUM(F39:F44)</f>
        <v>502907.31661016954</v>
      </c>
      <c r="G45" s="88">
        <f>SUM(G39:G44)</f>
        <v>517276.09708474582</v>
      </c>
      <c r="H45" s="88">
        <f>SUM(H39:H44)</f>
        <v>541224.06454237283</v>
      </c>
    </row>
    <row r="46" spans="1:9" ht="18" x14ac:dyDescent="0.3">
      <c r="C46" s="10"/>
      <c r="D46" s="10"/>
      <c r="E46" s="31"/>
      <c r="F46" s="31"/>
      <c r="G46" s="31"/>
      <c r="H46" s="31"/>
    </row>
    <row r="47" spans="1:9" ht="18" x14ac:dyDescent="0.3">
      <c r="C47" s="10"/>
      <c r="D47" s="10"/>
      <c r="E47" s="31"/>
      <c r="F47" s="31"/>
      <c r="G47" s="31"/>
      <c r="H47" s="31"/>
    </row>
    <row r="48" spans="1:9" ht="18" x14ac:dyDescent="0.3">
      <c r="A48" s="6">
        <v>15</v>
      </c>
      <c r="B48" s="6" t="s">
        <v>70</v>
      </c>
      <c r="C48" s="7" t="s">
        <v>7</v>
      </c>
      <c r="D48" s="6" t="s">
        <v>434</v>
      </c>
      <c r="E48" s="101">
        <f>Individual!C131*50</f>
        <v>57074.074074074066</v>
      </c>
      <c r="F48" s="6">
        <f t="shared" ref="F48" si="7">(E48*1.05)*1.12</f>
        <v>67119.111111111109</v>
      </c>
      <c r="G48" s="6">
        <f t="shared" ref="G48" si="8">(E48*1.08)*1.12</f>
        <v>69036.800000000003</v>
      </c>
      <c r="H48" s="6">
        <f>(E48*1.13)*1.12</f>
        <v>72232.948148148134</v>
      </c>
    </row>
    <row r="49" spans="1:13" ht="18" x14ac:dyDescent="0.3">
      <c r="C49" s="10"/>
      <c r="D49" s="10"/>
      <c r="E49" s="31">
        <f>E40+E43+E44+E45+E48</f>
        <v>491921.35010312975</v>
      </c>
      <c r="F49" s="31">
        <f>F40+F43+F44+F45+F48</f>
        <v>578499.50772128068</v>
      </c>
      <c r="G49" s="31">
        <f t="shared" ref="G49:H49" si="9">G40+G43+G44+G45+G48</f>
        <v>595028.06508474587</v>
      </c>
      <c r="H49" s="31">
        <f t="shared" si="9"/>
        <v>622575.66069052101</v>
      </c>
    </row>
    <row r="50" spans="1:13" ht="18" x14ac:dyDescent="0.3">
      <c r="C50" s="10"/>
      <c r="D50" s="10"/>
      <c r="E50" s="31"/>
      <c r="F50" s="31"/>
      <c r="G50" s="31"/>
      <c r="H50" s="31"/>
    </row>
    <row r="51" spans="1:13" ht="18" x14ac:dyDescent="0.3">
      <c r="C51" s="10"/>
      <c r="D51" s="10"/>
      <c r="E51" s="31"/>
      <c r="F51" s="31"/>
      <c r="G51" s="31"/>
      <c r="H51" s="31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6:M61"/>
  <sheetViews>
    <sheetView topLeftCell="A28" zoomScale="85" zoomScaleNormal="85" workbookViewId="0">
      <selection activeCell="I40" sqref="I40"/>
    </sheetView>
  </sheetViews>
  <sheetFormatPr defaultColWidth="9.109375" defaultRowHeight="14.4" x14ac:dyDescent="0.3"/>
  <cols>
    <col min="1" max="1" width="5.33203125" style="139" customWidth="1"/>
    <col min="2" max="2" width="23" style="139" customWidth="1"/>
    <col min="3" max="3" width="50.33203125" style="139" customWidth="1"/>
    <col min="4" max="4" width="8" style="139" customWidth="1"/>
    <col min="5" max="5" width="9.88671875" style="139" bestFit="1" customWidth="1"/>
    <col min="6" max="6" width="10.88671875" style="139" bestFit="1" customWidth="1"/>
    <col min="7" max="7" width="10.88671875" style="139" customWidth="1"/>
    <col min="8" max="8" width="12.5546875" style="139" bestFit="1" customWidth="1"/>
    <col min="9" max="9" width="9.109375" style="139"/>
    <col min="10" max="10" width="10.44140625" style="139" customWidth="1"/>
    <col min="11" max="16384" width="9.109375" style="139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492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413</v>
      </c>
      <c r="E25" s="6">
        <f>Individual!C8*24</f>
        <v>217080</v>
      </c>
      <c r="F25" s="6">
        <f t="shared" ref="F25:F32" si="0">(E25*1.05)*1.12</f>
        <v>255286.08000000002</v>
      </c>
      <c r="G25" s="6">
        <f t="shared" ref="G25:G32" si="1">(E25*1.08)*1.12</f>
        <v>262579.96800000005</v>
      </c>
      <c r="H25" s="6">
        <f>(E25*1.13)*1.12</f>
        <v>274736.44799999997</v>
      </c>
    </row>
    <row r="26" spans="1:8" x14ac:dyDescent="0.3">
      <c r="A26" s="6">
        <v>2</v>
      </c>
      <c r="B26" s="7" t="s">
        <v>19</v>
      </c>
      <c r="C26" s="7" t="s">
        <v>481</v>
      </c>
      <c r="D26" s="6" t="s">
        <v>5</v>
      </c>
      <c r="E26" s="6">
        <f>Individual!C16</f>
        <v>24500</v>
      </c>
      <c r="F26" s="6">
        <f t="shared" si="0"/>
        <v>28812.000000000004</v>
      </c>
      <c r="G26" s="6">
        <f t="shared" si="1"/>
        <v>29635.200000000004</v>
      </c>
      <c r="H26" s="6">
        <f t="shared" ref="H26:H32" si="2">(E26*1.13)*1.12</f>
        <v>31007.199999999997</v>
      </c>
    </row>
    <row r="27" spans="1:8" ht="28.8" x14ac:dyDescent="0.3">
      <c r="A27" s="6">
        <v>3</v>
      </c>
      <c r="B27" s="7" t="s">
        <v>6</v>
      </c>
      <c r="C27" s="7" t="s">
        <v>482</v>
      </c>
      <c r="D27" s="6" t="s">
        <v>5</v>
      </c>
      <c r="E27" s="6">
        <f>Individual!K9</f>
        <v>41200</v>
      </c>
      <c r="F27" s="6">
        <f t="shared" si="0"/>
        <v>48451.200000000004</v>
      </c>
      <c r="G27" s="6">
        <f t="shared" si="1"/>
        <v>49835.520000000004</v>
      </c>
      <c r="H27" s="6">
        <f t="shared" si="2"/>
        <v>52142.719999999994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305</v>
      </c>
      <c r="E28" s="6">
        <f>Individual!C59*60</f>
        <v>2100</v>
      </c>
      <c r="F28" s="6">
        <f t="shared" si="0"/>
        <v>2469.6000000000004</v>
      </c>
      <c r="G28" s="6">
        <f t="shared" si="1"/>
        <v>2540.1600000000003</v>
      </c>
      <c r="H28" s="6">
        <f t="shared" si="2"/>
        <v>2657.76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3746.1759999999999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4429.6000000000004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Individual!C142</f>
        <v>16000</v>
      </c>
      <c r="F31" s="6">
        <f t="shared" si="0"/>
        <v>18816</v>
      </c>
      <c r="G31" s="6">
        <f t="shared" si="1"/>
        <v>19353.600000000002</v>
      </c>
      <c r="H31" s="6">
        <f t="shared" si="2"/>
        <v>20249.600000000002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Individual!C146</f>
        <v>6000</v>
      </c>
      <c r="F32" s="6">
        <f t="shared" si="0"/>
        <v>7056.0000000000009</v>
      </c>
      <c r="G32" s="6">
        <f t="shared" si="1"/>
        <v>7257.6</v>
      </c>
      <c r="H32" s="6">
        <f t="shared" si="2"/>
        <v>7593.5999999999995</v>
      </c>
    </row>
    <row r="33" spans="1:9" ht="18" x14ac:dyDescent="0.3">
      <c r="A33" s="6"/>
      <c r="B33" s="6"/>
      <c r="C33" s="6" t="s">
        <v>14</v>
      </c>
      <c r="D33" s="6"/>
      <c r="E33" s="88">
        <f>SUM(E25:E32)</f>
        <v>313340</v>
      </c>
      <c r="F33" s="88">
        <f>SUM(F25:F32)</f>
        <v>368487.84</v>
      </c>
      <c r="G33" s="88">
        <f>SUM(G25:G32)</f>
        <v>379016.06400000001</v>
      </c>
      <c r="H33" s="88">
        <f>SUM(H25:H32)</f>
        <v>396563.10399999988</v>
      </c>
    </row>
    <row r="35" spans="1:9" ht="28.8" x14ac:dyDescent="0.3">
      <c r="A35" s="6">
        <v>9</v>
      </c>
      <c r="B35" s="7" t="s">
        <v>20</v>
      </c>
      <c r="C35" s="7" t="s">
        <v>493</v>
      </c>
      <c r="D35" s="6" t="s">
        <v>5</v>
      </c>
      <c r="E35" s="6">
        <f>Individual!K90</f>
        <v>49687.499999999993</v>
      </c>
      <c r="F35" s="6">
        <f>(E35*1.05)*1.12</f>
        <v>58432.5</v>
      </c>
      <c r="G35" s="6">
        <f>(E35*1.08)*1.12</f>
        <v>60102</v>
      </c>
      <c r="H35" s="6">
        <f>(E35*1.13)*1.12</f>
        <v>62884.499999999993</v>
      </c>
    </row>
    <row r="36" spans="1:9" ht="18" x14ac:dyDescent="0.3">
      <c r="A36" s="10"/>
      <c r="B36" s="11"/>
      <c r="C36" s="6" t="s">
        <v>14</v>
      </c>
      <c r="D36" s="6"/>
      <c r="E36" s="88">
        <f>SUM(E33:E35)</f>
        <v>363027.5</v>
      </c>
      <c r="F36" s="88">
        <f t="shared" ref="F36" si="3">SUM(F33:F35)</f>
        <v>426920.34</v>
      </c>
      <c r="G36" s="88">
        <f>SUM(G33:G35)</f>
        <v>439118.06400000001</v>
      </c>
      <c r="H36" s="88">
        <f>SUM(H33:H35)</f>
        <v>459447.60399999988</v>
      </c>
    </row>
    <row r="37" spans="1:9" x14ac:dyDescent="0.3">
      <c r="B37" s="139" t="s">
        <v>23</v>
      </c>
    </row>
    <row r="38" spans="1:9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(E38*1.13)*1.12</f>
        <v>8827.56</v>
      </c>
    </row>
    <row r="39" spans="1:9" ht="18" x14ac:dyDescent="0.3">
      <c r="C39" s="6" t="s">
        <v>14</v>
      </c>
      <c r="D39" s="6"/>
      <c r="E39" s="88">
        <f>SUM(E36:E38)</f>
        <v>370002.5</v>
      </c>
      <c r="F39" s="88">
        <f>SUM(F36:F38)</f>
        <v>435122.94</v>
      </c>
      <c r="G39" s="88">
        <f>SUM(G36:G38)</f>
        <v>447555.02400000003</v>
      </c>
      <c r="H39" s="88">
        <f>SUM(H36:H38)</f>
        <v>468275.16399999987</v>
      </c>
      <c r="I39" s="139">
        <f>E39-E35</f>
        <v>320315</v>
      </c>
    </row>
    <row r="40" spans="1:9" x14ac:dyDescent="0.3">
      <c r="B40" s="139" t="s">
        <v>23</v>
      </c>
    </row>
    <row r="41" spans="1:9" x14ac:dyDescent="0.3">
      <c r="A41" s="6">
        <v>11</v>
      </c>
      <c r="B41" s="6" t="s">
        <v>310</v>
      </c>
      <c r="C41" s="7" t="s">
        <v>7</v>
      </c>
      <c r="D41" s="6" t="s">
        <v>471</v>
      </c>
      <c r="E41" s="6">
        <f>Individual!C98*200</f>
        <v>43833.333333333336</v>
      </c>
      <c r="F41" s="6">
        <f t="shared" ref="F41:F44" si="4">(E41*1.05)*1.12</f>
        <v>51548.000000000015</v>
      </c>
      <c r="G41" s="6">
        <f t="shared" ref="G41:G44" si="5">(E41*1.08)*1.12</f>
        <v>53020.80000000001</v>
      </c>
      <c r="H41" s="6">
        <f t="shared" ref="H41:H44" si="6">(E41*1.13)*1.12</f>
        <v>55475.466666666667</v>
      </c>
    </row>
    <row r="42" spans="1:9" x14ac:dyDescent="0.3">
      <c r="A42" s="6">
        <v>12</v>
      </c>
      <c r="B42" s="6" t="s">
        <v>484</v>
      </c>
      <c r="C42" s="7" t="s">
        <v>7</v>
      </c>
      <c r="D42" s="6" t="s">
        <v>472</v>
      </c>
      <c r="E42" s="6">
        <f>Individual!C71*210</f>
        <v>30254.237288135595</v>
      </c>
      <c r="F42" s="6">
        <f t="shared" si="4"/>
        <v>35578.983050847462</v>
      </c>
      <c r="G42" s="6">
        <f t="shared" si="5"/>
        <v>36595.525423728825</v>
      </c>
      <c r="H42" s="6">
        <f t="shared" si="6"/>
        <v>38289.762711864409</v>
      </c>
    </row>
    <row r="43" spans="1:9" x14ac:dyDescent="0.3">
      <c r="A43" s="6">
        <v>13</v>
      </c>
      <c r="B43" s="7" t="s">
        <v>26</v>
      </c>
      <c r="C43" s="7" t="s">
        <v>7</v>
      </c>
      <c r="D43" s="6" t="s">
        <v>472</v>
      </c>
      <c r="E43" s="6">
        <f>Individual!C75*210</f>
        <v>5250</v>
      </c>
      <c r="F43" s="6">
        <f t="shared" si="4"/>
        <v>6174.0000000000009</v>
      </c>
      <c r="G43" s="6">
        <f t="shared" si="5"/>
        <v>6350.4000000000005</v>
      </c>
      <c r="H43" s="6">
        <f t="shared" si="6"/>
        <v>6644.4</v>
      </c>
    </row>
    <row r="44" spans="1:9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Individual!C79</f>
        <v>2280</v>
      </c>
      <c r="F44" s="6">
        <f t="shared" si="4"/>
        <v>2681.28</v>
      </c>
      <c r="G44" s="6">
        <f t="shared" si="5"/>
        <v>2757.8880000000004</v>
      </c>
      <c r="H44" s="6">
        <f t="shared" si="6"/>
        <v>2885.5679999999998</v>
      </c>
    </row>
    <row r="45" spans="1:9" ht="18" x14ac:dyDescent="0.3">
      <c r="C45" s="6" t="s">
        <v>14</v>
      </c>
      <c r="D45" s="6"/>
      <c r="E45" s="88">
        <f>SUM(E39:E44)</f>
        <v>451620.07062146888</v>
      </c>
      <c r="F45" s="88">
        <f>SUM(F39:F44)</f>
        <v>531105.20305084751</v>
      </c>
      <c r="G45" s="88">
        <f>SUM(G39:G44)</f>
        <v>546279.63742372894</v>
      </c>
      <c r="H45" s="88">
        <f>SUM(H39:H44)</f>
        <v>571570.36137853097</v>
      </c>
    </row>
    <row r="46" spans="1:9" ht="18" x14ac:dyDescent="0.3">
      <c r="C46" s="10"/>
      <c r="D46" s="10"/>
      <c r="E46" s="31"/>
      <c r="F46" s="31"/>
      <c r="G46" s="31"/>
      <c r="H46" s="31"/>
    </row>
    <row r="47" spans="1:9" ht="18" x14ac:dyDescent="0.3">
      <c r="C47" s="10"/>
      <c r="D47" s="10"/>
      <c r="E47" s="31"/>
      <c r="F47" s="31"/>
      <c r="G47" s="31"/>
      <c r="H47" s="31"/>
    </row>
    <row r="48" spans="1:9" ht="18" x14ac:dyDescent="0.3">
      <c r="A48" s="6">
        <v>15</v>
      </c>
      <c r="B48" s="6" t="s">
        <v>70</v>
      </c>
      <c r="C48" s="7" t="s">
        <v>7</v>
      </c>
      <c r="D48" s="6" t="s">
        <v>475</v>
      </c>
      <c r="E48" s="88">
        <f>Individual!C125*65</f>
        <v>46800</v>
      </c>
      <c r="F48" s="6">
        <f t="shared" ref="F48" si="7">(E48*1.05)*1.12</f>
        <v>55036.800000000003</v>
      </c>
      <c r="G48" s="6">
        <f t="shared" ref="G48" si="8">(E48*1.08)*1.12</f>
        <v>56609.280000000006</v>
      </c>
      <c r="H48" s="6">
        <f>(E48*1.13)*1.12</f>
        <v>59230.079999999994</v>
      </c>
    </row>
    <row r="49" spans="1:13" ht="18" x14ac:dyDescent="0.3">
      <c r="C49" s="10"/>
      <c r="D49" s="10"/>
      <c r="E49" s="31">
        <f>E40+E43+E44+E45+E48</f>
        <v>505950.07062146888</v>
      </c>
      <c r="F49" s="31">
        <f>F40+F43+F44+F45+F48</f>
        <v>594997.28305084759</v>
      </c>
      <c r="G49" s="31">
        <f t="shared" ref="G49:H49" si="9">G40+G43+G44+G45+G48</f>
        <v>611997.20542372903</v>
      </c>
      <c r="H49" s="31">
        <f t="shared" si="9"/>
        <v>640330.40937853092</v>
      </c>
    </row>
    <row r="50" spans="1:13" ht="18" x14ac:dyDescent="0.3">
      <c r="C50" s="10"/>
      <c r="D50" s="10"/>
      <c r="E50" s="31"/>
      <c r="F50" s="31"/>
      <c r="G50" s="31"/>
      <c r="H50" s="31"/>
    </row>
    <row r="51" spans="1:13" ht="18" x14ac:dyDescent="0.3">
      <c r="C51" s="10"/>
      <c r="D51" s="10"/>
      <c r="E51" s="31"/>
      <c r="F51" s="31"/>
      <c r="G51" s="31"/>
      <c r="H51" s="31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15" sqref="K15"/>
    </sheetView>
  </sheetViews>
  <sheetFormatPr defaultRowHeight="14.4" x14ac:dyDescent="0.3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6:M61"/>
  <sheetViews>
    <sheetView topLeftCell="A28" zoomScale="85" zoomScaleNormal="85" workbookViewId="0">
      <selection activeCell="I40" sqref="I40"/>
    </sheetView>
  </sheetViews>
  <sheetFormatPr defaultColWidth="9.109375" defaultRowHeight="14.4" x14ac:dyDescent="0.3"/>
  <cols>
    <col min="1" max="1" width="5.33203125" style="139" customWidth="1"/>
    <col min="2" max="2" width="23" style="139" customWidth="1"/>
    <col min="3" max="3" width="50.33203125" style="139" customWidth="1"/>
    <col min="4" max="4" width="8" style="139" customWidth="1"/>
    <col min="5" max="5" width="9.88671875" style="139" bestFit="1" customWidth="1"/>
    <col min="6" max="6" width="10.88671875" style="139" bestFit="1" customWidth="1"/>
    <col min="7" max="7" width="10.88671875" style="139" customWidth="1"/>
    <col min="8" max="8" width="12.5546875" style="139" bestFit="1" customWidth="1"/>
    <col min="9" max="9" width="9.109375" style="139"/>
    <col min="10" max="10" width="10.44140625" style="139" customWidth="1"/>
    <col min="11" max="16384" width="9.109375" style="139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491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413</v>
      </c>
      <c r="E25" s="6">
        <f>Individual!C8*24</f>
        <v>217080</v>
      </c>
      <c r="F25" s="6">
        <f t="shared" ref="F25:F32" si="0">(E25*1.05)*1.12</f>
        <v>255286.08000000002</v>
      </c>
      <c r="G25" s="6">
        <f t="shared" ref="G25:G32" si="1">(E25*1.08)*1.12</f>
        <v>262579.96800000005</v>
      </c>
      <c r="H25" s="6">
        <f>(E25*1.13)*1.12</f>
        <v>274736.44799999997</v>
      </c>
    </row>
    <row r="26" spans="1:8" x14ac:dyDescent="0.3">
      <c r="A26" s="6">
        <v>2</v>
      </c>
      <c r="B26" s="7" t="s">
        <v>19</v>
      </c>
      <c r="C26" s="7" t="s">
        <v>481</v>
      </c>
      <c r="D26" s="6" t="s">
        <v>5</v>
      </c>
      <c r="E26" s="6">
        <f>Individual!C16</f>
        <v>24500</v>
      </c>
      <c r="F26" s="6">
        <f t="shared" si="0"/>
        <v>28812.000000000004</v>
      </c>
      <c r="G26" s="6">
        <f t="shared" si="1"/>
        <v>29635.200000000004</v>
      </c>
      <c r="H26" s="6">
        <f t="shared" ref="H26:H32" si="2">(E26*1.13)*1.12</f>
        <v>31007.199999999997</v>
      </c>
    </row>
    <row r="27" spans="1:8" ht="28.8" x14ac:dyDescent="0.3">
      <c r="A27" s="6">
        <v>3</v>
      </c>
      <c r="B27" s="7" t="s">
        <v>6</v>
      </c>
      <c r="C27" s="7" t="s">
        <v>482</v>
      </c>
      <c r="D27" s="6" t="s">
        <v>5</v>
      </c>
      <c r="E27" s="6">
        <f>Individual!K9</f>
        <v>41200</v>
      </c>
      <c r="F27" s="6">
        <f t="shared" si="0"/>
        <v>48451.200000000004</v>
      </c>
      <c r="G27" s="6">
        <f t="shared" si="1"/>
        <v>49835.520000000004</v>
      </c>
      <c r="H27" s="6">
        <f t="shared" si="2"/>
        <v>52142.719999999994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305</v>
      </c>
      <c r="E28" s="6">
        <f>Individual!C59*60</f>
        <v>2100</v>
      </c>
      <c r="F28" s="6">
        <f t="shared" si="0"/>
        <v>2469.6000000000004</v>
      </c>
      <c r="G28" s="6">
        <f t="shared" si="1"/>
        <v>2540.1600000000003</v>
      </c>
      <c r="H28" s="6">
        <f t="shared" si="2"/>
        <v>2657.76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3746.1759999999999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4429.6000000000004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Individual!C142</f>
        <v>16000</v>
      </c>
      <c r="F31" s="6">
        <f t="shared" si="0"/>
        <v>18816</v>
      </c>
      <c r="G31" s="6">
        <f t="shared" si="1"/>
        <v>19353.600000000002</v>
      </c>
      <c r="H31" s="6">
        <f t="shared" si="2"/>
        <v>20249.600000000002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Individual!C146</f>
        <v>6000</v>
      </c>
      <c r="F32" s="6">
        <f t="shared" si="0"/>
        <v>7056.0000000000009</v>
      </c>
      <c r="G32" s="6">
        <f t="shared" si="1"/>
        <v>7257.6</v>
      </c>
      <c r="H32" s="6">
        <f t="shared" si="2"/>
        <v>7593.5999999999995</v>
      </c>
    </row>
    <row r="33" spans="1:9" ht="18" x14ac:dyDescent="0.3">
      <c r="A33" s="6"/>
      <c r="B33" s="6"/>
      <c r="C33" s="6" t="s">
        <v>14</v>
      </c>
      <c r="D33" s="6"/>
      <c r="E33" s="88">
        <f>SUM(E25:E32)</f>
        <v>313340</v>
      </c>
      <c r="F33" s="88">
        <f>SUM(F25:F32)</f>
        <v>368487.84</v>
      </c>
      <c r="G33" s="88">
        <f>SUM(G25:G32)</f>
        <v>379016.06400000001</v>
      </c>
      <c r="H33" s="88">
        <f>SUM(H25:H32)</f>
        <v>396563.10399999988</v>
      </c>
    </row>
    <row r="35" spans="1:9" ht="28.8" x14ac:dyDescent="0.3">
      <c r="A35" s="6">
        <v>9</v>
      </c>
      <c r="B35" s="7" t="s">
        <v>20</v>
      </c>
      <c r="C35" s="7" t="s">
        <v>494</v>
      </c>
      <c r="D35" s="6" t="s">
        <v>5</v>
      </c>
      <c r="E35" s="6">
        <f>Individual!K92</f>
        <v>66473.214285714275</v>
      </c>
      <c r="F35" s="6">
        <f>(E35*1.05)*1.12</f>
        <v>78172.499999999985</v>
      </c>
      <c r="G35" s="6">
        <f>(E35*1.08)*1.12</f>
        <v>80406</v>
      </c>
      <c r="H35" s="6">
        <f>(E35*1.13)*1.12</f>
        <v>84128.5</v>
      </c>
    </row>
    <row r="36" spans="1:9" ht="18" x14ac:dyDescent="0.3">
      <c r="A36" s="10"/>
      <c r="B36" s="11"/>
      <c r="C36" s="6" t="s">
        <v>14</v>
      </c>
      <c r="D36" s="6"/>
      <c r="E36" s="88">
        <f>SUM(E33:E35)</f>
        <v>379813.21428571426</v>
      </c>
      <c r="F36" s="88">
        <f t="shared" ref="F36" si="3">SUM(F33:F35)</f>
        <v>446660.34</v>
      </c>
      <c r="G36" s="88">
        <f>SUM(G33:G35)</f>
        <v>459422.06400000001</v>
      </c>
      <c r="H36" s="88">
        <f>SUM(H33:H35)</f>
        <v>480691.60399999988</v>
      </c>
    </row>
    <row r="37" spans="1:9" x14ac:dyDescent="0.3">
      <c r="B37" s="139" t="s">
        <v>23</v>
      </c>
    </row>
    <row r="38" spans="1:9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(E38*1.13)*1.12</f>
        <v>8827.56</v>
      </c>
    </row>
    <row r="39" spans="1:9" ht="18" x14ac:dyDescent="0.3">
      <c r="C39" s="6" t="s">
        <v>14</v>
      </c>
      <c r="D39" s="6"/>
      <c r="E39" s="88">
        <f>SUM(E36:E38)</f>
        <v>386788.21428571426</v>
      </c>
      <c r="F39" s="88">
        <f>SUM(F36:F38)</f>
        <v>454862.94</v>
      </c>
      <c r="G39" s="88">
        <f>SUM(G36:G38)</f>
        <v>467859.02400000003</v>
      </c>
      <c r="H39" s="88">
        <f>SUM(H36:H38)</f>
        <v>489519.16399999987</v>
      </c>
      <c r="I39" s="139">
        <f>E39-E35</f>
        <v>320315</v>
      </c>
    </row>
    <row r="40" spans="1:9" x14ac:dyDescent="0.3">
      <c r="B40" s="139" t="s">
        <v>23</v>
      </c>
    </row>
    <row r="41" spans="1:9" ht="18" x14ac:dyDescent="0.3">
      <c r="A41" s="6">
        <v>15</v>
      </c>
      <c r="B41" s="6" t="s">
        <v>70</v>
      </c>
      <c r="C41" s="7" t="s">
        <v>7</v>
      </c>
      <c r="D41" s="6" t="s">
        <v>479</v>
      </c>
      <c r="E41" s="101">
        <f>Individual!C127*100</f>
        <v>95481.481481481474</v>
      </c>
      <c r="F41" s="6">
        <f t="shared" ref="F41" si="4">(E41*1.05)*1.12</f>
        <v>112286.22222222222</v>
      </c>
      <c r="G41" s="6">
        <f t="shared" ref="G41" si="5">(E41*1.08)*1.12</f>
        <v>115494.40000000001</v>
      </c>
      <c r="H41" s="6">
        <f>(E41*1.13)*1.12</f>
        <v>120841.36296296296</v>
      </c>
    </row>
    <row r="42" spans="1:9" x14ac:dyDescent="0.3">
      <c r="A42" s="6">
        <v>12</v>
      </c>
      <c r="B42" s="6" t="s">
        <v>484</v>
      </c>
      <c r="C42" s="7" t="s">
        <v>7</v>
      </c>
      <c r="D42" s="6" t="s">
        <v>478</v>
      </c>
      <c r="E42" s="6">
        <f>Individual!C71*310</f>
        <v>44661.016949152545</v>
      </c>
      <c r="F42" s="6">
        <f t="shared" ref="F42:F44" si="6">(E42*1.05)*1.12</f>
        <v>52521.355932203398</v>
      </c>
      <c r="G42" s="6">
        <f t="shared" ref="G42:G44" si="7">(E42*1.08)*1.12</f>
        <v>54021.966101694925</v>
      </c>
      <c r="H42" s="6">
        <f t="shared" ref="H42:H44" si="8">(E42*1.13)*1.12</f>
        <v>56522.983050847462</v>
      </c>
    </row>
    <row r="43" spans="1:9" x14ac:dyDescent="0.3">
      <c r="A43" s="6">
        <v>13</v>
      </c>
      <c r="B43" s="7" t="s">
        <v>26</v>
      </c>
      <c r="C43" s="7" t="s">
        <v>7</v>
      </c>
      <c r="D43" s="6" t="s">
        <v>478</v>
      </c>
      <c r="E43" s="6">
        <f>Individual!C75*310</f>
        <v>7750</v>
      </c>
      <c r="F43" s="6">
        <f t="shared" si="6"/>
        <v>9114</v>
      </c>
      <c r="G43" s="6">
        <f t="shared" si="7"/>
        <v>9374.4000000000015</v>
      </c>
      <c r="H43" s="6">
        <f t="shared" si="8"/>
        <v>9808.4000000000015</v>
      </c>
    </row>
    <row r="44" spans="1:9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Individual!C79</f>
        <v>2280</v>
      </c>
      <c r="F44" s="6">
        <f t="shared" si="6"/>
        <v>2681.28</v>
      </c>
      <c r="G44" s="6">
        <f t="shared" si="7"/>
        <v>2757.8880000000004</v>
      </c>
      <c r="H44" s="6">
        <f t="shared" si="8"/>
        <v>2885.5679999999998</v>
      </c>
    </row>
    <row r="45" spans="1:9" ht="18" x14ac:dyDescent="0.3">
      <c r="C45" s="6" t="s">
        <v>14</v>
      </c>
      <c r="D45" s="6"/>
      <c r="E45" s="88">
        <f>SUM(E39:E44)</f>
        <v>536960.71271634824</v>
      </c>
      <c r="F45" s="88">
        <f>SUM(F39:F44)</f>
        <v>631465.79815442557</v>
      </c>
      <c r="G45" s="88">
        <f>SUM(G39:G44)</f>
        <v>649507.67810169503</v>
      </c>
      <c r="H45" s="88">
        <f>SUM(H39:H44)</f>
        <v>679577.47801381024</v>
      </c>
      <c r="I45" s="141">
        <f>E45*1.12-H45</f>
        <v>-78181.479771500104</v>
      </c>
    </row>
    <row r="46" spans="1:9" ht="18" x14ac:dyDescent="0.3">
      <c r="C46" s="10"/>
      <c r="D46" s="10"/>
      <c r="E46" s="31"/>
      <c r="F46" s="31"/>
      <c r="G46" s="31"/>
      <c r="H46" s="31"/>
    </row>
    <row r="47" spans="1:9" ht="18" x14ac:dyDescent="0.3">
      <c r="C47" s="10"/>
      <c r="D47" s="10"/>
      <c r="E47" s="31"/>
      <c r="F47" s="31"/>
      <c r="G47" s="31"/>
      <c r="H47" s="31"/>
    </row>
    <row r="49" spans="1:13" ht="18" x14ac:dyDescent="0.3">
      <c r="C49" s="10"/>
      <c r="D49" s="10"/>
      <c r="E49" s="31"/>
      <c r="F49" s="31"/>
      <c r="G49" s="31"/>
      <c r="H49" s="31"/>
    </row>
    <row r="50" spans="1:13" ht="18" x14ac:dyDescent="0.3">
      <c r="C50" s="10"/>
      <c r="D50" s="10"/>
      <c r="E50" s="31"/>
      <c r="F50" s="31"/>
      <c r="G50" s="31"/>
      <c r="H50" s="31"/>
    </row>
    <row r="51" spans="1:13" ht="18" x14ac:dyDescent="0.3">
      <c r="C51" s="10"/>
      <c r="D51" s="10"/>
      <c r="E51" s="31"/>
      <c r="F51" s="31"/>
      <c r="G51" s="31"/>
      <c r="H51" s="31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B1:AE104"/>
  <sheetViews>
    <sheetView topLeftCell="E49" zoomScale="40" zoomScaleNormal="40" zoomScaleSheetLayoutView="10" workbookViewId="0">
      <selection activeCell="T60" sqref="T60"/>
    </sheetView>
  </sheetViews>
  <sheetFormatPr defaultColWidth="9.109375" defaultRowHeight="13.8" x14ac:dyDescent="0.3"/>
  <cols>
    <col min="1" max="1" width="9.109375" style="151"/>
    <col min="2" max="2" width="18.33203125" style="151" customWidth="1"/>
    <col min="3" max="3" width="45.6640625" style="151" customWidth="1"/>
    <col min="4" max="4" width="116.44140625" style="151" customWidth="1"/>
    <col min="5" max="5" width="25.44140625" style="151" customWidth="1"/>
    <col min="6" max="6" width="26.109375" style="151" customWidth="1"/>
    <col min="7" max="7" width="21.6640625" style="151" customWidth="1"/>
    <col min="8" max="8" width="23.33203125" style="151" customWidth="1"/>
    <col min="9" max="9" width="21.6640625" style="151" customWidth="1"/>
    <col min="10" max="16" width="22.6640625" style="151" customWidth="1"/>
    <col min="17" max="17" width="19.88671875" style="151" customWidth="1"/>
    <col min="18" max="18" width="24.5546875" style="151" customWidth="1"/>
    <col min="19" max="28" width="22" style="151" customWidth="1"/>
    <col min="29" max="30" width="9.109375" style="151"/>
    <col min="31" max="31" width="255.6640625" style="151" bestFit="1" customWidth="1"/>
    <col min="32" max="16384" width="9.109375" style="151"/>
  </cols>
  <sheetData>
    <row r="1" spans="3:31" x14ac:dyDescent="0.3">
      <c r="AA1" s="52"/>
      <c r="AB1" s="52"/>
      <c r="AC1" s="52"/>
      <c r="AD1" s="52"/>
      <c r="AE1" s="52"/>
    </row>
    <row r="2" spans="3:31" x14ac:dyDescent="0.3">
      <c r="AA2" s="52"/>
      <c r="AB2" s="52"/>
      <c r="AC2" s="52"/>
      <c r="AD2" s="52"/>
      <c r="AE2" s="52"/>
    </row>
    <row r="3" spans="3:31" x14ac:dyDescent="0.3">
      <c r="AA3" s="52"/>
      <c r="AB3" s="52"/>
      <c r="AC3" s="52"/>
      <c r="AD3" s="52"/>
      <c r="AE3" s="52"/>
    </row>
    <row r="4" spans="3:31" x14ac:dyDescent="0.3">
      <c r="AA4" s="52"/>
      <c r="AB4" s="52"/>
      <c r="AC4" s="52"/>
      <c r="AD4" s="52"/>
      <c r="AE4" s="52"/>
    </row>
    <row r="5" spans="3:31" x14ac:dyDescent="0.3">
      <c r="AA5" s="52"/>
      <c r="AB5" s="52"/>
      <c r="AC5" s="52"/>
      <c r="AD5" s="52"/>
      <c r="AE5" s="52"/>
    </row>
    <row r="6" spans="3:31" x14ac:dyDescent="0.3">
      <c r="AA6" s="52"/>
      <c r="AB6" s="52"/>
      <c r="AC6" s="52"/>
      <c r="AD6" s="52"/>
      <c r="AE6" s="52"/>
    </row>
    <row r="7" spans="3:31" x14ac:dyDescent="0.3">
      <c r="AA7" s="52"/>
      <c r="AB7" s="52"/>
      <c r="AC7" s="52"/>
      <c r="AD7" s="52"/>
      <c r="AE7" s="52"/>
    </row>
    <row r="8" spans="3:31" x14ac:dyDescent="0.3">
      <c r="AA8" s="52"/>
      <c r="AB8" s="52"/>
      <c r="AC8" s="52"/>
      <c r="AD8" s="52"/>
      <c r="AE8" s="52"/>
    </row>
    <row r="9" spans="3:31" x14ac:dyDescent="0.3">
      <c r="AA9" s="52"/>
      <c r="AB9" s="52"/>
      <c r="AC9" s="52"/>
      <c r="AD9" s="52"/>
      <c r="AE9" s="52"/>
    </row>
    <row r="10" spans="3:31" x14ac:dyDescent="0.3">
      <c r="AA10" s="52"/>
      <c r="AB10" s="52"/>
      <c r="AC10" s="52"/>
      <c r="AD10" s="52"/>
      <c r="AE10" s="52"/>
    </row>
    <row r="11" spans="3:31" x14ac:dyDescent="0.3">
      <c r="AA11" s="52"/>
      <c r="AB11" s="52"/>
      <c r="AC11" s="52"/>
      <c r="AD11" s="52"/>
      <c r="AE11" s="52"/>
    </row>
    <row r="12" spans="3:31" x14ac:dyDescent="0.3">
      <c r="AA12" s="52"/>
      <c r="AB12" s="52"/>
      <c r="AC12" s="52"/>
      <c r="AD12" s="52"/>
      <c r="AE12" s="52"/>
    </row>
    <row r="13" spans="3:31" x14ac:dyDescent="0.3">
      <c r="AA13" s="52"/>
      <c r="AB13" s="52"/>
      <c r="AC13" s="52"/>
      <c r="AD13" s="52"/>
      <c r="AE13" s="52"/>
    </row>
    <row r="14" spans="3:31" x14ac:dyDescent="0.3">
      <c r="AA14" s="52"/>
      <c r="AB14" s="52"/>
      <c r="AC14" s="52"/>
      <c r="AD14" s="52"/>
      <c r="AE14" s="52"/>
    </row>
    <row r="15" spans="3:31" x14ac:dyDescent="0.3">
      <c r="AA15" s="52"/>
      <c r="AB15" s="52"/>
      <c r="AC15" s="52"/>
      <c r="AD15" s="52"/>
      <c r="AE15" s="52"/>
    </row>
    <row r="16" spans="3:31" x14ac:dyDescent="0.3">
      <c r="C16" s="20" t="s">
        <v>31</v>
      </c>
      <c r="AA16" s="52"/>
      <c r="AB16" s="52"/>
      <c r="AC16" s="52"/>
      <c r="AD16" s="52"/>
      <c r="AE16" s="52" t="s">
        <v>68</v>
      </c>
    </row>
    <row r="17" spans="2:31" x14ac:dyDescent="0.3">
      <c r="AA17" s="52"/>
      <c r="AB17" s="52"/>
      <c r="AC17" s="52"/>
      <c r="AD17" s="52"/>
      <c r="AE17" s="52"/>
    </row>
    <row r="18" spans="2:31" x14ac:dyDescent="0.3">
      <c r="C18" s="186"/>
      <c r="D18" s="186"/>
      <c r="AA18" s="52"/>
      <c r="AB18" s="52"/>
      <c r="AC18" s="52"/>
      <c r="AD18" s="52"/>
      <c r="AE18" s="52"/>
    </row>
    <row r="19" spans="2:31" x14ac:dyDescent="0.3">
      <c r="C19" s="186"/>
      <c r="D19" s="186"/>
      <c r="AA19" s="52"/>
      <c r="AB19" s="52"/>
      <c r="AC19" s="52"/>
      <c r="AD19" s="52"/>
      <c r="AE19" s="52"/>
    </row>
    <row r="20" spans="2:31" x14ac:dyDescent="0.3">
      <c r="C20" s="186"/>
      <c r="D20" s="186"/>
      <c r="AA20" s="52"/>
      <c r="AB20" s="52"/>
      <c r="AC20" s="52"/>
      <c r="AD20" s="52"/>
      <c r="AE20" s="52"/>
    </row>
    <row r="21" spans="2:31" x14ac:dyDescent="0.3">
      <c r="C21" s="186"/>
      <c r="D21" s="186"/>
      <c r="AA21" s="52"/>
      <c r="AB21" s="52"/>
      <c r="AC21" s="52"/>
      <c r="AD21" s="52"/>
      <c r="AE21" s="52"/>
    </row>
    <row r="22" spans="2:31" ht="14.4" thickBot="1" x14ac:dyDescent="0.35">
      <c r="AA22" s="52"/>
      <c r="AB22" s="52"/>
      <c r="AC22" s="52"/>
      <c r="AD22" s="52"/>
      <c r="AE22" s="52"/>
    </row>
    <row r="23" spans="2:31" ht="45.75" customHeight="1" x14ac:dyDescent="0.3">
      <c r="B23" s="187">
        <v>44727</v>
      </c>
      <c r="C23" s="188"/>
      <c r="D23" s="188"/>
      <c r="E23" s="66"/>
      <c r="F23" s="66"/>
      <c r="G23" s="189" t="s">
        <v>69</v>
      </c>
      <c r="H23" s="190"/>
      <c r="I23" s="190"/>
      <c r="J23" s="190"/>
      <c r="K23" s="190"/>
      <c r="L23" s="190"/>
      <c r="M23" s="190"/>
      <c r="N23" s="190"/>
      <c r="O23" s="190"/>
      <c r="P23" s="190"/>
      <c r="Q23" s="191" t="s">
        <v>590</v>
      </c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</row>
    <row r="24" spans="2:31" ht="153.75" customHeight="1" x14ac:dyDescent="0.3">
      <c r="B24" s="67" t="s">
        <v>0</v>
      </c>
      <c r="C24" s="59" t="s">
        <v>1</v>
      </c>
      <c r="D24" s="59" t="s">
        <v>2</v>
      </c>
      <c r="E24" s="57" t="s">
        <v>83</v>
      </c>
      <c r="F24" s="57" t="s">
        <v>82</v>
      </c>
      <c r="G24" s="58" t="s">
        <v>79</v>
      </c>
      <c r="H24" s="58" t="s">
        <v>78</v>
      </c>
      <c r="I24" s="58" t="s">
        <v>80</v>
      </c>
      <c r="J24" s="58" t="s">
        <v>81</v>
      </c>
      <c r="K24" s="58" t="s">
        <v>84</v>
      </c>
      <c r="L24" s="58" t="s">
        <v>85</v>
      </c>
      <c r="M24" s="58" t="s">
        <v>86</v>
      </c>
      <c r="N24" s="58" t="s">
        <v>87</v>
      </c>
      <c r="O24" s="58" t="s">
        <v>88</v>
      </c>
      <c r="P24" s="58" t="s">
        <v>89</v>
      </c>
      <c r="Q24" s="57" t="s">
        <v>83</v>
      </c>
      <c r="R24" s="57" t="s">
        <v>82</v>
      </c>
      <c r="S24" s="58" t="s">
        <v>79</v>
      </c>
      <c r="T24" s="58" t="s">
        <v>78</v>
      </c>
      <c r="U24" s="58" t="s">
        <v>80</v>
      </c>
      <c r="V24" s="58" t="s">
        <v>81</v>
      </c>
      <c r="W24" s="58" t="s">
        <v>84</v>
      </c>
      <c r="X24" s="58" t="s">
        <v>85</v>
      </c>
      <c r="Y24" s="58" t="s">
        <v>86</v>
      </c>
      <c r="Z24" s="58" t="s">
        <v>87</v>
      </c>
      <c r="AA24" s="58" t="s">
        <v>88</v>
      </c>
      <c r="AB24" s="58" t="s">
        <v>89</v>
      </c>
    </row>
    <row r="25" spans="2:31" ht="31.8" x14ac:dyDescent="0.3">
      <c r="B25" s="184" t="s">
        <v>37</v>
      </c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</row>
    <row r="26" spans="2:31" ht="60" customHeight="1" x14ac:dyDescent="0.3">
      <c r="B26" s="149">
        <v>1</v>
      </c>
      <c r="C26" s="150" t="s">
        <v>547</v>
      </c>
      <c r="D26" s="150" t="s">
        <v>548</v>
      </c>
      <c r="E26" s="150"/>
      <c r="F26" s="150">
        <f>'1HP -10M (3 pv)'!E39</f>
        <v>99570</v>
      </c>
      <c r="G26" s="62">
        <f>'1HP -10M (3 pv)'!E45</f>
        <v>106438.61581920905</v>
      </c>
      <c r="H26" s="62">
        <f>'1HP -10M (3 pv)'!E48</f>
        <v>108005.83804143127</v>
      </c>
      <c r="I26" s="62">
        <f>G26+(200*17)</f>
        <v>109838.61581920905</v>
      </c>
      <c r="J26" s="62">
        <f>H26+(200*17)</f>
        <v>111405.83804143127</v>
      </c>
      <c r="K26" s="62">
        <f>G26+(500*17)</f>
        <v>114938.61581920905</v>
      </c>
      <c r="L26" s="62">
        <f>H26+(500*17)</f>
        <v>116505.83804143127</v>
      </c>
      <c r="M26" s="62">
        <f>G26+(800*17)</f>
        <v>120038.61581920905</v>
      </c>
      <c r="N26" s="62">
        <f>H26+(800*17)</f>
        <v>121605.83804143127</v>
      </c>
      <c r="O26" s="62">
        <f>G26+(1200*17)</f>
        <v>126838.61581920905</v>
      </c>
      <c r="P26" s="62">
        <f>H26+(1200*17)</f>
        <v>128405.83804143127</v>
      </c>
      <c r="Q26" s="38"/>
      <c r="R26" s="60">
        <f t="shared" ref="R26:AB26" si="0">F26*1.15*1.12</f>
        <v>128246.15999999999</v>
      </c>
      <c r="S26" s="60">
        <f t="shared" si="0"/>
        <v>137092.93717514127</v>
      </c>
      <c r="T26" s="60">
        <f t="shared" si="0"/>
        <v>139111.51939736347</v>
      </c>
      <c r="U26" s="60">
        <f t="shared" si="0"/>
        <v>141472.13717514125</v>
      </c>
      <c r="V26" s="60">
        <f t="shared" si="0"/>
        <v>143490.71939736349</v>
      </c>
      <c r="W26" s="60">
        <f t="shared" si="0"/>
        <v>148040.93717514127</v>
      </c>
      <c r="X26" s="60">
        <f t="shared" si="0"/>
        <v>150059.5193973635</v>
      </c>
      <c r="Y26" s="60">
        <f t="shared" si="0"/>
        <v>154609.73717514126</v>
      </c>
      <c r="Z26" s="60">
        <f t="shared" si="0"/>
        <v>156628.31939736349</v>
      </c>
      <c r="AA26" s="60">
        <f t="shared" si="0"/>
        <v>163368.13717514125</v>
      </c>
      <c r="AB26" s="60">
        <f t="shared" si="0"/>
        <v>165386.71939736349</v>
      </c>
    </row>
    <row r="27" spans="2:31" ht="60" customHeight="1" x14ac:dyDescent="0.3">
      <c r="B27" s="149">
        <v>2</v>
      </c>
      <c r="C27" s="150" t="s">
        <v>547</v>
      </c>
      <c r="D27" s="150" t="s">
        <v>549</v>
      </c>
      <c r="E27" s="150"/>
      <c r="F27" s="150">
        <f>'1HP -10M'!E39</f>
        <v>108615</v>
      </c>
      <c r="G27" s="62">
        <f>'1HP -10M'!E45</f>
        <v>115483.61581920905</v>
      </c>
      <c r="H27" s="62">
        <f>'1HP -10M'!E48</f>
        <v>117050.83804143127</v>
      </c>
      <c r="I27" s="62">
        <f t="shared" ref="I27:I30" si="1">G27+(200*17)</f>
        <v>118883.61581920905</v>
      </c>
      <c r="J27" s="62">
        <f t="shared" ref="J27:J30" si="2">H27+(200*17)</f>
        <v>120450.83804143127</v>
      </c>
      <c r="K27" s="62">
        <f t="shared" ref="K27:K30" si="3">G27+(500*17)</f>
        <v>123983.61581920905</v>
      </c>
      <c r="L27" s="62">
        <f t="shared" ref="L27:L30" si="4">H27+(500*17)</f>
        <v>125550.83804143127</v>
      </c>
      <c r="M27" s="62">
        <f t="shared" ref="M27:M30" si="5">G27+(800*17)</f>
        <v>129083.61581920905</v>
      </c>
      <c r="N27" s="62">
        <f t="shared" ref="N27:N30" si="6">H27+(800*17)</f>
        <v>130650.83804143127</v>
      </c>
      <c r="O27" s="62">
        <f t="shared" ref="O27:O30" si="7">G27+(1200*17)</f>
        <v>135883.61581920905</v>
      </c>
      <c r="P27" s="62">
        <f t="shared" ref="P27:P30" si="8">H27+(1200*17)</f>
        <v>137450.83804143127</v>
      </c>
      <c r="Q27" s="38"/>
      <c r="R27" s="60">
        <f t="shared" ref="R27:R30" si="9">F27*1.15*1.12</f>
        <v>139896.12</v>
      </c>
      <c r="S27" s="60">
        <f t="shared" ref="S27:S30" si="10">G27*1.15*1.12</f>
        <v>148742.89717514126</v>
      </c>
      <c r="T27" s="60">
        <f t="shared" ref="T27:T30" si="11">H27*1.15*1.12</f>
        <v>150761.4793973635</v>
      </c>
      <c r="U27" s="60">
        <f t="shared" ref="U27:U30" si="12">I27*1.15*1.12</f>
        <v>153122.09717514127</v>
      </c>
      <c r="V27" s="60">
        <f t="shared" ref="V27:V30" si="13">J27*1.15*1.12</f>
        <v>155140.67939736348</v>
      </c>
      <c r="W27" s="60">
        <f t="shared" ref="W27:W30" si="14">K27*1.15*1.12</f>
        <v>159690.89717514126</v>
      </c>
      <c r="X27" s="60">
        <f t="shared" ref="X27:X30" si="15">L27*1.15*1.12</f>
        <v>161709.4793973635</v>
      </c>
      <c r="Y27" s="60">
        <f t="shared" ref="Y27:Y30" si="16">M27*1.15*1.12</f>
        <v>166259.69717514125</v>
      </c>
      <c r="Z27" s="60">
        <f t="shared" ref="Z27:Z30" si="17">N27*1.15*1.12</f>
        <v>168278.27939736348</v>
      </c>
      <c r="AA27" s="60">
        <f t="shared" ref="AA27:AA30" si="18">O27*1.15*1.12</f>
        <v>175018.09717514127</v>
      </c>
      <c r="AB27" s="60">
        <f t="shared" ref="AB27:AB30" si="19">P27*1.15*1.12</f>
        <v>177036.67939736351</v>
      </c>
    </row>
    <row r="28" spans="2:31" ht="60" customHeight="1" x14ac:dyDescent="0.3">
      <c r="B28" s="149">
        <v>3</v>
      </c>
      <c r="C28" s="150" t="s">
        <v>42</v>
      </c>
      <c r="D28" s="150" t="s">
        <v>551</v>
      </c>
      <c r="E28" s="150"/>
      <c r="F28" s="150">
        <f>'1HP -30 M'!E39</f>
        <v>102615</v>
      </c>
      <c r="G28" s="62">
        <f>'1HP -30 M'!E45</f>
        <v>114986.86440677966</v>
      </c>
      <c r="H28" s="62">
        <f>'1HP -30 M'!E48</f>
        <v>117397.04959196484</v>
      </c>
      <c r="I28" s="62">
        <f t="shared" si="1"/>
        <v>118386.86440677966</v>
      </c>
      <c r="J28" s="62">
        <f t="shared" si="2"/>
        <v>120797.04959196484</v>
      </c>
      <c r="K28" s="62">
        <f t="shared" si="3"/>
        <v>123486.86440677966</v>
      </c>
      <c r="L28" s="62">
        <f t="shared" si="4"/>
        <v>125897.04959196484</v>
      </c>
      <c r="M28" s="62">
        <f t="shared" si="5"/>
        <v>128586.86440677966</v>
      </c>
      <c r="N28" s="62">
        <f t="shared" si="6"/>
        <v>130997.04959196484</v>
      </c>
      <c r="O28" s="62">
        <f t="shared" si="7"/>
        <v>135386.86440677964</v>
      </c>
      <c r="P28" s="62">
        <f t="shared" si="8"/>
        <v>137797.04959196484</v>
      </c>
      <c r="Q28" s="38"/>
      <c r="R28" s="60">
        <f t="shared" si="9"/>
        <v>132168.12</v>
      </c>
      <c r="S28" s="60">
        <f t="shared" si="10"/>
        <v>148103.0813559322</v>
      </c>
      <c r="T28" s="60">
        <f t="shared" si="11"/>
        <v>151207.39987445073</v>
      </c>
      <c r="U28" s="60">
        <f t="shared" si="12"/>
        <v>152482.28135593218</v>
      </c>
      <c r="V28" s="60">
        <f t="shared" si="13"/>
        <v>155586.59987445074</v>
      </c>
      <c r="W28" s="60">
        <f t="shared" si="14"/>
        <v>159051.0813559322</v>
      </c>
      <c r="X28" s="60">
        <f t="shared" si="15"/>
        <v>162155.39987445073</v>
      </c>
      <c r="Y28" s="60">
        <f t="shared" si="16"/>
        <v>165619.88135593219</v>
      </c>
      <c r="Z28" s="60">
        <f t="shared" si="17"/>
        <v>168724.19987445074</v>
      </c>
      <c r="AA28" s="60">
        <f t="shared" si="18"/>
        <v>174378.28135593218</v>
      </c>
      <c r="AB28" s="60">
        <f t="shared" si="19"/>
        <v>177482.59987445074</v>
      </c>
    </row>
    <row r="29" spans="2:31" ht="60" customHeight="1" x14ac:dyDescent="0.3">
      <c r="B29" s="149">
        <v>4</v>
      </c>
      <c r="C29" s="150" t="s">
        <v>550</v>
      </c>
      <c r="D29" s="150" t="s">
        <v>552</v>
      </c>
      <c r="E29" s="150"/>
      <c r="F29" s="150">
        <f>'1HP -40M '!E39</f>
        <v>103615</v>
      </c>
      <c r="G29" s="62">
        <f>'1HP -40M '!E45</f>
        <v>116151.49717514125</v>
      </c>
      <c r="H29" s="62">
        <f>'1HP -40M '!E48</f>
        <v>118358.16384180791</v>
      </c>
      <c r="I29" s="62">
        <f t="shared" si="1"/>
        <v>119551.49717514125</v>
      </c>
      <c r="J29" s="62">
        <f t="shared" si="2"/>
        <v>121758.16384180791</v>
      </c>
      <c r="K29" s="62">
        <f t="shared" si="3"/>
        <v>124651.49717514125</v>
      </c>
      <c r="L29" s="62">
        <f t="shared" si="4"/>
        <v>126858.16384180791</v>
      </c>
      <c r="M29" s="62">
        <f t="shared" si="5"/>
        <v>129751.49717514125</v>
      </c>
      <c r="N29" s="62">
        <f t="shared" si="6"/>
        <v>131958.16384180792</v>
      </c>
      <c r="O29" s="62">
        <f t="shared" si="7"/>
        <v>136551.49717514124</v>
      </c>
      <c r="P29" s="62">
        <f t="shared" si="8"/>
        <v>138758.16384180792</v>
      </c>
      <c r="Q29" s="38"/>
      <c r="R29" s="60">
        <f t="shared" si="9"/>
        <v>133456.12</v>
      </c>
      <c r="S29" s="60">
        <f t="shared" si="10"/>
        <v>149603.12836158194</v>
      </c>
      <c r="T29" s="60">
        <f t="shared" si="11"/>
        <v>152445.31502824859</v>
      </c>
      <c r="U29" s="60">
        <f t="shared" si="12"/>
        <v>153982.32836158195</v>
      </c>
      <c r="V29" s="60">
        <f t="shared" si="13"/>
        <v>156824.5150282486</v>
      </c>
      <c r="W29" s="60">
        <f t="shared" si="14"/>
        <v>160551.12836158194</v>
      </c>
      <c r="X29" s="60">
        <f t="shared" si="15"/>
        <v>163393.31502824859</v>
      </c>
      <c r="Y29" s="60">
        <f t="shared" si="16"/>
        <v>167119.92836158193</v>
      </c>
      <c r="Z29" s="60">
        <f t="shared" si="17"/>
        <v>169962.11502824861</v>
      </c>
      <c r="AA29" s="60">
        <f t="shared" si="18"/>
        <v>175878.32836158192</v>
      </c>
      <c r="AB29" s="60">
        <f t="shared" si="19"/>
        <v>178720.5150282486</v>
      </c>
    </row>
    <row r="30" spans="2:31" ht="60" customHeight="1" x14ac:dyDescent="0.3">
      <c r="B30" s="149">
        <v>5</v>
      </c>
      <c r="C30" s="150" t="s">
        <v>44</v>
      </c>
      <c r="D30" s="150" t="s">
        <v>553</v>
      </c>
      <c r="E30" s="150"/>
      <c r="F30" s="150">
        <f>'1HP -90M  '!E39</f>
        <v>108115</v>
      </c>
      <c r="G30" s="62">
        <f>'1HP -90M  '!E45</f>
        <v>127296.66101694915</v>
      </c>
      <c r="H30" s="62">
        <f>'1HP -90M  '!E48</f>
        <v>135979.99435028248</v>
      </c>
      <c r="I30" s="62">
        <f t="shared" si="1"/>
        <v>130696.66101694915</v>
      </c>
      <c r="J30" s="62">
        <f t="shared" si="2"/>
        <v>139379.99435028248</v>
      </c>
      <c r="K30" s="62">
        <f t="shared" si="3"/>
        <v>135796.66101694916</v>
      </c>
      <c r="L30" s="62">
        <f t="shared" si="4"/>
        <v>144479.99435028248</v>
      </c>
      <c r="M30" s="62">
        <f t="shared" si="5"/>
        <v>140896.66101694916</v>
      </c>
      <c r="N30" s="62">
        <f t="shared" si="6"/>
        <v>149579.99435028248</v>
      </c>
      <c r="O30" s="62">
        <f t="shared" si="7"/>
        <v>147696.66101694916</v>
      </c>
      <c r="P30" s="62">
        <f t="shared" si="8"/>
        <v>156379.99435028248</v>
      </c>
      <c r="Q30" s="38"/>
      <c r="R30" s="60">
        <f t="shared" si="9"/>
        <v>139252.12</v>
      </c>
      <c r="S30" s="60">
        <f t="shared" si="10"/>
        <v>163958.09938983052</v>
      </c>
      <c r="T30" s="60">
        <f t="shared" si="11"/>
        <v>175142.23272316382</v>
      </c>
      <c r="U30" s="60">
        <f t="shared" si="12"/>
        <v>168337.2993898305</v>
      </c>
      <c r="V30" s="60">
        <f t="shared" si="13"/>
        <v>179521.43272316383</v>
      </c>
      <c r="W30" s="60">
        <f t="shared" si="14"/>
        <v>174906.09938983052</v>
      </c>
      <c r="X30" s="60">
        <f t="shared" si="15"/>
        <v>186090.23272316382</v>
      </c>
      <c r="Y30" s="60">
        <f t="shared" si="16"/>
        <v>181474.89938983051</v>
      </c>
      <c r="Z30" s="60">
        <f t="shared" si="17"/>
        <v>192659.03272316384</v>
      </c>
      <c r="AA30" s="60">
        <f t="shared" si="18"/>
        <v>190233.29938983053</v>
      </c>
      <c r="AB30" s="60">
        <f t="shared" si="19"/>
        <v>201417.43272316383</v>
      </c>
    </row>
    <row r="31" spans="2:31" ht="31.5" customHeight="1" x14ac:dyDescent="0.3">
      <c r="B31" s="184" t="s">
        <v>38</v>
      </c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</row>
    <row r="32" spans="2:31" ht="60" customHeight="1" x14ac:dyDescent="0.3">
      <c r="B32" s="149">
        <v>5</v>
      </c>
      <c r="C32" s="150" t="s">
        <v>554</v>
      </c>
      <c r="D32" s="150" t="s">
        <v>555</v>
      </c>
      <c r="E32" s="150"/>
      <c r="F32" s="150">
        <f>'2 HP -15M   '!E39</f>
        <v>135509</v>
      </c>
      <c r="G32" s="62">
        <f>'2 HP -15M   '!E45</f>
        <v>143297.43220338982</v>
      </c>
      <c r="H32" s="62">
        <v>0</v>
      </c>
      <c r="I32" s="62">
        <f>G32+(200*17)</f>
        <v>146697.43220338982</v>
      </c>
      <c r="J32" s="62">
        <v>0</v>
      </c>
      <c r="K32" s="62">
        <f>G32+(500*17)</f>
        <v>151797.43220338982</v>
      </c>
      <c r="L32" s="62">
        <v>0</v>
      </c>
      <c r="M32" s="62">
        <f>G32+(800*17)</f>
        <v>156897.43220338982</v>
      </c>
      <c r="N32" s="62">
        <v>0</v>
      </c>
      <c r="O32" s="62">
        <f>G32+(1200*17)</f>
        <v>163697.43220338982</v>
      </c>
      <c r="P32" s="62">
        <v>0</v>
      </c>
      <c r="Q32" s="38"/>
      <c r="R32" s="60">
        <f t="shared" ref="R32:AB32" si="20">F32*1.15*1.12</f>
        <v>174535.592</v>
      </c>
      <c r="S32" s="60">
        <f t="shared" si="20"/>
        <v>184567.09267796608</v>
      </c>
      <c r="T32" s="60">
        <f t="shared" si="20"/>
        <v>0</v>
      </c>
      <c r="U32" s="60">
        <f t="shared" si="20"/>
        <v>188946.29267796609</v>
      </c>
      <c r="V32" s="60">
        <f t="shared" si="20"/>
        <v>0</v>
      </c>
      <c r="W32" s="60">
        <f t="shared" si="20"/>
        <v>195515.09267796608</v>
      </c>
      <c r="X32" s="60">
        <f t="shared" si="20"/>
        <v>0</v>
      </c>
      <c r="Y32" s="60">
        <f t="shared" si="20"/>
        <v>202083.89267796607</v>
      </c>
      <c r="Z32" s="60">
        <f t="shared" si="20"/>
        <v>0</v>
      </c>
      <c r="AA32" s="60">
        <f t="shared" si="20"/>
        <v>210842.29267796609</v>
      </c>
      <c r="AB32" s="60">
        <f t="shared" si="20"/>
        <v>0</v>
      </c>
    </row>
    <row r="33" spans="2:28" ht="60" customHeight="1" x14ac:dyDescent="0.3">
      <c r="B33" s="149">
        <v>6</v>
      </c>
      <c r="C33" s="150" t="s">
        <v>556</v>
      </c>
      <c r="D33" s="150" t="s">
        <v>557</v>
      </c>
      <c r="E33" s="150"/>
      <c r="F33" s="150">
        <f>'2 HP -20 M '!E39</f>
        <v>146725</v>
      </c>
      <c r="G33" s="62">
        <f>'2 HP -20 M '!E45</f>
        <v>159513.89830508476</v>
      </c>
      <c r="H33" s="62">
        <v>0</v>
      </c>
      <c r="I33" s="62">
        <f t="shared" ref="I33:I37" si="21">G33+(200*17)</f>
        <v>162913.89830508476</v>
      </c>
      <c r="J33" s="62">
        <v>0</v>
      </c>
      <c r="K33" s="62">
        <f t="shared" ref="K33" si="22">G33+(500*17)</f>
        <v>168013.89830508476</v>
      </c>
      <c r="L33" s="62">
        <v>0</v>
      </c>
      <c r="M33" s="62">
        <f t="shared" ref="M33" si="23">G33+(800*17)</f>
        <v>173113.89830508476</v>
      </c>
      <c r="N33" s="62">
        <v>0</v>
      </c>
      <c r="O33" s="62">
        <f t="shared" ref="O33:O37" si="24">G33+(1200*17)</f>
        <v>179913.89830508476</v>
      </c>
      <c r="P33" s="62">
        <v>0</v>
      </c>
      <c r="Q33" s="38"/>
      <c r="R33" s="60">
        <f t="shared" ref="R33:R37" si="25">F33*1.15*1.12</f>
        <v>188981.80000000002</v>
      </c>
      <c r="S33" s="60">
        <f t="shared" ref="S33:S37" si="26">G33*1.15*1.12</f>
        <v>205453.90101694918</v>
      </c>
      <c r="T33" s="60">
        <f t="shared" ref="T33:T37" si="27">H33*1.15*1.12</f>
        <v>0</v>
      </c>
      <c r="U33" s="60">
        <f t="shared" ref="U33:U37" si="28">I33*1.15*1.12</f>
        <v>209833.10101694916</v>
      </c>
      <c r="V33" s="60">
        <f t="shared" ref="V33:V37" si="29">J33*1.15*1.12</f>
        <v>0</v>
      </c>
      <c r="W33" s="60">
        <f t="shared" ref="W33:W37" si="30">K33*1.15*1.12</f>
        <v>216401.90101694918</v>
      </c>
      <c r="X33" s="60">
        <f t="shared" ref="X33:X37" si="31">L33*1.15*1.12</f>
        <v>0</v>
      </c>
      <c r="Y33" s="60">
        <f t="shared" ref="Y33:Y37" si="32">M33*1.15*1.12</f>
        <v>222970.70101694917</v>
      </c>
      <c r="Z33" s="60">
        <f t="shared" ref="Z33:Z37" si="33">N33*1.15*1.12</f>
        <v>0</v>
      </c>
      <c r="AA33" s="60">
        <f t="shared" ref="AA33:AA37" si="34">O33*1.15*1.12</f>
        <v>231729.10101694916</v>
      </c>
      <c r="AB33" s="60">
        <f t="shared" ref="AB33:AB37" si="35">P33*1.15*1.12</f>
        <v>0</v>
      </c>
    </row>
    <row r="34" spans="2:28" ht="31.8" x14ac:dyDescent="0.3">
      <c r="B34" s="149">
        <v>7</v>
      </c>
      <c r="C34" s="150" t="s">
        <v>45</v>
      </c>
      <c r="D34" s="150" t="s">
        <v>558</v>
      </c>
      <c r="E34" s="150"/>
      <c r="F34" s="150">
        <f>'2 HP -30 M '!E39</f>
        <v>140150</v>
      </c>
      <c r="G34" s="62">
        <f>'2 HP -30 M '!E45</f>
        <v>147938.43220338982</v>
      </c>
      <c r="H34" s="62">
        <f>'2 HP -30 M '!E48</f>
        <v>153136.11738857502</v>
      </c>
      <c r="I34" s="62">
        <f>G34+(200*17)</f>
        <v>151338.43220338982</v>
      </c>
      <c r="J34" s="62">
        <f>H34+(200*17)</f>
        <v>156536.11738857502</v>
      </c>
      <c r="K34" s="62">
        <f>G34+(500*17)</f>
        <v>156438.43220338982</v>
      </c>
      <c r="L34" s="62">
        <f>H34+(500*17)</f>
        <v>161636.11738857502</v>
      </c>
      <c r="M34" s="62">
        <f>G34+(800*17)</f>
        <v>161538.43220338982</v>
      </c>
      <c r="N34" s="62">
        <f>H34+(800*17)</f>
        <v>166736.11738857502</v>
      </c>
      <c r="O34" s="62">
        <f t="shared" si="24"/>
        <v>168338.43220338982</v>
      </c>
      <c r="P34" s="62">
        <f t="shared" ref="P34:P37" si="36">H34+(1200*17)</f>
        <v>173536.11738857502</v>
      </c>
      <c r="Q34" s="38"/>
      <c r="R34" s="60">
        <f t="shared" si="25"/>
        <v>180513.2</v>
      </c>
      <c r="S34" s="60">
        <f t="shared" si="26"/>
        <v>190544.70067796612</v>
      </c>
      <c r="T34" s="60">
        <f t="shared" si="27"/>
        <v>197239.3191964846</v>
      </c>
      <c r="U34" s="60">
        <f t="shared" si="28"/>
        <v>194923.9006779661</v>
      </c>
      <c r="V34" s="60">
        <f t="shared" si="29"/>
        <v>201618.51919648462</v>
      </c>
      <c r="W34" s="60">
        <f t="shared" si="30"/>
        <v>201492.70067796612</v>
      </c>
      <c r="X34" s="60">
        <f t="shared" si="31"/>
        <v>208187.3191964846</v>
      </c>
      <c r="Y34" s="60">
        <f t="shared" si="32"/>
        <v>208061.50067796611</v>
      </c>
      <c r="Z34" s="60">
        <f t="shared" si="33"/>
        <v>214756.11919648462</v>
      </c>
      <c r="AA34" s="60">
        <f t="shared" si="34"/>
        <v>216819.90067796607</v>
      </c>
      <c r="AB34" s="60">
        <f t="shared" si="35"/>
        <v>223514.51919648462</v>
      </c>
    </row>
    <row r="35" spans="2:28" ht="31.8" x14ac:dyDescent="0.3">
      <c r="B35" s="149">
        <v>7</v>
      </c>
      <c r="C35" s="150" t="s">
        <v>559</v>
      </c>
      <c r="D35" s="150" t="s">
        <v>560</v>
      </c>
      <c r="E35" s="150"/>
      <c r="F35" s="150">
        <f>'2 HP -50 M '!E39</f>
        <v>142225</v>
      </c>
      <c r="G35" s="62">
        <f>'2 HP -50 M '!E45</f>
        <v>155934.46327683615</v>
      </c>
      <c r="H35" s="62">
        <f>'2 HP -50 M '!E48</f>
        <v>160319.46327683615</v>
      </c>
      <c r="I35" s="62">
        <f t="shared" si="21"/>
        <v>159334.46327683615</v>
      </c>
      <c r="J35" s="62">
        <f t="shared" ref="J35:J37" si="37">H35+(200*17)</f>
        <v>163719.46327683615</v>
      </c>
      <c r="K35" s="62">
        <f t="shared" ref="K35:K37" si="38">G35+(500*17)</f>
        <v>164434.46327683615</v>
      </c>
      <c r="L35" s="62">
        <f t="shared" ref="L35:L37" si="39">H35+(500*17)</f>
        <v>168819.46327683615</v>
      </c>
      <c r="M35" s="62">
        <f t="shared" ref="M35:M37" si="40">G35+(800*17)</f>
        <v>169534.46327683615</v>
      </c>
      <c r="N35" s="62">
        <f t="shared" ref="N35:N37" si="41">H35+(800*17)</f>
        <v>173919.46327683615</v>
      </c>
      <c r="O35" s="62">
        <f t="shared" si="24"/>
        <v>176334.46327683615</v>
      </c>
      <c r="P35" s="62">
        <f t="shared" si="36"/>
        <v>180719.46327683615</v>
      </c>
      <c r="Q35" s="38"/>
      <c r="R35" s="60">
        <f t="shared" si="25"/>
        <v>183185.80000000002</v>
      </c>
      <c r="S35" s="60">
        <f t="shared" si="26"/>
        <v>200843.58870056499</v>
      </c>
      <c r="T35" s="60">
        <f t="shared" si="27"/>
        <v>206491.46870056496</v>
      </c>
      <c r="U35" s="60">
        <f t="shared" si="28"/>
        <v>205222.78870056497</v>
      </c>
      <c r="V35" s="60">
        <f t="shared" si="29"/>
        <v>210870.66870056497</v>
      </c>
      <c r="W35" s="60">
        <f t="shared" si="30"/>
        <v>211791.58870056499</v>
      </c>
      <c r="X35" s="60">
        <f t="shared" si="31"/>
        <v>217439.46870056499</v>
      </c>
      <c r="Y35" s="60">
        <f t="shared" si="32"/>
        <v>218360.38870056497</v>
      </c>
      <c r="Z35" s="60">
        <f t="shared" si="33"/>
        <v>224008.26870056498</v>
      </c>
      <c r="AA35" s="60">
        <f t="shared" si="34"/>
        <v>227118.78870056497</v>
      </c>
      <c r="AB35" s="60">
        <f t="shared" si="35"/>
        <v>232766.66870056497</v>
      </c>
    </row>
    <row r="36" spans="2:28" ht="31.8" x14ac:dyDescent="0.3">
      <c r="B36" s="149">
        <v>7</v>
      </c>
      <c r="C36" s="150" t="s">
        <v>47</v>
      </c>
      <c r="D36" s="150" t="s">
        <v>560</v>
      </c>
      <c r="E36" s="150"/>
      <c r="F36" s="150">
        <f>'2 HP -90M '!E39</f>
        <v>143725</v>
      </c>
      <c r="G36" s="62">
        <f>'2 HP -90M '!E45</f>
        <v>167959.66101694916</v>
      </c>
      <c r="H36" s="62">
        <f>'2 HP -90M '!E48</f>
        <v>176584.66101694916</v>
      </c>
      <c r="I36" s="62">
        <f t="shared" si="21"/>
        <v>171359.66101694916</v>
      </c>
      <c r="J36" s="62">
        <f t="shared" si="37"/>
        <v>179984.66101694916</v>
      </c>
      <c r="K36" s="62">
        <f t="shared" si="38"/>
        <v>176459.66101694916</v>
      </c>
      <c r="L36" s="62">
        <f t="shared" si="39"/>
        <v>185084.66101694916</v>
      </c>
      <c r="M36" s="62">
        <f t="shared" si="40"/>
        <v>181559.66101694916</v>
      </c>
      <c r="N36" s="62">
        <f t="shared" si="41"/>
        <v>190184.66101694916</v>
      </c>
      <c r="O36" s="62">
        <f t="shared" si="24"/>
        <v>188359.66101694916</v>
      </c>
      <c r="P36" s="62">
        <f t="shared" si="36"/>
        <v>196984.66101694916</v>
      </c>
      <c r="Q36" s="38"/>
      <c r="R36" s="60">
        <f t="shared" si="25"/>
        <v>185117.80000000002</v>
      </c>
      <c r="S36" s="60">
        <f t="shared" si="26"/>
        <v>216332.04338983053</v>
      </c>
      <c r="T36" s="60">
        <f t="shared" si="27"/>
        <v>227441.04338983053</v>
      </c>
      <c r="U36" s="60">
        <f t="shared" si="28"/>
        <v>220711.24338983052</v>
      </c>
      <c r="V36" s="60">
        <f t="shared" si="29"/>
        <v>231820.24338983055</v>
      </c>
      <c r="W36" s="60">
        <f t="shared" si="30"/>
        <v>227280.04338983053</v>
      </c>
      <c r="X36" s="60">
        <f t="shared" si="31"/>
        <v>238389.04338983053</v>
      </c>
      <c r="Y36" s="60">
        <f t="shared" si="32"/>
        <v>233848.84338983052</v>
      </c>
      <c r="Z36" s="60">
        <f t="shared" si="33"/>
        <v>244957.84338983052</v>
      </c>
      <c r="AA36" s="60">
        <f t="shared" si="34"/>
        <v>242607.24338983055</v>
      </c>
      <c r="AB36" s="60">
        <f t="shared" si="35"/>
        <v>253716.24338983055</v>
      </c>
    </row>
    <row r="37" spans="2:28" ht="31.8" x14ac:dyDescent="0.3">
      <c r="B37" s="71">
        <v>8</v>
      </c>
      <c r="C37" s="150" t="s">
        <v>561</v>
      </c>
      <c r="D37" s="150" t="s">
        <v>562</v>
      </c>
      <c r="E37" s="65"/>
      <c r="F37" s="150">
        <f>'2 HP -150 M'!E39</f>
        <v>153225</v>
      </c>
      <c r="G37" s="64">
        <f>'2 HP -150 M'!E45</f>
        <v>183294.45762711865</v>
      </c>
      <c r="H37" s="64">
        <f>'2 HP -150 M'!E48</f>
        <v>197766.67984934087</v>
      </c>
      <c r="I37" s="62">
        <f t="shared" si="21"/>
        <v>186694.45762711865</v>
      </c>
      <c r="J37" s="62">
        <f t="shared" si="37"/>
        <v>201166.67984934087</v>
      </c>
      <c r="K37" s="62">
        <f t="shared" si="38"/>
        <v>191794.45762711865</v>
      </c>
      <c r="L37" s="62">
        <f t="shared" si="39"/>
        <v>206266.67984934087</v>
      </c>
      <c r="M37" s="62">
        <f t="shared" si="40"/>
        <v>196894.45762711865</v>
      </c>
      <c r="N37" s="62">
        <f t="shared" si="41"/>
        <v>211366.67984934087</v>
      </c>
      <c r="O37" s="62">
        <f t="shared" si="24"/>
        <v>203694.45762711865</v>
      </c>
      <c r="P37" s="62">
        <f t="shared" si="36"/>
        <v>218166.67984934087</v>
      </c>
      <c r="Q37" s="38"/>
      <c r="R37" s="60">
        <f t="shared" si="25"/>
        <v>197353.80000000002</v>
      </c>
      <c r="S37" s="60">
        <f t="shared" si="26"/>
        <v>236083.26142372881</v>
      </c>
      <c r="T37" s="60">
        <f t="shared" si="27"/>
        <v>254723.48364595106</v>
      </c>
      <c r="U37" s="60">
        <f t="shared" si="28"/>
        <v>240462.46142372882</v>
      </c>
      <c r="V37" s="60">
        <f t="shared" si="29"/>
        <v>259102.68364595104</v>
      </c>
      <c r="W37" s="60">
        <f t="shared" si="30"/>
        <v>247031.26142372881</v>
      </c>
      <c r="X37" s="60">
        <f t="shared" si="31"/>
        <v>265671.48364595103</v>
      </c>
      <c r="Y37" s="60">
        <f t="shared" si="32"/>
        <v>253600.06142372882</v>
      </c>
      <c r="Z37" s="60">
        <f t="shared" si="33"/>
        <v>272240.28364595107</v>
      </c>
      <c r="AA37" s="60">
        <f t="shared" si="34"/>
        <v>262358.46142372885</v>
      </c>
      <c r="AB37" s="60">
        <f t="shared" si="35"/>
        <v>280998.68364595104</v>
      </c>
    </row>
    <row r="38" spans="2:28" ht="31.8" x14ac:dyDescent="0.3">
      <c r="B38" s="184" t="s">
        <v>91</v>
      </c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</row>
    <row r="39" spans="2:28" ht="27.6" x14ac:dyDescent="0.3">
      <c r="B39" s="193">
        <v>9</v>
      </c>
      <c r="C39" s="194" t="s">
        <v>563</v>
      </c>
      <c r="D39" s="194" t="s">
        <v>564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54" t="s">
        <v>127</v>
      </c>
      <c r="R39" s="195">
        <f>F40*1.15*1.12</f>
        <v>237423.47999999998</v>
      </c>
      <c r="S39" s="195">
        <f>G40*1.15*1.12</f>
        <v>252820.10101694916</v>
      </c>
      <c r="T39" s="195">
        <f>H40*1.13*1.12</f>
        <v>0</v>
      </c>
      <c r="U39" s="195">
        <f>I40*1.15*1.12</f>
        <v>257199.30101694918</v>
      </c>
      <c r="V39" s="195">
        <f>J40*1.13*1.12</f>
        <v>0</v>
      </c>
      <c r="W39" s="195">
        <f>K40*1.15*1.12</f>
        <v>263768.10101694916</v>
      </c>
      <c r="X39" s="195">
        <f>L40*1.13*1.12</f>
        <v>0</v>
      </c>
      <c r="Y39" s="195">
        <f>M40*1.15*1.12</f>
        <v>270336.90101694915</v>
      </c>
      <c r="Z39" s="195">
        <f>N40*1.13*1.12</f>
        <v>0</v>
      </c>
      <c r="AA39" s="195">
        <f>O40*1.15*1.12</f>
        <v>279095.30101694918</v>
      </c>
      <c r="AB39" s="195">
        <f>P40*1.13*1.12</f>
        <v>0</v>
      </c>
    </row>
    <row r="40" spans="2:28" ht="31.8" x14ac:dyDescent="0.3">
      <c r="B40" s="193"/>
      <c r="C40" s="194"/>
      <c r="D40" s="194"/>
      <c r="E40" s="150">
        <f>'3 HP -20 M'!I39+(Individual!C8*3)</f>
        <v>185470</v>
      </c>
      <c r="F40" s="150">
        <f>'3 HP -20 M'!E39</f>
        <v>184335</v>
      </c>
      <c r="G40" s="62">
        <f>'3 HP -20 M'!E45</f>
        <v>196288.89830508476</v>
      </c>
      <c r="H40" s="62">
        <f>'2 HP -50 M '!E53</f>
        <v>0</v>
      </c>
      <c r="I40" s="62">
        <f>G40+(200*17)</f>
        <v>199688.89830508476</v>
      </c>
      <c r="J40" s="62">
        <v>0</v>
      </c>
      <c r="K40" s="62">
        <f>G40+(500*17)</f>
        <v>204788.89830508476</v>
      </c>
      <c r="L40" s="62">
        <v>0</v>
      </c>
      <c r="M40" s="62">
        <f>G40+(800*17)</f>
        <v>209888.89830508476</v>
      </c>
      <c r="N40" s="62">
        <v>0</v>
      </c>
      <c r="O40" s="62">
        <f>G40+(1200*17)</f>
        <v>216688.89830508476</v>
      </c>
      <c r="P40" s="62">
        <v>0</v>
      </c>
      <c r="Q40" s="60">
        <f>E40*1.15*1.12</f>
        <v>238885.36</v>
      </c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</row>
    <row r="41" spans="2:28" ht="31.8" x14ac:dyDescent="0.3">
      <c r="B41" s="149">
        <v>10</v>
      </c>
      <c r="C41" s="150" t="s">
        <v>48</v>
      </c>
      <c r="D41" s="150" t="s">
        <v>565</v>
      </c>
      <c r="E41" s="150">
        <f>'3 HP -30M'!I39+(Individual!C8*3)</f>
        <v>185470</v>
      </c>
      <c r="F41" s="150">
        <f>'3 HP -30M'!E45</f>
        <v>190561.86440677967</v>
      </c>
      <c r="G41" s="62">
        <f>'3 HP -30M'!E48</f>
        <v>199177.6051475204</v>
      </c>
      <c r="H41" s="62">
        <f>'[1]3 HP -60M'!E54</f>
        <v>226375</v>
      </c>
      <c r="I41" s="62">
        <f>G41+(200*17)</f>
        <v>202577.6051475204</v>
      </c>
      <c r="J41" s="62">
        <f>H41+(200*17)</f>
        <v>229775</v>
      </c>
      <c r="K41" s="62">
        <f>G41+(500*17)</f>
        <v>207677.6051475204</v>
      </c>
      <c r="L41" s="62">
        <f>H41+(500*17)</f>
        <v>234875</v>
      </c>
      <c r="M41" s="62">
        <f>G41+(800*17)</f>
        <v>212777.6051475204</v>
      </c>
      <c r="N41" s="62">
        <f>H41+(800*17)</f>
        <v>239975</v>
      </c>
      <c r="O41" s="62">
        <f t="shared" ref="O41:O44" si="42">G41+(1200*17)</f>
        <v>219577.6051475204</v>
      </c>
      <c r="P41" s="62">
        <f t="shared" ref="P41:P44" si="43">H41+(1200*17)</f>
        <v>246775</v>
      </c>
      <c r="Q41" s="60">
        <f t="shared" ref="Q41:Q44" si="44">E41*1.15*1.12</f>
        <v>238885.36</v>
      </c>
      <c r="R41" s="60">
        <f t="shared" ref="R41:AB41" si="45">F41*1.15*1.12</f>
        <v>245443.68135593223</v>
      </c>
      <c r="S41" s="60">
        <f t="shared" si="45"/>
        <v>256540.75543000628</v>
      </c>
      <c r="T41" s="60">
        <f t="shared" si="45"/>
        <v>291571</v>
      </c>
      <c r="U41" s="60">
        <f t="shared" si="45"/>
        <v>260919.95543000629</v>
      </c>
      <c r="V41" s="60">
        <f t="shared" si="45"/>
        <v>295950.2</v>
      </c>
      <c r="W41" s="60">
        <f t="shared" si="45"/>
        <v>267488.75543000631</v>
      </c>
      <c r="X41" s="60">
        <f t="shared" si="45"/>
        <v>302519</v>
      </c>
      <c r="Y41" s="60">
        <f t="shared" si="45"/>
        <v>274057.55543000629</v>
      </c>
      <c r="Z41" s="60">
        <f t="shared" si="45"/>
        <v>309087.80000000005</v>
      </c>
      <c r="AA41" s="60">
        <f t="shared" si="45"/>
        <v>282815.95543000626</v>
      </c>
      <c r="AB41" s="60">
        <f t="shared" si="45"/>
        <v>317846.2</v>
      </c>
    </row>
    <row r="42" spans="2:28" ht="31.8" x14ac:dyDescent="0.3">
      <c r="B42" s="149">
        <v>11</v>
      </c>
      <c r="C42" s="150" t="s">
        <v>566</v>
      </c>
      <c r="D42" s="150" t="s">
        <v>565</v>
      </c>
      <c r="E42" s="150">
        <f>'3 HP -70M '!I39+(Individual!C8*3)</f>
        <v>185470</v>
      </c>
      <c r="F42" s="150">
        <f>'3 HP -70M '!E39</f>
        <v>181335</v>
      </c>
      <c r="G42" s="62">
        <f>'3 HP -70M '!E45</f>
        <v>207065.39548022597</v>
      </c>
      <c r="H42" s="62">
        <f>'3 HP -70M '!E48</f>
        <v>216376.3214061519</v>
      </c>
      <c r="I42" s="62">
        <f t="shared" ref="I42:I44" si="46">G42+(200*17)</f>
        <v>210465.39548022597</v>
      </c>
      <c r="J42" s="62">
        <f t="shared" ref="J42:J44" si="47">H42+(200*17)</f>
        <v>219776.3214061519</v>
      </c>
      <c r="K42" s="62">
        <f t="shared" ref="K42:K44" si="48">G42+(500*17)</f>
        <v>215565.39548022597</v>
      </c>
      <c r="L42" s="62">
        <f t="shared" ref="L42:L44" si="49">H42+(500*17)</f>
        <v>224876.3214061519</v>
      </c>
      <c r="M42" s="62">
        <f t="shared" ref="M42:M44" si="50">G42+(800*17)</f>
        <v>220665.39548022597</v>
      </c>
      <c r="N42" s="62">
        <f t="shared" ref="N42:N44" si="51">H42+(800*17)</f>
        <v>229976.3214061519</v>
      </c>
      <c r="O42" s="62">
        <f t="shared" si="42"/>
        <v>227465.39548022597</v>
      </c>
      <c r="P42" s="62">
        <f t="shared" si="43"/>
        <v>236776.3214061519</v>
      </c>
      <c r="Q42" s="60">
        <f t="shared" si="44"/>
        <v>238885.36</v>
      </c>
      <c r="R42" s="60">
        <f t="shared" ref="R42:R44" si="52">F42*1.15*1.12</f>
        <v>233559.47999999998</v>
      </c>
      <c r="S42" s="60">
        <f t="shared" ref="S42:S44" si="53">G42*1.15*1.12</f>
        <v>266700.22937853105</v>
      </c>
      <c r="T42" s="60">
        <f t="shared" ref="T42:T44" si="54">H42*1.15*1.12</f>
        <v>278692.70197112364</v>
      </c>
      <c r="U42" s="60">
        <f t="shared" ref="U42:U44" si="55">I42*1.15*1.12</f>
        <v>271079.42937853106</v>
      </c>
      <c r="V42" s="60">
        <f t="shared" ref="V42:V44" si="56">J42*1.15*1.12</f>
        <v>283071.90197112365</v>
      </c>
      <c r="W42" s="60">
        <f t="shared" ref="W42:W44" si="57">K42*1.15*1.12</f>
        <v>277648.22937853105</v>
      </c>
      <c r="X42" s="60">
        <f t="shared" ref="X42:X44" si="58">L42*1.15*1.12</f>
        <v>289640.70197112364</v>
      </c>
      <c r="Y42" s="60">
        <f t="shared" ref="Y42:Y44" si="59">M42*1.15*1.12</f>
        <v>284217.02937853104</v>
      </c>
      <c r="Z42" s="60">
        <f t="shared" ref="Z42:Z44" si="60">N42*1.15*1.12</f>
        <v>296209.50197112362</v>
      </c>
      <c r="AA42" s="60">
        <f t="shared" ref="AA42:AA44" si="61">O42*1.15*1.12</f>
        <v>292975.42937853106</v>
      </c>
      <c r="AB42" s="60">
        <f t="shared" ref="AB42:AB44" si="62">P42*1.15*1.12</f>
        <v>304967.90197112365</v>
      </c>
    </row>
    <row r="43" spans="2:28" ht="31.8" x14ac:dyDescent="0.3">
      <c r="B43" s="149">
        <v>12</v>
      </c>
      <c r="C43" s="150" t="s">
        <v>567</v>
      </c>
      <c r="D43" s="150" t="s">
        <v>568</v>
      </c>
      <c r="E43" s="150">
        <f>'3 HP -140M'!I39+(Individual!C8*3)</f>
        <v>185470</v>
      </c>
      <c r="F43" s="150">
        <f>'3 HP -140M'!E45</f>
        <v>230647.82485875709</v>
      </c>
      <c r="G43" s="62">
        <f>'3 HP -140M'!E48</f>
        <v>243584.49152542374</v>
      </c>
      <c r="H43" s="62">
        <f>'[1]3 HP-150M '!E54</f>
        <v>257175</v>
      </c>
      <c r="I43" s="62">
        <f t="shared" si="46"/>
        <v>246984.49152542374</v>
      </c>
      <c r="J43" s="62">
        <f t="shared" si="47"/>
        <v>260575</v>
      </c>
      <c r="K43" s="62">
        <f t="shared" si="48"/>
        <v>252084.49152542374</v>
      </c>
      <c r="L43" s="62">
        <f t="shared" si="49"/>
        <v>265675</v>
      </c>
      <c r="M43" s="62">
        <f t="shared" si="50"/>
        <v>257184.49152542374</v>
      </c>
      <c r="N43" s="62">
        <f t="shared" si="51"/>
        <v>270775</v>
      </c>
      <c r="O43" s="62">
        <f t="shared" si="42"/>
        <v>263984.49152542371</v>
      </c>
      <c r="P43" s="62">
        <f t="shared" si="43"/>
        <v>277575</v>
      </c>
      <c r="Q43" s="60">
        <f t="shared" si="44"/>
        <v>238885.36</v>
      </c>
      <c r="R43" s="60">
        <f t="shared" si="52"/>
        <v>297074.39841807913</v>
      </c>
      <c r="S43" s="60">
        <f t="shared" si="53"/>
        <v>313736.82508474583</v>
      </c>
      <c r="T43" s="60">
        <f t="shared" si="54"/>
        <v>331241.40000000002</v>
      </c>
      <c r="U43" s="60">
        <f t="shared" si="55"/>
        <v>318116.02508474584</v>
      </c>
      <c r="V43" s="60">
        <f t="shared" si="56"/>
        <v>335620.60000000003</v>
      </c>
      <c r="W43" s="60">
        <f t="shared" si="57"/>
        <v>324684.82508474583</v>
      </c>
      <c r="X43" s="60">
        <f t="shared" si="58"/>
        <v>342189.4</v>
      </c>
      <c r="Y43" s="60">
        <f t="shared" si="59"/>
        <v>331253.62508474581</v>
      </c>
      <c r="Z43" s="60">
        <f t="shared" si="60"/>
        <v>348758.2</v>
      </c>
      <c r="AA43" s="60">
        <f t="shared" si="61"/>
        <v>340012.02508474572</v>
      </c>
      <c r="AB43" s="60">
        <f t="shared" si="62"/>
        <v>357516.60000000003</v>
      </c>
    </row>
    <row r="44" spans="2:28" ht="31.8" x14ac:dyDescent="0.3">
      <c r="B44" s="71">
        <v>13</v>
      </c>
      <c r="C44" s="150" t="s">
        <v>569</v>
      </c>
      <c r="D44" s="150" t="s">
        <v>570</v>
      </c>
      <c r="E44" s="150">
        <f>'3HP -180M '!I39+(Individual!C8*3)</f>
        <v>185470</v>
      </c>
      <c r="F44" s="65">
        <f>'3HP -180M '!E39</f>
        <v>190335</v>
      </c>
      <c r="G44" s="62">
        <f>'3HP -180M '!E45</f>
        <v>220404.45762711865</v>
      </c>
      <c r="H44" s="62">
        <f>'3HP -180M '!E48</f>
        <v>246555.93910860014</v>
      </c>
      <c r="I44" s="62">
        <f t="shared" si="46"/>
        <v>223804.45762711865</v>
      </c>
      <c r="J44" s="62">
        <f t="shared" si="47"/>
        <v>249955.93910860014</v>
      </c>
      <c r="K44" s="62">
        <f t="shared" si="48"/>
        <v>228904.45762711865</v>
      </c>
      <c r="L44" s="62">
        <f t="shared" si="49"/>
        <v>255055.93910860014</v>
      </c>
      <c r="M44" s="62">
        <f t="shared" si="50"/>
        <v>234004.45762711865</v>
      </c>
      <c r="N44" s="62">
        <f t="shared" si="51"/>
        <v>260155.93910860014</v>
      </c>
      <c r="O44" s="62">
        <f t="shared" si="42"/>
        <v>240804.45762711865</v>
      </c>
      <c r="P44" s="62">
        <f t="shared" si="43"/>
        <v>266955.93910860014</v>
      </c>
      <c r="Q44" s="60">
        <f t="shared" si="44"/>
        <v>238885.36</v>
      </c>
      <c r="R44" s="60">
        <f t="shared" si="52"/>
        <v>245151.47999999998</v>
      </c>
      <c r="S44" s="60">
        <f t="shared" si="53"/>
        <v>283880.94142372883</v>
      </c>
      <c r="T44" s="60">
        <f t="shared" si="54"/>
        <v>317564.049571877</v>
      </c>
      <c r="U44" s="60">
        <f t="shared" si="55"/>
        <v>288260.14142372884</v>
      </c>
      <c r="V44" s="60">
        <f t="shared" si="56"/>
        <v>321943.24957187701</v>
      </c>
      <c r="W44" s="60">
        <f t="shared" si="57"/>
        <v>294828.94142372883</v>
      </c>
      <c r="X44" s="60">
        <f t="shared" si="58"/>
        <v>328512.049571877</v>
      </c>
      <c r="Y44" s="60">
        <f t="shared" si="59"/>
        <v>301397.74142372888</v>
      </c>
      <c r="Z44" s="60">
        <f t="shared" si="60"/>
        <v>335080.84957187704</v>
      </c>
      <c r="AA44" s="60">
        <f t="shared" si="61"/>
        <v>310156.14142372884</v>
      </c>
      <c r="AB44" s="60">
        <f t="shared" si="62"/>
        <v>343839.24957187701</v>
      </c>
    </row>
    <row r="45" spans="2:28" ht="31.8" x14ac:dyDescent="0.3">
      <c r="B45" s="184" t="s">
        <v>41</v>
      </c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</row>
    <row r="46" spans="2:28" ht="31.8" x14ac:dyDescent="0.3">
      <c r="B46" s="149">
        <v>14</v>
      </c>
      <c r="C46" s="150" t="s">
        <v>571</v>
      </c>
      <c r="D46" s="150" t="s">
        <v>572</v>
      </c>
      <c r="E46" s="150">
        <f>'5HP -40M'!I39</f>
        <v>223855</v>
      </c>
      <c r="F46" s="150">
        <f>'5HP -40M'!E39</f>
        <v>261855</v>
      </c>
      <c r="G46" s="62">
        <f>'5HP -40M'!E45</f>
        <v>283291.5254237288</v>
      </c>
      <c r="H46" s="62">
        <v>0</v>
      </c>
      <c r="I46" s="62">
        <f>G46+(200*30)</f>
        <v>289291.5254237288</v>
      </c>
      <c r="J46" s="62">
        <v>0</v>
      </c>
      <c r="K46" s="62">
        <f>G46+(500*30)</f>
        <v>298291.5254237288</v>
      </c>
      <c r="L46" s="62">
        <v>0</v>
      </c>
      <c r="M46" s="62">
        <f>G46+(800*30)</f>
        <v>307291.5254237288</v>
      </c>
      <c r="N46" s="62">
        <v>0</v>
      </c>
      <c r="O46" s="62">
        <f>G46+(1200*30)</f>
        <v>319291.5254237288</v>
      </c>
      <c r="P46" s="62">
        <v>0</v>
      </c>
      <c r="Q46" s="60">
        <f>E46*1.13*1.12</f>
        <v>283310.88799999998</v>
      </c>
      <c r="R46" s="60">
        <f>F46*1.13*1.12</f>
        <v>331403.68799999997</v>
      </c>
      <c r="S46" s="60">
        <f>G46*1.13*1.12</f>
        <v>358533.75457627117</v>
      </c>
      <c r="T46" s="60">
        <f t="shared" ref="T46:V46" si="63">H46*1.17</f>
        <v>0</v>
      </c>
      <c r="U46" s="60">
        <f>I46*1.13*1.12</f>
        <v>366127.3545762712</v>
      </c>
      <c r="V46" s="60">
        <f t="shared" si="63"/>
        <v>0</v>
      </c>
      <c r="W46" s="60">
        <f>K46*1.13*1.12</f>
        <v>377517.75457627117</v>
      </c>
      <c r="X46" s="60">
        <f>L46*1.17</f>
        <v>0</v>
      </c>
      <c r="Y46" s="60">
        <f>M46*1.13*1.12</f>
        <v>388908.15457627119</v>
      </c>
      <c r="Z46" s="60">
        <f>N46*1.17</f>
        <v>0</v>
      </c>
      <c r="AA46" s="60">
        <f>O46*1.13*1.12</f>
        <v>404095.3545762712</v>
      </c>
      <c r="AB46" s="60">
        <f t="shared" ref="AB46" si="64">P46*1.17</f>
        <v>0</v>
      </c>
    </row>
    <row r="47" spans="2:28" ht="31.8" x14ac:dyDescent="0.3">
      <c r="B47" s="149">
        <v>15</v>
      </c>
      <c r="C47" s="150" t="s">
        <v>53</v>
      </c>
      <c r="D47" s="150" t="s">
        <v>573</v>
      </c>
      <c r="E47" s="150">
        <f>'5 HP -65 M'!I39</f>
        <v>223855</v>
      </c>
      <c r="F47" s="150">
        <f>'5 HP -65 M'!E39</f>
        <v>263855</v>
      </c>
      <c r="G47" s="62">
        <f>'5 HP -65 M'!E45</f>
        <v>289023.12146892655</v>
      </c>
      <c r="H47" s="62">
        <f>'5 HP -65 M'!E48</f>
        <v>306707.8436911488</v>
      </c>
      <c r="I47" s="62">
        <f t="shared" ref="I47:I49" si="65">G47+(200*30)</f>
        <v>295023.12146892655</v>
      </c>
      <c r="J47" s="62">
        <f>H47+(200*30)</f>
        <v>312707.8436911488</v>
      </c>
      <c r="K47" s="62">
        <f t="shared" ref="K47:K49" si="66">G47+(500*30)</f>
        <v>304023.12146892655</v>
      </c>
      <c r="L47" s="62">
        <f t="shared" ref="L47:L50" si="67">H47+(500*30)</f>
        <v>321707.8436911488</v>
      </c>
      <c r="M47" s="62">
        <f t="shared" ref="M47:M49" si="68">G47+(800*30)</f>
        <v>313023.12146892655</v>
      </c>
      <c r="N47" s="62">
        <f t="shared" ref="N47:N50" si="69">H47+(800*30)</f>
        <v>330707.8436911488</v>
      </c>
      <c r="O47" s="62">
        <f t="shared" ref="O47:O49" si="70">G47+(1200*30)</f>
        <v>325023.12146892655</v>
      </c>
      <c r="P47" s="62">
        <f t="shared" ref="P47:P50" si="71">H47+(1200*30)</f>
        <v>342707.8436911488</v>
      </c>
      <c r="Q47" s="60">
        <f t="shared" ref="Q47:Q50" si="72">E47*1.13*1.12</f>
        <v>283310.88799999998</v>
      </c>
      <c r="R47" s="60">
        <f t="shared" ref="R47:R50" si="73">F47*1.13*1.12</f>
        <v>333934.88799999998</v>
      </c>
      <c r="S47" s="60">
        <f t="shared" ref="S47:S49" si="74">G47*1.13*1.12</f>
        <v>365787.66253107338</v>
      </c>
      <c r="T47" s="60">
        <f>H47*1.13*1.12</f>
        <v>388169.44697551796</v>
      </c>
      <c r="U47" s="60">
        <f t="shared" ref="U47:U49" si="75">I47*1.13*1.12</f>
        <v>373381.26253107341</v>
      </c>
      <c r="V47" s="60">
        <f>J47*1.13*1.12</f>
        <v>395763.04697551794</v>
      </c>
      <c r="W47" s="60">
        <f t="shared" ref="W47:W49" si="76">K47*1.13*1.12</f>
        <v>384771.66253107344</v>
      </c>
      <c r="X47" s="60">
        <f>L47*1.13*1.12</f>
        <v>407153.44697551796</v>
      </c>
      <c r="Y47" s="60">
        <f t="shared" ref="Y47:Y49" si="77">M47*1.13*1.12</f>
        <v>396162.0625310734</v>
      </c>
      <c r="Z47" s="60">
        <f>N47*1.13*1.12</f>
        <v>418543.84697551792</v>
      </c>
      <c r="AA47" s="60">
        <f t="shared" ref="AA47:AA49" si="78">O47*1.13*1.12</f>
        <v>411349.26253107341</v>
      </c>
      <c r="AB47" s="60">
        <f>P47*1.13*1.12</f>
        <v>433731.04697551794</v>
      </c>
    </row>
    <row r="48" spans="2:28" ht="31.8" x14ac:dyDescent="0.3">
      <c r="B48" s="149">
        <v>16</v>
      </c>
      <c r="C48" s="150" t="s">
        <v>54</v>
      </c>
      <c r="D48" s="150" t="s">
        <v>574</v>
      </c>
      <c r="E48" s="150">
        <f>'5 HP -100 M'!I39</f>
        <v>223855</v>
      </c>
      <c r="F48" s="150">
        <f>'5 HP -100 M'!E39</f>
        <v>256855</v>
      </c>
      <c r="G48" s="62">
        <f>'5 HP -100 M'!E45</f>
        <v>294278.0225988701</v>
      </c>
      <c r="H48" s="62">
        <f>'5 HP -100 M'!E48</f>
        <v>307732.46704331454</v>
      </c>
      <c r="I48" s="62">
        <f t="shared" si="65"/>
        <v>300278.0225988701</v>
      </c>
      <c r="J48" s="62">
        <f t="shared" ref="J48:J50" si="79">H48+(200*30)</f>
        <v>313732.46704331454</v>
      </c>
      <c r="K48" s="62">
        <f t="shared" si="66"/>
        <v>309278.0225988701</v>
      </c>
      <c r="L48" s="62">
        <f t="shared" si="67"/>
        <v>322732.46704331454</v>
      </c>
      <c r="M48" s="62">
        <f t="shared" si="68"/>
        <v>318278.0225988701</v>
      </c>
      <c r="N48" s="62">
        <f t="shared" si="69"/>
        <v>331732.46704331454</v>
      </c>
      <c r="O48" s="62">
        <f t="shared" si="70"/>
        <v>330278.0225988701</v>
      </c>
      <c r="P48" s="62">
        <f t="shared" si="71"/>
        <v>343732.46704331454</v>
      </c>
      <c r="Q48" s="60">
        <f t="shared" si="72"/>
        <v>283310.88799999998</v>
      </c>
      <c r="R48" s="60">
        <f t="shared" si="73"/>
        <v>325075.68799999997</v>
      </c>
      <c r="S48" s="60">
        <f t="shared" si="74"/>
        <v>372438.26540112996</v>
      </c>
      <c r="T48" s="60">
        <f t="shared" ref="T48:T50" si="80">H48*1.13*1.12</f>
        <v>389466.21029001888</v>
      </c>
      <c r="U48" s="60">
        <f t="shared" si="75"/>
        <v>380031.86540113</v>
      </c>
      <c r="V48" s="60">
        <f t="shared" ref="V48:V50" si="81">J48*1.13*1.12</f>
        <v>397059.81029001885</v>
      </c>
      <c r="W48" s="60">
        <f t="shared" si="76"/>
        <v>391422.26540112996</v>
      </c>
      <c r="X48" s="60">
        <f t="shared" ref="X48:X50" si="82">L48*1.13*1.12</f>
        <v>408450.21029001888</v>
      </c>
      <c r="Y48" s="60">
        <f t="shared" si="77"/>
        <v>402812.66540112998</v>
      </c>
      <c r="Z48" s="60">
        <f t="shared" ref="Z48:Z50" si="83">N48*1.13*1.12</f>
        <v>419840.6102900189</v>
      </c>
      <c r="AA48" s="60">
        <f t="shared" si="78"/>
        <v>417999.86540113</v>
      </c>
      <c r="AB48" s="60">
        <f t="shared" ref="AB48:AB50" si="84">P48*1.13*1.12</f>
        <v>435027.81029001891</v>
      </c>
    </row>
    <row r="49" spans="2:28" ht="31.8" x14ac:dyDescent="0.3">
      <c r="B49" s="149">
        <v>17</v>
      </c>
      <c r="C49" s="150" t="s">
        <v>575</v>
      </c>
      <c r="D49" s="150" t="s">
        <v>576</v>
      </c>
      <c r="E49" s="150">
        <f>'5 HP - 200 M'!I39</f>
        <v>223855</v>
      </c>
      <c r="F49" s="150">
        <f>'5 HP - 200 M'!E39</f>
        <v>261855</v>
      </c>
      <c r="G49" s="62">
        <f>'5 HP - 200 M'!E45</f>
        <v>316452.74011299433</v>
      </c>
      <c r="H49" s="62">
        <f>'5 HP - 200 M'!E48</f>
        <v>334419.40677966102</v>
      </c>
      <c r="I49" s="62">
        <f t="shared" si="65"/>
        <v>322452.74011299433</v>
      </c>
      <c r="J49" s="62">
        <f t="shared" si="79"/>
        <v>340419.40677966102</v>
      </c>
      <c r="K49" s="62">
        <f t="shared" si="66"/>
        <v>331452.74011299433</v>
      </c>
      <c r="L49" s="62">
        <f t="shared" si="67"/>
        <v>349419.40677966102</v>
      </c>
      <c r="M49" s="62">
        <f t="shared" si="68"/>
        <v>340452.74011299433</v>
      </c>
      <c r="N49" s="62">
        <f t="shared" si="69"/>
        <v>358419.40677966102</v>
      </c>
      <c r="O49" s="62">
        <f t="shared" si="70"/>
        <v>352452.74011299433</v>
      </c>
      <c r="P49" s="62">
        <f t="shared" si="71"/>
        <v>370419.40677966102</v>
      </c>
      <c r="Q49" s="60">
        <f t="shared" si="72"/>
        <v>283310.88799999998</v>
      </c>
      <c r="R49" s="60">
        <f t="shared" si="73"/>
        <v>331403.68799999997</v>
      </c>
      <c r="S49" s="60">
        <f t="shared" si="74"/>
        <v>400502.58788700559</v>
      </c>
      <c r="T49" s="60">
        <f t="shared" si="80"/>
        <v>423241.20122033899</v>
      </c>
      <c r="U49" s="60">
        <f t="shared" si="75"/>
        <v>408096.18788700562</v>
      </c>
      <c r="V49" s="60">
        <f t="shared" si="81"/>
        <v>430834.80122033897</v>
      </c>
      <c r="W49" s="60">
        <f t="shared" si="76"/>
        <v>419486.58788700559</v>
      </c>
      <c r="X49" s="60">
        <f t="shared" si="82"/>
        <v>442225.20122033899</v>
      </c>
      <c r="Y49" s="60">
        <f t="shared" si="77"/>
        <v>430876.98788700561</v>
      </c>
      <c r="Z49" s="60">
        <f t="shared" si="83"/>
        <v>453615.60122033901</v>
      </c>
      <c r="AA49" s="60">
        <f t="shared" si="78"/>
        <v>446064.18788700562</v>
      </c>
      <c r="AB49" s="60">
        <f t="shared" si="84"/>
        <v>468802.80122033897</v>
      </c>
    </row>
    <row r="50" spans="2:28" ht="31.8" x14ac:dyDescent="0.3">
      <c r="B50" s="149">
        <v>19</v>
      </c>
      <c r="C50" s="150" t="s">
        <v>94</v>
      </c>
      <c r="D50" s="150" t="s">
        <v>577</v>
      </c>
      <c r="E50" s="150">
        <f>'5 HP -305 '!I39</f>
        <v>223855.00000000003</v>
      </c>
      <c r="F50" s="150">
        <f>'5 HP -305 '!E39</f>
        <v>262673.89763779531</v>
      </c>
      <c r="G50" s="62">
        <v>0</v>
      </c>
      <c r="H50" s="62">
        <f>'5 HP -305 '!E45</f>
        <v>385589.65156121022</v>
      </c>
      <c r="I50" s="62">
        <v>0</v>
      </c>
      <c r="J50" s="62">
        <f t="shared" si="79"/>
        <v>391589.65156121022</v>
      </c>
      <c r="K50" s="62"/>
      <c r="L50" s="62">
        <f t="shared" si="67"/>
        <v>400589.65156121022</v>
      </c>
      <c r="M50" s="62"/>
      <c r="N50" s="62">
        <f t="shared" si="69"/>
        <v>409589.65156121022</v>
      </c>
      <c r="O50" s="62"/>
      <c r="P50" s="62">
        <f t="shared" si="71"/>
        <v>421589.65156121022</v>
      </c>
      <c r="Q50" s="60">
        <f t="shared" si="72"/>
        <v>283310.88800000004</v>
      </c>
      <c r="R50" s="60">
        <f t="shared" si="73"/>
        <v>332440.0848503937</v>
      </c>
      <c r="S50" s="60"/>
      <c r="T50" s="60">
        <f t="shared" si="80"/>
        <v>488002.26301586768</v>
      </c>
      <c r="U50" s="60"/>
      <c r="V50" s="60">
        <f t="shared" si="81"/>
        <v>495595.86301586771</v>
      </c>
      <c r="W50" s="60"/>
      <c r="X50" s="60">
        <f t="shared" si="82"/>
        <v>506986.26301586768</v>
      </c>
      <c r="Y50" s="60"/>
      <c r="Z50" s="60">
        <f t="shared" si="83"/>
        <v>518376.6630158677</v>
      </c>
      <c r="AA50" s="60"/>
      <c r="AB50" s="60">
        <f t="shared" si="84"/>
        <v>533563.86301586765</v>
      </c>
    </row>
    <row r="51" spans="2:28" ht="31.8" x14ac:dyDescent="0.3">
      <c r="B51" s="184" t="s">
        <v>40</v>
      </c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</row>
    <row r="52" spans="2:28" ht="31.8" x14ac:dyDescent="0.3">
      <c r="B52" s="149">
        <v>20</v>
      </c>
      <c r="C52" s="150" t="s">
        <v>56</v>
      </c>
      <c r="D52" s="150" t="s">
        <v>578</v>
      </c>
      <c r="E52" s="150">
        <f>'7.5 HP -30 M'!I36</f>
        <v>320315</v>
      </c>
      <c r="F52" s="150">
        <f>'7.5 HP -30 M'!E39</f>
        <v>359921.29921259842</v>
      </c>
      <c r="G52" s="62">
        <f>'7.5 HP -30 M'!E45</f>
        <v>379654.01107700518</v>
      </c>
      <c r="H52" s="62">
        <v>0</v>
      </c>
      <c r="I52" s="62">
        <f>G52+(200*30)</f>
        <v>385654.01107700518</v>
      </c>
      <c r="J52" s="62"/>
      <c r="K52" s="62">
        <f>G52+(500*30)</f>
        <v>394654.01107700518</v>
      </c>
      <c r="L52" s="62"/>
      <c r="M52" s="62">
        <f>G52+(800*30)</f>
        <v>403654.01107700518</v>
      </c>
      <c r="N52" s="62"/>
      <c r="O52" s="62">
        <f>G52+(1200*30)</f>
        <v>415654.01107700518</v>
      </c>
      <c r="P52" s="62"/>
      <c r="Q52" s="60">
        <f>E52*1.13*1.12</f>
        <v>405390.66399999999</v>
      </c>
      <c r="R52" s="60">
        <f>F52*1.13*1.12</f>
        <v>455516.39628346456</v>
      </c>
      <c r="S52" s="60">
        <f>G52*1.13*1.12</f>
        <v>480490.11641905777</v>
      </c>
      <c r="T52" s="60">
        <f t="shared" ref="T52:AB52" si="85">H52*1.13</f>
        <v>0</v>
      </c>
      <c r="U52" s="60">
        <f>I52*1.13*1.12</f>
        <v>488083.71641905775</v>
      </c>
      <c r="V52" s="60">
        <f t="shared" si="85"/>
        <v>0</v>
      </c>
      <c r="W52" s="60">
        <f>K52*1.13*1.12</f>
        <v>499474.11641905777</v>
      </c>
      <c r="X52" s="60">
        <f t="shared" si="85"/>
        <v>0</v>
      </c>
      <c r="Y52" s="60">
        <f>M52*1.13*1.12</f>
        <v>510864.51641905779</v>
      </c>
      <c r="Z52" s="60">
        <f t="shared" si="85"/>
        <v>0</v>
      </c>
      <c r="AA52" s="60">
        <f>O52*1.13*1.12</f>
        <v>526051.7164190578</v>
      </c>
      <c r="AB52" s="60">
        <f t="shared" si="85"/>
        <v>0</v>
      </c>
    </row>
    <row r="53" spans="2:28" ht="31.8" x14ac:dyDescent="0.3">
      <c r="B53" s="149">
        <v>21</v>
      </c>
      <c r="C53" s="150" t="s">
        <v>579</v>
      </c>
      <c r="D53" s="150" t="s">
        <v>580</v>
      </c>
      <c r="E53" s="150">
        <f>'7.5 HP -80 M'!I39</f>
        <v>320315</v>
      </c>
      <c r="F53" s="150">
        <f>'7.5 HP -80 M'!E39</f>
        <v>365196.88976377953</v>
      </c>
      <c r="G53" s="62">
        <f>'7.5 HP -80 M'!E45</f>
        <v>400256.32479202811</v>
      </c>
      <c r="H53" s="62">
        <f>'7.5 HP -80 M'!E49</f>
        <v>444342.25071795401</v>
      </c>
      <c r="I53" s="62">
        <f t="shared" ref="I53:I55" si="86">G53+(200*30)</f>
        <v>406256.32479202811</v>
      </c>
      <c r="J53" s="62">
        <f t="shared" ref="J53:J56" si="87">H53+(200*30)</f>
        <v>450342.25071795401</v>
      </c>
      <c r="K53" s="62">
        <f t="shared" ref="K53:K55" si="88">G53+(500*30)</f>
        <v>415256.32479202811</v>
      </c>
      <c r="L53" s="62">
        <f t="shared" ref="L53:L56" si="89">H53+(500*30)</f>
        <v>459342.25071795401</v>
      </c>
      <c r="M53" s="62">
        <f t="shared" ref="M53:M55" si="90">G53+(800*30)</f>
        <v>424256.32479202811</v>
      </c>
      <c r="N53" s="62">
        <f t="shared" ref="N53:N56" si="91">H53+(800*30)</f>
        <v>468342.25071795401</v>
      </c>
      <c r="O53" s="62">
        <f t="shared" ref="O53:O55" si="92">G53+(1200*30)</f>
        <v>436256.32479202811</v>
      </c>
      <c r="P53" s="62">
        <f t="shared" ref="P53:P56" si="93">H53+(1200*30)</f>
        <v>480342.25071795401</v>
      </c>
      <c r="Q53" s="60">
        <f t="shared" ref="Q53:Q56" si="94">E53*1.13*1.12</f>
        <v>405390.66399999999</v>
      </c>
      <c r="R53" s="60">
        <f t="shared" ref="R53:R56" si="95">F53*1.13*1.12</f>
        <v>462193.18368503934</v>
      </c>
      <c r="S53" s="60">
        <f t="shared" ref="S53:S54" si="96">G53*1.13*1.12</f>
        <v>506564.40465679078</v>
      </c>
      <c r="T53" s="60">
        <f>H53*1.13*1.12</f>
        <v>562359.55250864266</v>
      </c>
      <c r="U53" s="60">
        <f t="shared" ref="U53:U54" si="97">I53*1.13*1.12</f>
        <v>514158.00465679081</v>
      </c>
      <c r="V53" s="60">
        <f>J53*1.13*1.12</f>
        <v>569953.15250864264</v>
      </c>
      <c r="W53" s="60">
        <f t="shared" ref="W53:W54" si="98">K53*1.13*1.12</f>
        <v>525548.40465679078</v>
      </c>
      <c r="X53" s="60">
        <f>L53*1.13*1.12</f>
        <v>581343.55250864266</v>
      </c>
      <c r="Y53" s="60">
        <f t="shared" ref="Y53:Y54" si="99">M53*1.13*1.12</f>
        <v>536938.8046567908</v>
      </c>
      <c r="Z53" s="60">
        <f>N53*1.13*1.12</f>
        <v>592733.95250864257</v>
      </c>
      <c r="AA53" s="60">
        <f t="shared" ref="AA53:AA54" si="100">O53*1.13*1.12</f>
        <v>552126.00465679076</v>
      </c>
      <c r="AB53" s="60">
        <f>P53*1.13*1.12</f>
        <v>607921.15250864252</v>
      </c>
    </row>
    <row r="54" spans="2:28" ht="31.8" x14ac:dyDescent="0.3">
      <c r="B54" s="149">
        <v>22</v>
      </c>
      <c r="C54" s="150" t="s">
        <v>59</v>
      </c>
      <c r="D54" s="150" t="s">
        <v>582</v>
      </c>
      <c r="E54" s="150">
        <f>'7.5 HP -150 M '!I39</f>
        <v>320315</v>
      </c>
      <c r="F54" s="150">
        <f>'7.5 HP -150 M '!E39</f>
        <v>364511.42857142858</v>
      </c>
      <c r="G54" s="62">
        <f>'7.5 HP -150 M '!E45</f>
        <v>427642.27602905571</v>
      </c>
      <c r="H54" s="62">
        <f>'7.5 HP -150 M '!E49</f>
        <v>491921.35010312975</v>
      </c>
      <c r="I54" s="62">
        <f t="shared" si="86"/>
        <v>433642.27602905571</v>
      </c>
      <c r="J54" s="62">
        <f t="shared" si="87"/>
        <v>497921.35010312975</v>
      </c>
      <c r="K54" s="62">
        <f t="shared" si="88"/>
        <v>442642.27602905571</v>
      </c>
      <c r="L54" s="62">
        <f t="shared" si="89"/>
        <v>506921.35010312975</v>
      </c>
      <c r="M54" s="62">
        <f t="shared" si="90"/>
        <v>451642.27602905571</v>
      </c>
      <c r="N54" s="62">
        <f t="shared" si="91"/>
        <v>515921.35010312975</v>
      </c>
      <c r="O54" s="62">
        <f t="shared" si="92"/>
        <v>463642.27602905571</v>
      </c>
      <c r="P54" s="62">
        <f t="shared" si="93"/>
        <v>527921.35010312975</v>
      </c>
      <c r="Q54" s="60">
        <f t="shared" si="94"/>
        <v>405390.66399999999</v>
      </c>
      <c r="R54" s="60">
        <f t="shared" si="95"/>
        <v>461325.66400000005</v>
      </c>
      <c r="S54" s="60">
        <f t="shared" si="96"/>
        <v>541224.06454237294</v>
      </c>
      <c r="T54" s="60">
        <f t="shared" ref="T54:T56" si="101">H54*1.13*1.12</f>
        <v>622575.66069052101</v>
      </c>
      <c r="U54" s="60">
        <f t="shared" si="97"/>
        <v>548817.66454237292</v>
      </c>
      <c r="V54" s="60">
        <f t="shared" ref="V54:V56" si="102">J54*1.13*1.12</f>
        <v>630169.2606905211</v>
      </c>
      <c r="W54" s="60">
        <f t="shared" si="98"/>
        <v>560208.06454237294</v>
      </c>
      <c r="X54" s="60">
        <f t="shared" ref="X54:X56" si="103">L54*1.13*1.12</f>
        <v>641559.66069052101</v>
      </c>
      <c r="Y54" s="60">
        <f t="shared" si="99"/>
        <v>571598.46454237297</v>
      </c>
      <c r="Z54" s="60">
        <f t="shared" ref="Z54:Z56" si="104">N54*1.13*1.12</f>
        <v>652950.06069052103</v>
      </c>
      <c r="AA54" s="60">
        <f t="shared" si="100"/>
        <v>586785.66454237292</v>
      </c>
      <c r="AB54" s="60">
        <f t="shared" ref="AB54:AB56" si="105">P54*1.13*1.12</f>
        <v>668137.2606905211</v>
      </c>
    </row>
    <row r="55" spans="2:28" ht="31.8" x14ac:dyDescent="0.3">
      <c r="B55" s="149">
        <v>23</v>
      </c>
      <c r="C55" s="150" t="s">
        <v>581</v>
      </c>
      <c r="D55" s="150" t="s">
        <v>583</v>
      </c>
      <c r="E55" s="150">
        <f>'7.5 HP -200 M'!I39</f>
        <v>320315</v>
      </c>
      <c r="F55" s="150">
        <f>'7.5 HP -200 M'!E39</f>
        <v>370002.5</v>
      </c>
      <c r="G55" s="62">
        <f>'7.5 HP -200 M'!E45</f>
        <v>451620.07062146888</v>
      </c>
      <c r="H55" s="62">
        <f>'7.5 HP -200 M'!E49</f>
        <v>505950.07062146888</v>
      </c>
      <c r="I55" s="62">
        <f t="shared" si="86"/>
        <v>457620.07062146888</v>
      </c>
      <c r="J55" s="62">
        <f t="shared" si="87"/>
        <v>511950.07062146888</v>
      </c>
      <c r="K55" s="62">
        <f t="shared" si="88"/>
        <v>466620.07062146888</v>
      </c>
      <c r="L55" s="62">
        <f t="shared" si="89"/>
        <v>520950.07062146888</v>
      </c>
      <c r="M55" s="62">
        <f t="shared" si="90"/>
        <v>475620.07062146888</v>
      </c>
      <c r="N55" s="62">
        <f t="shared" si="91"/>
        <v>529950.07062146883</v>
      </c>
      <c r="O55" s="62">
        <f t="shared" si="92"/>
        <v>487620.07062146888</v>
      </c>
      <c r="P55" s="62">
        <f t="shared" si="93"/>
        <v>541950.07062146883</v>
      </c>
      <c r="Q55" s="60">
        <f t="shared" si="94"/>
        <v>405390.66399999999</v>
      </c>
      <c r="R55" s="60">
        <f t="shared" si="95"/>
        <v>468275.16399999999</v>
      </c>
      <c r="S55" s="60"/>
      <c r="T55" s="60">
        <f t="shared" si="101"/>
        <v>640330.40937853104</v>
      </c>
      <c r="U55" s="60"/>
      <c r="V55" s="60">
        <f t="shared" si="102"/>
        <v>647924.00937853102</v>
      </c>
      <c r="W55" s="60"/>
      <c r="X55" s="60">
        <f t="shared" si="103"/>
        <v>659314.40937853104</v>
      </c>
      <c r="Y55" s="60"/>
      <c r="Z55" s="60">
        <f t="shared" si="104"/>
        <v>670704.80937853095</v>
      </c>
      <c r="AA55" s="60"/>
      <c r="AB55" s="60">
        <f t="shared" si="105"/>
        <v>685892.0093785309</v>
      </c>
    </row>
    <row r="56" spans="2:28" ht="31.8" x14ac:dyDescent="0.3">
      <c r="B56" s="149">
        <v>25</v>
      </c>
      <c r="C56" s="150" t="s">
        <v>95</v>
      </c>
      <c r="D56" s="150" t="s">
        <v>584</v>
      </c>
      <c r="E56" s="150">
        <f>'7.5 HP -300 M '!I39</f>
        <v>320315</v>
      </c>
      <c r="F56" s="150">
        <f>'7.5 HP -300 M '!E39</f>
        <v>386788.21428571426</v>
      </c>
      <c r="G56" s="62">
        <v>0</v>
      </c>
      <c r="H56" s="62">
        <f>'7.5 HP -300 M '!E45</f>
        <v>536960.71271634824</v>
      </c>
      <c r="I56" s="62"/>
      <c r="J56" s="62">
        <f t="shared" si="87"/>
        <v>542960.71271634824</v>
      </c>
      <c r="K56" s="62"/>
      <c r="L56" s="62">
        <f t="shared" si="89"/>
        <v>551960.71271634824</v>
      </c>
      <c r="M56" s="62"/>
      <c r="N56" s="62">
        <f t="shared" si="91"/>
        <v>560960.71271634824</v>
      </c>
      <c r="O56" s="62"/>
      <c r="P56" s="62">
        <f t="shared" si="93"/>
        <v>572960.71271634824</v>
      </c>
      <c r="Q56" s="60">
        <f t="shared" si="94"/>
        <v>405390.66399999999</v>
      </c>
      <c r="R56" s="60">
        <f t="shared" si="95"/>
        <v>489519.16399999993</v>
      </c>
      <c r="S56" s="60"/>
      <c r="T56" s="60">
        <f t="shared" si="101"/>
        <v>679577.47801381035</v>
      </c>
      <c r="U56" s="60"/>
      <c r="V56" s="60">
        <f t="shared" si="102"/>
        <v>687171.07801381033</v>
      </c>
      <c r="W56" s="60"/>
      <c r="X56" s="60">
        <f t="shared" si="103"/>
        <v>698561.47801381035</v>
      </c>
      <c r="Y56" s="60"/>
      <c r="Z56" s="60">
        <f t="shared" si="104"/>
        <v>709951.87801381038</v>
      </c>
      <c r="AA56" s="60"/>
      <c r="AB56" s="60">
        <f t="shared" si="105"/>
        <v>725139.07801381033</v>
      </c>
    </row>
    <row r="57" spans="2:28" ht="31.8" x14ac:dyDescent="0.3">
      <c r="B57" s="184" t="s">
        <v>39</v>
      </c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5"/>
      <c r="AB57" s="185"/>
    </row>
    <row r="58" spans="2:28" ht="31.8" x14ac:dyDescent="0.3">
      <c r="B58" s="149">
        <v>26</v>
      </c>
      <c r="C58" s="150" t="s">
        <v>585</v>
      </c>
      <c r="D58" s="150" t="s">
        <v>586</v>
      </c>
      <c r="E58" s="150">
        <f>'10 HP - 50 M '!I39</f>
        <v>385135</v>
      </c>
      <c r="F58" s="150">
        <f>'10 HP - 50 M '!E39</f>
        <v>433135</v>
      </c>
      <c r="G58" s="62">
        <f>'10 HP - 50 M '!E45</f>
        <v>461999.06779661018</v>
      </c>
      <c r="H58" s="62"/>
      <c r="I58" s="62">
        <f>G58+(200*30)</f>
        <v>467999.06779661018</v>
      </c>
      <c r="J58" s="62"/>
      <c r="K58" s="62">
        <f>G58+(500*30)</f>
        <v>476999.06779661018</v>
      </c>
      <c r="L58" s="62"/>
      <c r="M58" s="62">
        <f>G58+(800*30)</f>
        <v>485999.06779661018</v>
      </c>
      <c r="N58" s="62"/>
      <c r="O58" s="62">
        <f>G58+(1200*30)</f>
        <v>497999.06779661018</v>
      </c>
      <c r="P58" s="62"/>
      <c r="Q58" s="60">
        <f>E58*1.12*1.12</f>
        <v>483113.3440000001</v>
      </c>
      <c r="R58" s="60">
        <f>F58*1.12*1.12</f>
        <v>543324.54400000011</v>
      </c>
      <c r="S58" s="60">
        <f>G58*1.12*1.12</f>
        <v>579531.63064406789</v>
      </c>
      <c r="T58" s="60">
        <f t="shared" ref="T58:AB58" si="106">H58*1.12</f>
        <v>0</v>
      </c>
      <c r="U58" s="60">
        <f>I58*1.12*1.12</f>
        <v>587058.03064406791</v>
      </c>
      <c r="V58" s="60">
        <f t="shared" si="106"/>
        <v>0</v>
      </c>
      <c r="W58" s="60">
        <f>K58*1.12*1.12</f>
        <v>598347.63064406789</v>
      </c>
      <c r="X58" s="60">
        <f t="shared" si="106"/>
        <v>0</v>
      </c>
      <c r="Y58" s="60">
        <f>M58*1.12*1.12</f>
        <v>609637.23064406787</v>
      </c>
      <c r="Z58" s="60">
        <f t="shared" si="106"/>
        <v>0</v>
      </c>
      <c r="AA58" s="60">
        <f>O58*1.12*1.12</f>
        <v>624690.03064406791</v>
      </c>
      <c r="AB58" s="60">
        <f t="shared" si="106"/>
        <v>0</v>
      </c>
    </row>
    <row r="59" spans="2:28" ht="31.8" x14ac:dyDescent="0.3">
      <c r="B59" s="149">
        <v>27</v>
      </c>
      <c r="C59" s="150" t="s">
        <v>62</v>
      </c>
      <c r="D59" s="150" t="s">
        <v>587</v>
      </c>
      <c r="E59" s="150">
        <f>'10 HP - 100 M'!I39</f>
        <v>385135</v>
      </c>
      <c r="F59" s="150">
        <f>'10 HP - 100 M'!E39</f>
        <v>436635</v>
      </c>
      <c r="G59" s="62">
        <f>'10 HP - 100 M'!E45</f>
        <v>481200.79096045194</v>
      </c>
      <c r="H59" s="62">
        <f>'10 HP - 100 M'!E48</f>
        <v>538186.90207156306</v>
      </c>
      <c r="I59" s="62">
        <f t="shared" ref="I59:I61" si="107">G59+(200*30)</f>
        <v>487200.79096045194</v>
      </c>
      <c r="J59" s="62">
        <f t="shared" ref="J59:J61" si="108">H59+(200*30)</f>
        <v>544186.90207156306</v>
      </c>
      <c r="K59" s="62">
        <f t="shared" ref="K59:K61" si="109">G59+(500*30)</f>
        <v>496200.79096045194</v>
      </c>
      <c r="L59" s="62">
        <f t="shared" ref="L59:L61" si="110">H59+(500*30)</f>
        <v>553186.90207156306</v>
      </c>
      <c r="M59" s="62">
        <f t="shared" ref="M59:M61" si="111">G59+(800*30)</f>
        <v>505200.79096045194</v>
      </c>
      <c r="N59" s="62">
        <f t="shared" ref="N59:N61" si="112">H59+(800*30)</f>
        <v>562186.90207156306</v>
      </c>
      <c r="O59" s="62">
        <f t="shared" ref="O59:O61" si="113">G59+(1200*30)</f>
        <v>517200.79096045194</v>
      </c>
      <c r="P59" s="62">
        <f t="shared" ref="P59:P61" si="114">H59+(1200*30)</f>
        <v>574186.90207156306</v>
      </c>
      <c r="Q59" s="60">
        <f t="shared" ref="Q59:Q61" si="115">E59*1.12*1.12</f>
        <v>483113.3440000001</v>
      </c>
      <c r="R59" s="60">
        <f t="shared" ref="R59:R61" si="116">F59*1.12*1.12</f>
        <v>547714.94400000013</v>
      </c>
      <c r="S59" s="60">
        <f t="shared" ref="S59:S60" si="117">G59*1.12*1.12</f>
        <v>603618.27218079101</v>
      </c>
      <c r="T59" s="60">
        <f>H59*1.12*1.12</f>
        <v>675101.64995856886</v>
      </c>
      <c r="U59" s="60">
        <f t="shared" ref="U59:U60" si="118">I59*1.12*1.12</f>
        <v>611144.67218079104</v>
      </c>
      <c r="V59" s="60">
        <f>J59*1.12*1.12</f>
        <v>682628.04995856888</v>
      </c>
      <c r="W59" s="60">
        <f t="shared" ref="W59:W60" si="119">K59*1.12*1.12</f>
        <v>622434.27218079101</v>
      </c>
      <c r="X59" s="60">
        <f>L59*1.12*1.12</f>
        <v>693917.64995856886</v>
      </c>
      <c r="Y59" s="60">
        <f t="shared" ref="Y59:Y60" si="120">M59*1.12*1.12</f>
        <v>633723.87218079099</v>
      </c>
      <c r="Z59" s="60">
        <f>N59*1.12*1.12</f>
        <v>705207.24995856883</v>
      </c>
      <c r="AA59" s="60">
        <f t="shared" ref="AA59:AA60" si="121">O59*1.12*1.12</f>
        <v>648776.67218079104</v>
      </c>
      <c r="AB59" s="60">
        <f>P59*1.12*1.12</f>
        <v>720260.04995856888</v>
      </c>
    </row>
    <row r="60" spans="2:28" ht="31.8" x14ac:dyDescent="0.3">
      <c r="B60" s="149">
        <v>28</v>
      </c>
      <c r="C60" s="150" t="s">
        <v>588</v>
      </c>
      <c r="D60" s="150" t="s">
        <v>589</v>
      </c>
      <c r="E60" s="150">
        <f>'10 HP - 200 M'!I39</f>
        <v>385135</v>
      </c>
      <c r="F60" s="150">
        <f>'10 HP - 200 M'!E39</f>
        <v>440635</v>
      </c>
      <c r="G60" s="62">
        <f>'10 HP - 200 M'!E45</f>
        <v>523177.57062146888</v>
      </c>
      <c r="H60" s="62">
        <f>'10 HP - 200 M'!E48</f>
        <v>554682.01506591332</v>
      </c>
      <c r="I60" s="62">
        <f t="shared" si="107"/>
        <v>529177.57062146883</v>
      </c>
      <c r="J60" s="62">
        <f t="shared" si="108"/>
        <v>560682.01506591332</v>
      </c>
      <c r="K60" s="62">
        <f t="shared" si="109"/>
        <v>538177.57062146883</v>
      </c>
      <c r="L60" s="62">
        <f t="shared" si="110"/>
        <v>569682.01506591332</v>
      </c>
      <c r="M60" s="62">
        <f t="shared" si="111"/>
        <v>547177.57062146883</v>
      </c>
      <c r="N60" s="62">
        <f t="shared" si="112"/>
        <v>578682.01506591332</v>
      </c>
      <c r="O60" s="62">
        <f t="shared" si="113"/>
        <v>559177.57062146883</v>
      </c>
      <c r="P60" s="62">
        <f t="shared" si="114"/>
        <v>590682.01506591332</v>
      </c>
      <c r="Q60" s="60">
        <f t="shared" si="115"/>
        <v>483113.3440000001</v>
      </c>
      <c r="R60" s="60">
        <f t="shared" si="116"/>
        <v>552732.54400000011</v>
      </c>
      <c r="S60" s="60">
        <f t="shared" si="117"/>
        <v>656273.94458757062</v>
      </c>
      <c r="T60" s="60">
        <f t="shared" ref="T60:T61" si="122">H60*1.12*1.12</f>
        <v>695793.11969868175</v>
      </c>
      <c r="U60" s="60">
        <f t="shared" si="118"/>
        <v>663800.34458757064</v>
      </c>
      <c r="V60" s="60">
        <f t="shared" ref="V60:V61" si="123">J60*1.12*1.12</f>
        <v>703319.51969868178</v>
      </c>
      <c r="W60" s="60">
        <f t="shared" si="119"/>
        <v>675089.94458757062</v>
      </c>
      <c r="X60" s="60">
        <f t="shared" ref="X60:X61" si="124">L60*1.12*1.12</f>
        <v>714609.11969868175</v>
      </c>
      <c r="Y60" s="60">
        <f t="shared" si="120"/>
        <v>686379.54458757059</v>
      </c>
      <c r="Z60" s="60">
        <f t="shared" ref="Z60:Z61" si="125">N60*1.12*1.12</f>
        <v>725898.71969868185</v>
      </c>
      <c r="AA60" s="60">
        <f t="shared" si="121"/>
        <v>701432.34458757064</v>
      </c>
      <c r="AB60" s="60">
        <f t="shared" ref="AB60:AB61" si="126">P60*1.12*1.12</f>
        <v>740951.51969868178</v>
      </c>
    </row>
    <row r="61" spans="2:28" ht="32.4" thickBot="1" x14ac:dyDescent="0.35">
      <c r="B61" s="72">
        <v>29</v>
      </c>
      <c r="C61" s="73" t="s">
        <v>97</v>
      </c>
      <c r="D61" s="150" t="s">
        <v>589</v>
      </c>
      <c r="E61" s="73">
        <f>'10 HP - 300 M'!I39</f>
        <v>385135</v>
      </c>
      <c r="F61" s="73">
        <f>'10 HP - 300 M'!E39</f>
        <v>450616</v>
      </c>
      <c r="G61" s="74">
        <f>'10 HP - 300 M'!E45</f>
        <v>571982.01694915257</v>
      </c>
      <c r="H61" s="74">
        <f>'10 HP - 300 M'!E48</f>
        <v>581569.79472693033</v>
      </c>
      <c r="I61" s="62">
        <f t="shared" si="107"/>
        <v>577982.01694915257</v>
      </c>
      <c r="J61" s="62">
        <f t="shared" si="108"/>
        <v>587569.79472693033</v>
      </c>
      <c r="K61" s="62">
        <f t="shared" si="109"/>
        <v>586982.01694915257</v>
      </c>
      <c r="L61" s="62">
        <f t="shared" si="110"/>
        <v>596569.79472693033</v>
      </c>
      <c r="M61" s="62">
        <f t="shared" si="111"/>
        <v>595982.01694915257</v>
      </c>
      <c r="N61" s="62">
        <f t="shared" si="112"/>
        <v>605569.79472693033</v>
      </c>
      <c r="O61" s="62">
        <f t="shared" si="113"/>
        <v>607982.01694915257</v>
      </c>
      <c r="P61" s="62">
        <f t="shared" si="114"/>
        <v>617569.79472693033</v>
      </c>
      <c r="Q61" s="60">
        <f t="shared" si="115"/>
        <v>483113.3440000001</v>
      </c>
      <c r="R61" s="60">
        <f t="shared" si="116"/>
        <v>565252.7104000001</v>
      </c>
      <c r="S61" s="75"/>
      <c r="T61" s="60">
        <f t="shared" si="122"/>
        <v>729521.1505054615</v>
      </c>
      <c r="U61" s="75"/>
      <c r="V61" s="60">
        <f t="shared" si="123"/>
        <v>737047.55050546152</v>
      </c>
      <c r="W61" s="75"/>
      <c r="X61" s="60">
        <f t="shared" si="124"/>
        <v>748337.1505054615</v>
      </c>
      <c r="Y61" s="75"/>
      <c r="Z61" s="60">
        <f t="shared" si="125"/>
        <v>759626.75050546147</v>
      </c>
      <c r="AA61" s="75"/>
      <c r="AB61" s="60">
        <f t="shared" si="126"/>
        <v>774679.55050546152</v>
      </c>
    </row>
    <row r="63" spans="2:28" ht="45.6" x14ac:dyDescent="0.3">
      <c r="C63" s="50" t="s">
        <v>71</v>
      </c>
      <c r="D63" s="44" t="s">
        <v>72</v>
      </c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 spans="2:28" ht="31.8" x14ac:dyDescent="0.3">
      <c r="C64" s="199" t="s">
        <v>73</v>
      </c>
      <c r="D64" s="46" t="s">
        <v>75</v>
      </c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 spans="2:27" ht="31.8" x14ac:dyDescent="0.3">
      <c r="C65" s="199"/>
      <c r="D65" s="46" t="s">
        <v>76</v>
      </c>
    </row>
    <row r="66" spans="2:27" ht="82.8" x14ac:dyDescent="0.3">
      <c r="C66" s="148" t="s">
        <v>74</v>
      </c>
      <c r="D66" s="46" t="s">
        <v>77</v>
      </c>
    </row>
    <row r="67" spans="2:27" ht="31.8" x14ac:dyDescent="0.3">
      <c r="C67" s="47"/>
      <c r="D67" s="48"/>
    </row>
    <row r="68" spans="2:27" ht="31.8" x14ac:dyDescent="0.3">
      <c r="C68" s="45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  <c r="AA68" s="200"/>
    </row>
    <row r="69" spans="2:27" ht="46.2" x14ac:dyDescent="0.8">
      <c r="B69" s="32" t="s">
        <v>33</v>
      </c>
      <c r="C69" s="3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</row>
    <row r="70" spans="2:27" ht="46.2" x14ac:dyDescent="0.8">
      <c r="B70" s="34"/>
      <c r="C70" s="3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2:27" ht="45.6" x14ac:dyDescent="0.75">
      <c r="B71" s="35" t="s">
        <v>66</v>
      </c>
      <c r="C71" s="3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</row>
    <row r="72" spans="2:27" ht="45.6" x14ac:dyDescent="0.75">
      <c r="B72" s="36" t="s">
        <v>67</v>
      </c>
      <c r="C72" s="37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</row>
    <row r="73" spans="2:27" ht="45.6" x14ac:dyDescent="0.75">
      <c r="B73" s="201" t="s">
        <v>32</v>
      </c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201"/>
    </row>
    <row r="74" spans="2:27" ht="46.2" x14ac:dyDescent="0.8">
      <c r="B74" s="197" t="s">
        <v>35</v>
      </c>
      <c r="C74" s="197"/>
      <c r="D74" s="197"/>
      <c r="E74" s="197"/>
      <c r="F74" s="197"/>
      <c r="G74" s="197"/>
      <c r="H74" s="197"/>
      <c r="I74" s="197"/>
      <c r="J74" s="197"/>
      <c r="K74" s="197"/>
      <c r="L74" s="197"/>
      <c r="M74" s="197"/>
      <c r="N74" s="197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  <c r="AA74" s="197"/>
    </row>
    <row r="75" spans="2:27" ht="46.2" x14ac:dyDescent="0.8">
      <c r="B75" s="197" t="s">
        <v>34</v>
      </c>
      <c r="C75" s="197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  <c r="AA75" s="197"/>
    </row>
    <row r="76" spans="2:27" ht="37.799999999999997" x14ac:dyDescent="0.65">
      <c r="B76" s="198" t="s">
        <v>36</v>
      </c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98"/>
      <c r="AA76" s="198"/>
    </row>
    <row r="100" spans="17:27" x14ac:dyDescent="0.25"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spans="17:27" x14ac:dyDescent="0.25"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spans="17:27" x14ac:dyDescent="0.25"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17:27" x14ac:dyDescent="0.25"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17:27" ht="22.8" x14ac:dyDescent="0.4"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</sheetData>
  <mergeCells count="30">
    <mergeCell ref="B74:AA74"/>
    <mergeCell ref="B75:AA75"/>
    <mergeCell ref="B76:AA76"/>
    <mergeCell ref="B45:AB45"/>
    <mergeCell ref="B51:AB51"/>
    <mergeCell ref="B57:AB57"/>
    <mergeCell ref="C64:C65"/>
    <mergeCell ref="D68:AA68"/>
    <mergeCell ref="B73:AA73"/>
    <mergeCell ref="B38:AB38"/>
    <mergeCell ref="B39:B40"/>
    <mergeCell ref="C39:C40"/>
    <mergeCell ref="D39:D40"/>
    <mergeCell ref="R39:R40"/>
    <mergeCell ref="S39:S40"/>
    <mergeCell ref="T39:T40"/>
    <mergeCell ref="U39:U40"/>
    <mergeCell ref="V39:V40"/>
    <mergeCell ref="W39:W40"/>
    <mergeCell ref="X39:X40"/>
    <mergeCell ref="Y39:Y40"/>
    <mergeCell ref="Z39:Z40"/>
    <mergeCell ref="AA39:AA40"/>
    <mergeCell ref="AB39:AB40"/>
    <mergeCell ref="B31:AB31"/>
    <mergeCell ref="C18:D21"/>
    <mergeCell ref="B23:D23"/>
    <mergeCell ref="G23:P23"/>
    <mergeCell ref="Q23:AB23"/>
    <mergeCell ref="B25:AB25"/>
  </mergeCells>
  <pageMargins left="0.7" right="0.7" top="0.75" bottom="0.75" header="0.3" footer="0.3"/>
  <pageSetup paperSize="9" scale="18" orientation="landscape" verticalDpi="0" r:id="rId1"/>
  <colBreaks count="1" manualBreakCount="1">
    <brk id="28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6:M58"/>
  <sheetViews>
    <sheetView topLeftCell="A28" zoomScale="85" zoomScaleNormal="85" workbookViewId="0">
      <selection activeCell="H45" sqref="H45"/>
    </sheetView>
  </sheetViews>
  <sheetFormatPr defaultColWidth="9.109375" defaultRowHeight="14.4" x14ac:dyDescent="0.3"/>
  <cols>
    <col min="1" max="1" width="5.33203125" style="100" customWidth="1"/>
    <col min="2" max="2" width="23" style="100" customWidth="1"/>
    <col min="3" max="3" width="50.33203125" style="100" customWidth="1"/>
    <col min="4" max="4" width="8" style="100" customWidth="1"/>
    <col min="5" max="5" width="9.88671875" style="100" bestFit="1" customWidth="1"/>
    <col min="6" max="6" width="10.88671875" style="100" bestFit="1" customWidth="1"/>
    <col min="7" max="7" width="10.88671875" style="100" customWidth="1"/>
    <col min="8" max="8" width="12.5546875" style="100" bestFit="1" customWidth="1"/>
    <col min="9" max="9" width="9.109375" style="100"/>
    <col min="10" max="10" width="10.44140625" style="100" customWidth="1"/>
    <col min="11" max="16384" width="9.109375" style="100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534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>
        <v>30</v>
      </c>
      <c r="E25" s="6">
        <f>Individual!C8*30</f>
        <v>271350</v>
      </c>
      <c r="F25" s="6">
        <f t="shared" ref="F25:F32" si="0">(E25*1.05)*1.12</f>
        <v>319107.60000000003</v>
      </c>
      <c r="G25" s="6">
        <f t="shared" ref="G25:G32" si="1">(E25*1.08)*1.12</f>
        <v>328224.96000000002</v>
      </c>
      <c r="H25" s="6">
        <f>(E25*1.12)*1.12</f>
        <v>340381.44000000006</v>
      </c>
    </row>
    <row r="26" spans="1:8" x14ac:dyDescent="0.3">
      <c r="A26" s="6">
        <v>2</v>
      </c>
      <c r="B26" s="7" t="s">
        <v>19</v>
      </c>
      <c r="C26" s="7" t="s">
        <v>495</v>
      </c>
      <c r="D26" s="6" t="s">
        <v>5</v>
      </c>
      <c r="E26" s="6">
        <f>Individual!C16</f>
        <v>24500</v>
      </c>
      <c r="F26" s="6">
        <f t="shared" si="0"/>
        <v>28812.000000000004</v>
      </c>
      <c r="G26" s="6">
        <f t="shared" si="1"/>
        <v>29635.200000000004</v>
      </c>
      <c r="H26" s="6">
        <f t="shared" ref="H26:H32" si="2">(E26*1.12)*1.12</f>
        <v>30732.800000000007</v>
      </c>
    </row>
    <row r="27" spans="1:8" ht="28.8" x14ac:dyDescent="0.3">
      <c r="A27" s="6">
        <v>3</v>
      </c>
      <c r="B27" s="7" t="s">
        <v>6</v>
      </c>
      <c r="C27" s="7" t="s">
        <v>535</v>
      </c>
      <c r="D27" s="6" t="s">
        <v>5</v>
      </c>
      <c r="E27" s="6">
        <f>Individual!K10</f>
        <v>47750</v>
      </c>
      <c r="F27" s="6">
        <f t="shared" si="0"/>
        <v>56154.000000000007</v>
      </c>
      <c r="G27" s="6">
        <f t="shared" si="1"/>
        <v>57758.400000000009</v>
      </c>
      <c r="H27" s="6">
        <f t="shared" si="2"/>
        <v>59897.600000000013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305</v>
      </c>
      <c r="E28" s="6">
        <f>Individual!C59*60</f>
        <v>2100</v>
      </c>
      <c r="F28" s="6">
        <f t="shared" si="0"/>
        <v>2469.6000000000004</v>
      </c>
      <c r="G28" s="6">
        <f t="shared" si="1"/>
        <v>2540.1600000000003</v>
      </c>
      <c r="H28" s="6">
        <f t="shared" si="2"/>
        <v>2634.2400000000002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3713.0240000000008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Individual!C65</f>
        <v>6000</v>
      </c>
      <c r="F30" s="6">
        <f t="shared" si="0"/>
        <v>7056.0000000000009</v>
      </c>
      <c r="G30" s="6">
        <f t="shared" si="1"/>
        <v>7257.6</v>
      </c>
      <c r="H30" s="6">
        <f t="shared" si="2"/>
        <v>7526.4000000000015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Individual!C143</f>
        <v>17500</v>
      </c>
      <c r="F31" s="6">
        <f t="shared" si="0"/>
        <v>20580.000000000004</v>
      </c>
      <c r="G31" s="6">
        <f t="shared" si="1"/>
        <v>21168.000000000004</v>
      </c>
      <c r="H31" s="6">
        <f t="shared" si="2"/>
        <v>21952.000000000007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Individual!C146</f>
        <v>6000</v>
      </c>
      <c r="F32" s="6">
        <f t="shared" si="0"/>
        <v>7056.0000000000009</v>
      </c>
      <c r="G32" s="6">
        <f t="shared" si="1"/>
        <v>7257.6</v>
      </c>
      <c r="H32" s="6">
        <f t="shared" si="2"/>
        <v>7526.4000000000015</v>
      </c>
    </row>
    <row r="33" spans="1:9" ht="18" x14ac:dyDescent="0.3">
      <c r="A33" s="6"/>
      <c r="B33" s="6"/>
      <c r="C33" s="6" t="s">
        <v>14</v>
      </c>
      <c r="D33" s="6"/>
      <c r="E33" s="88">
        <f>SUM(E25:E32)</f>
        <v>378160</v>
      </c>
      <c r="F33" s="88">
        <f>SUM(F25:F32)</f>
        <v>444716.16000000003</v>
      </c>
      <c r="G33" s="88">
        <f>SUM(G25:G32)</f>
        <v>457422.33600000001</v>
      </c>
      <c r="H33" s="88">
        <f>SUM(H25:H32)</f>
        <v>474363.9040000001</v>
      </c>
    </row>
    <row r="35" spans="1:9" ht="28.8" x14ac:dyDescent="0.3">
      <c r="A35" s="6">
        <v>9</v>
      </c>
      <c r="B35" s="7" t="s">
        <v>20</v>
      </c>
      <c r="C35" s="7" t="s">
        <v>536</v>
      </c>
      <c r="D35" s="6" t="s">
        <v>5</v>
      </c>
      <c r="E35" s="6">
        <f>Individual!K94</f>
        <v>48000</v>
      </c>
      <c r="F35" s="6">
        <f>(E35*1.05)*1.12</f>
        <v>56448.000000000007</v>
      </c>
      <c r="G35" s="6">
        <f>(E35*1.08)*1.12</f>
        <v>58060.800000000003</v>
      </c>
      <c r="H35" s="6">
        <f>(E35*1.12)*1.12</f>
        <v>60211.200000000012</v>
      </c>
    </row>
    <row r="36" spans="1:9" ht="18" x14ac:dyDescent="0.3">
      <c r="A36" s="10"/>
      <c r="B36" s="11"/>
      <c r="C36" s="6" t="s">
        <v>14</v>
      </c>
      <c r="D36" s="6"/>
      <c r="E36" s="88">
        <f>SUM(E33:E35)</f>
        <v>426160</v>
      </c>
      <c r="F36" s="88">
        <f t="shared" ref="F36" si="3">SUM(F33:F35)</f>
        <v>501164.16000000003</v>
      </c>
      <c r="G36" s="88">
        <f>SUM(G33:G35)</f>
        <v>515483.136</v>
      </c>
      <c r="H36" s="88">
        <f>SUM(H33:H35)</f>
        <v>534575.10400000005</v>
      </c>
    </row>
    <row r="37" spans="1:9" x14ac:dyDescent="0.3">
      <c r="B37" s="100" t="s">
        <v>23</v>
      </c>
    </row>
    <row r="38" spans="1:9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(E38*1.12)*1.12</f>
        <v>8749.4400000000023</v>
      </c>
    </row>
    <row r="39" spans="1:9" ht="18" x14ac:dyDescent="0.3">
      <c r="C39" s="6" t="s">
        <v>14</v>
      </c>
      <c r="D39" s="6"/>
      <c r="E39" s="88">
        <f>SUM(E36:E38)</f>
        <v>433135</v>
      </c>
      <c r="F39" s="88">
        <f>SUM(F36:F38)</f>
        <v>509366.76</v>
      </c>
      <c r="G39" s="88">
        <f>SUM(G36:G38)</f>
        <v>523920.09600000002</v>
      </c>
      <c r="H39" s="88">
        <f>SUM(H36:H38)</f>
        <v>543324.54399999999</v>
      </c>
      <c r="I39" s="100">
        <f>E39-E35</f>
        <v>385135</v>
      </c>
    </row>
    <row r="40" spans="1:9" x14ac:dyDescent="0.3">
      <c r="B40" s="100" t="s">
        <v>23</v>
      </c>
    </row>
    <row r="41" spans="1:9" x14ac:dyDescent="0.3">
      <c r="A41" s="6">
        <v>11</v>
      </c>
      <c r="B41" s="6" t="s">
        <v>309</v>
      </c>
      <c r="C41" s="7" t="s">
        <v>7</v>
      </c>
      <c r="D41" s="6" t="s">
        <v>304</v>
      </c>
      <c r="E41" s="6">
        <f>Individual!C101*50</f>
        <v>14375</v>
      </c>
      <c r="F41" s="6">
        <f t="shared" ref="F41:F44" si="4">(E41*1.05)*1.12</f>
        <v>16905</v>
      </c>
      <c r="G41" s="6">
        <f t="shared" ref="G41:G44" si="5">(E41*1.08)*1.12</f>
        <v>17388.000000000004</v>
      </c>
      <c r="H41" s="6">
        <f t="shared" ref="H41:H44" si="6">(E41*1.12)*1.12</f>
        <v>18032.000000000004</v>
      </c>
    </row>
    <row r="42" spans="1:9" x14ac:dyDescent="0.3">
      <c r="A42" s="6">
        <v>12</v>
      </c>
      <c r="B42" s="6" t="s">
        <v>484</v>
      </c>
      <c r="C42" s="7" t="s">
        <v>7</v>
      </c>
      <c r="D42" s="6" t="s">
        <v>305</v>
      </c>
      <c r="E42" s="6">
        <f>Individual!C71*60</f>
        <v>8644.0677966101703</v>
      </c>
      <c r="F42" s="6">
        <f t="shared" si="4"/>
        <v>10165.423728813561</v>
      </c>
      <c r="G42" s="6">
        <f t="shared" si="5"/>
        <v>10455.864406779663</v>
      </c>
      <c r="H42" s="6">
        <f t="shared" si="6"/>
        <v>10843.118644067801</v>
      </c>
    </row>
    <row r="43" spans="1:9" x14ac:dyDescent="0.3">
      <c r="A43" s="6">
        <v>13</v>
      </c>
      <c r="B43" s="7" t="s">
        <v>311</v>
      </c>
      <c r="C43" s="7" t="s">
        <v>7</v>
      </c>
      <c r="D43" s="6" t="s">
        <v>305</v>
      </c>
      <c r="E43" s="6">
        <f>Individual!C75*60</f>
        <v>1500</v>
      </c>
      <c r="F43" s="6">
        <f t="shared" si="4"/>
        <v>1764.0000000000002</v>
      </c>
      <c r="G43" s="6">
        <f t="shared" si="5"/>
        <v>1814.4</v>
      </c>
      <c r="H43" s="6">
        <f t="shared" si="6"/>
        <v>1881.6000000000004</v>
      </c>
    </row>
    <row r="44" spans="1:9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Individual!C82</f>
        <v>4345</v>
      </c>
      <c r="F44" s="6">
        <f t="shared" si="4"/>
        <v>5109.72</v>
      </c>
      <c r="G44" s="6">
        <f t="shared" si="5"/>
        <v>5255.7120000000014</v>
      </c>
      <c r="H44" s="6">
        <f t="shared" si="6"/>
        <v>5450.3680000000013</v>
      </c>
    </row>
    <row r="45" spans="1:9" ht="18" x14ac:dyDescent="0.3">
      <c r="C45" s="6" t="s">
        <v>14</v>
      </c>
      <c r="D45" s="6"/>
      <c r="E45" s="88">
        <f>SUM(E39:E44)</f>
        <v>461999.06779661018</v>
      </c>
      <c r="F45" s="88">
        <f>SUM(F39:F44)</f>
        <v>543310.90372881352</v>
      </c>
      <c r="G45" s="88">
        <f>SUM(G39:G44)</f>
        <v>558834.07240677974</v>
      </c>
      <c r="H45" s="88">
        <f>SUM(H39:H44)</f>
        <v>579531.63064406777</v>
      </c>
    </row>
    <row r="46" spans="1:9" ht="18" x14ac:dyDescent="0.3">
      <c r="C46" s="10"/>
      <c r="D46" s="10"/>
      <c r="E46" s="31"/>
      <c r="F46" s="31"/>
      <c r="G46" s="31"/>
      <c r="H46" s="31"/>
    </row>
    <row r="47" spans="1:9" ht="18" x14ac:dyDescent="0.3">
      <c r="C47" s="10"/>
      <c r="D47" s="10"/>
      <c r="E47" s="31"/>
      <c r="F47" s="31"/>
      <c r="G47" s="31"/>
      <c r="H47" s="31"/>
    </row>
    <row r="48" spans="1:9" ht="18" x14ac:dyDescent="0.3">
      <c r="C48" s="10"/>
      <c r="D48" s="10"/>
      <c r="E48" s="31"/>
      <c r="F48" s="31"/>
      <c r="G48" s="31"/>
      <c r="H48" s="31"/>
    </row>
    <row r="49" spans="1:13" ht="18" x14ac:dyDescent="0.3">
      <c r="C49" s="10"/>
      <c r="D49" s="10"/>
      <c r="E49" s="31"/>
      <c r="F49" s="31"/>
      <c r="G49" s="31"/>
      <c r="H49" s="31"/>
    </row>
    <row r="51" spans="1:13" ht="25.8" x14ac:dyDescent="0.5">
      <c r="A51" s="16" t="s">
        <v>33</v>
      </c>
      <c r="B51"/>
      <c r="C51"/>
      <c r="D51"/>
      <c r="E51"/>
      <c r="F51"/>
      <c r="G51"/>
      <c r="H51"/>
      <c r="I51"/>
      <c r="J51"/>
      <c r="K51"/>
      <c r="L51"/>
      <c r="M51"/>
    </row>
    <row r="52" spans="1:13" x14ac:dyDescent="0.3">
      <c r="A52" s="13"/>
      <c r="B52"/>
      <c r="C52"/>
      <c r="D52"/>
      <c r="E52"/>
      <c r="F52"/>
      <c r="G52"/>
      <c r="H52"/>
      <c r="I52"/>
      <c r="J52"/>
      <c r="K52"/>
      <c r="L52"/>
      <c r="M52"/>
    </row>
    <row r="53" spans="1:13" x14ac:dyDescent="0.3">
      <c r="A53" s="13"/>
      <c r="B53" s="13"/>
      <c r="C53" s="14"/>
      <c r="D53" s="14"/>
      <c r="E53" s="14"/>
      <c r="F53" s="14"/>
      <c r="G53" s="14"/>
      <c r="H53"/>
      <c r="I53"/>
      <c r="J53"/>
      <c r="K53"/>
      <c r="L53"/>
      <c r="M53"/>
    </row>
    <row r="54" spans="1:13" x14ac:dyDescent="0.3">
      <c r="A54" s="15"/>
      <c r="B54" s="15"/>
      <c r="C54" s="14"/>
      <c r="D54" s="14"/>
      <c r="E54" s="14"/>
      <c r="F54" s="14"/>
      <c r="G54" s="14"/>
      <c r="H54"/>
      <c r="I54"/>
      <c r="J54"/>
      <c r="K54"/>
      <c r="L54"/>
      <c r="M54"/>
    </row>
    <row r="55" spans="1:13" ht="22.2" x14ac:dyDescent="0.35">
      <c r="A55" s="182" t="s">
        <v>32</v>
      </c>
      <c r="B55" s="182"/>
      <c r="C55" s="182"/>
      <c r="D55" s="182"/>
      <c r="E55" s="182"/>
      <c r="F55" s="182"/>
      <c r="G55" s="182"/>
      <c r="H55" s="182"/>
      <c r="I55" s="17"/>
      <c r="J55" s="17"/>
      <c r="K55" s="17"/>
      <c r="L55" s="17"/>
      <c r="M55" s="17"/>
    </row>
    <row r="56" spans="1:13" ht="15" customHeight="1" x14ac:dyDescent="0.35">
      <c r="A56" s="183" t="s">
        <v>35</v>
      </c>
      <c r="B56" s="183"/>
      <c r="C56" s="183"/>
      <c r="D56" s="183"/>
      <c r="E56" s="183"/>
      <c r="F56" s="183"/>
      <c r="G56" s="183"/>
      <c r="H56" s="183"/>
      <c r="I56" s="18"/>
      <c r="J56" s="18"/>
      <c r="K56" s="18"/>
      <c r="L56" s="18"/>
      <c r="M56" s="18"/>
    </row>
    <row r="57" spans="1:13" ht="15" customHeight="1" x14ac:dyDescent="0.35">
      <c r="A57" s="183" t="s">
        <v>34</v>
      </c>
      <c r="B57" s="183"/>
      <c r="C57" s="183"/>
      <c r="D57" s="183"/>
      <c r="E57" s="183"/>
      <c r="F57" s="183"/>
      <c r="G57" s="183"/>
      <c r="H57" s="183"/>
      <c r="I57" s="18"/>
      <c r="J57" s="18"/>
      <c r="K57" s="18"/>
      <c r="L57" s="18"/>
      <c r="M57" s="18"/>
    </row>
    <row r="58" spans="1:13" ht="15.6" x14ac:dyDescent="0.3">
      <c r="A58" s="176" t="s">
        <v>36</v>
      </c>
      <c r="B58" s="176"/>
      <c r="C58" s="176"/>
      <c r="D58" s="176"/>
      <c r="E58" s="176"/>
      <c r="F58" s="176"/>
      <c r="G58" s="176"/>
      <c r="H58" s="176"/>
      <c r="I58" s="19"/>
      <c r="J58" s="19"/>
      <c r="K58" s="19"/>
      <c r="L58" s="19"/>
      <c r="M58" s="19"/>
    </row>
  </sheetData>
  <mergeCells count="7">
    <mergeCell ref="A58:H58"/>
    <mergeCell ref="B18:C21"/>
    <mergeCell ref="A22:H22"/>
    <mergeCell ref="A23:H23"/>
    <mergeCell ref="A55:H55"/>
    <mergeCell ref="A56:H56"/>
    <mergeCell ref="A57:H57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6:M58"/>
  <sheetViews>
    <sheetView topLeftCell="A31" zoomScale="85" zoomScaleNormal="85" workbookViewId="0">
      <selection activeCell="H48" sqref="H48"/>
    </sheetView>
  </sheetViews>
  <sheetFormatPr defaultColWidth="9.109375" defaultRowHeight="14.4" x14ac:dyDescent="0.3"/>
  <cols>
    <col min="1" max="1" width="5.33203125" style="143" customWidth="1"/>
    <col min="2" max="2" width="23" style="143" customWidth="1"/>
    <col min="3" max="3" width="50.33203125" style="143" customWidth="1"/>
    <col min="4" max="4" width="8" style="143" customWidth="1"/>
    <col min="5" max="5" width="9.88671875" style="143" bestFit="1" customWidth="1"/>
    <col min="6" max="6" width="10.88671875" style="143" bestFit="1" customWidth="1"/>
    <col min="7" max="7" width="10.88671875" style="143" customWidth="1"/>
    <col min="8" max="8" width="12.5546875" style="143" bestFit="1" customWidth="1"/>
    <col min="9" max="9" width="9.109375" style="143"/>
    <col min="10" max="10" width="10.44140625" style="143" customWidth="1"/>
    <col min="11" max="16384" width="9.109375" style="143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537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>
        <v>30</v>
      </c>
      <c r="E25" s="6">
        <f>Individual!C8*30</f>
        <v>271350</v>
      </c>
      <c r="F25" s="6">
        <f t="shared" ref="F25:F32" si="0">(E25*1.05)*1.12</f>
        <v>319107.60000000003</v>
      </c>
      <c r="G25" s="6">
        <f t="shared" ref="G25:G32" si="1">(E25*1.08)*1.12</f>
        <v>328224.96000000002</v>
      </c>
      <c r="H25" s="6">
        <f>(E25*1.12)*1.12</f>
        <v>340381.44000000006</v>
      </c>
    </row>
    <row r="26" spans="1:8" x14ac:dyDescent="0.3">
      <c r="A26" s="6">
        <v>2</v>
      </c>
      <c r="B26" s="7" t="s">
        <v>19</v>
      </c>
      <c r="C26" s="7" t="s">
        <v>495</v>
      </c>
      <c r="D26" s="6" t="s">
        <v>5</v>
      </c>
      <c r="E26" s="6">
        <f>Individual!C16</f>
        <v>24500</v>
      </c>
      <c r="F26" s="6">
        <f t="shared" si="0"/>
        <v>28812.000000000004</v>
      </c>
      <c r="G26" s="6">
        <f t="shared" si="1"/>
        <v>29635.200000000004</v>
      </c>
      <c r="H26" s="6">
        <f t="shared" ref="H26:H32" si="2">(E26*1.12)*1.12</f>
        <v>30732.800000000007</v>
      </c>
    </row>
    <row r="27" spans="1:8" ht="28.8" x14ac:dyDescent="0.3">
      <c r="A27" s="6">
        <v>3</v>
      </c>
      <c r="B27" s="7" t="s">
        <v>6</v>
      </c>
      <c r="C27" s="7" t="s">
        <v>535</v>
      </c>
      <c r="D27" s="6" t="s">
        <v>5</v>
      </c>
      <c r="E27" s="6">
        <f>Individual!K10</f>
        <v>47750</v>
      </c>
      <c r="F27" s="6">
        <f t="shared" si="0"/>
        <v>56154.000000000007</v>
      </c>
      <c r="G27" s="6">
        <f t="shared" si="1"/>
        <v>57758.400000000009</v>
      </c>
      <c r="H27" s="6">
        <f t="shared" si="2"/>
        <v>59897.600000000013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305</v>
      </c>
      <c r="E28" s="6">
        <f>Individual!C59*60</f>
        <v>2100</v>
      </c>
      <c r="F28" s="6">
        <f t="shared" si="0"/>
        <v>2469.6000000000004</v>
      </c>
      <c r="G28" s="6">
        <f t="shared" si="1"/>
        <v>2540.1600000000003</v>
      </c>
      <c r="H28" s="6">
        <f t="shared" si="2"/>
        <v>2634.2400000000002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3713.0240000000008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Individual!C65</f>
        <v>6000</v>
      </c>
      <c r="F30" s="6">
        <f t="shared" si="0"/>
        <v>7056.0000000000009</v>
      </c>
      <c r="G30" s="6">
        <f t="shared" si="1"/>
        <v>7257.6</v>
      </c>
      <c r="H30" s="6">
        <f t="shared" si="2"/>
        <v>7526.4000000000015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Individual!C143</f>
        <v>17500</v>
      </c>
      <c r="F31" s="6">
        <f t="shared" si="0"/>
        <v>20580.000000000004</v>
      </c>
      <c r="G31" s="6">
        <f t="shared" si="1"/>
        <v>21168.000000000004</v>
      </c>
      <c r="H31" s="6">
        <f t="shared" si="2"/>
        <v>21952.000000000007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Individual!C146</f>
        <v>6000</v>
      </c>
      <c r="F32" s="6">
        <f t="shared" si="0"/>
        <v>7056.0000000000009</v>
      </c>
      <c r="G32" s="6">
        <f t="shared" si="1"/>
        <v>7257.6</v>
      </c>
      <c r="H32" s="6">
        <f t="shared" si="2"/>
        <v>7526.4000000000015</v>
      </c>
    </row>
    <row r="33" spans="1:9" ht="18" x14ac:dyDescent="0.3">
      <c r="A33" s="6"/>
      <c r="B33" s="6"/>
      <c r="C33" s="6" t="s">
        <v>14</v>
      </c>
      <c r="D33" s="6"/>
      <c r="E33" s="88">
        <f>SUM(E25:E32)</f>
        <v>378160</v>
      </c>
      <c r="F33" s="88">
        <f>SUM(F25:F32)</f>
        <v>444716.16000000003</v>
      </c>
      <c r="G33" s="88">
        <f>SUM(G25:G32)</f>
        <v>457422.33600000001</v>
      </c>
      <c r="H33" s="88">
        <f>SUM(H25:H32)</f>
        <v>474363.9040000001</v>
      </c>
    </row>
    <row r="35" spans="1:9" ht="28.8" x14ac:dyDescent="0.3">
      <c r="A35" s="6">
        <v>9</v>
      </c>
      <c r="B35" s="7" t="s">
        <v>20</v>
      </c>
      <c r="C35" s="7" t="s">
        <v>538</v>
      </c>
      <c r="D35" s="6" t="s">
        <v>5</v>
      </c>
      <c r="E35" s="6">
        <f>Individual!K95</f>
        <v>51500</v>
      </c>
      <c r="F35" s="6">
        <f>(E35*1.05)*1.12</f>
        <v>60564.000000000007</v>
      </c>
      <c r="G35" s="6">
        <f>(E35*1.08)*1.12</f>
        <v>62294.400000000016</v>
      </c>
      <c r="H35" s="6">
        <f>(E35*1.12)*1.12</f>
        <v>64601.600000000013</v>
      </c>
    </row>
    <row r="36" spans="1:9" ht="18" x14ac:dyDescent="0.3">
      <c r="A36" s="10"/>
      <c r="B36" s="11"/>
      <c r="C36" s="6" t="s">
        <v>14</v>
      </c>
      <c r="D36" s="6"/>
      <c r="E36" s="88">
        <f>SUM(E33:E35)</f>
        <v>429660</v>
      </c>
      <c r="F36" s="88">
        <f t="shared" ref="F36" si="3">SUM(F33:F35)</f>
        <v>505280.16000000003</v>
      </c>
      <c r="G36" s="88">
        <f>SUM(G33:G35)</f>
        <v>519716.73600000003</v>
      </c>
      <c r="H36" s="88">
        <f>SUM(H33:H35)</f>
        <v>538965.50400000007</v>
      </c>
    </row>
    <row r="37" spans="1:9" x14ac:dyDescent="0.3">
      <c r="B37" s="143" t="s">
        <v>23</v>
      </c>
    </row>
    <row r="38" spans="1:9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(E38*1.12)*1.12</f>
        <v>8749.4400000000023</v>
      </c>
    </row>
    <row r="39" spans="1:9" ht="18" x14ac:dyDescent="0.3">
      <c r="C39" s="6" t="s">
        <v>14</v>
      </c>
      <c r="D39" s="6"/>
      <c r="E39" s="88">
        <f>SUM(E36:E38)</f>
        <v>436635</v>
      </c>
      <c r="F39" s="88">
        <f>SUM(F36:F38)</f>
        <v>513482.76</v>
      </c>
      <c r="G39" s="88">
        <f>SUM(G36:G38)</f>
        <v>528153.696</v>
      </c>
      <c r="H39" s="88">
        <f>SUM(H36:H38)</f>
        <v>547714.94400000013</v>
      </c>
      <c r="I39" s="143">
        <f>E39-E35</f>
        <v>385135</v>
      </c>
    </row>
    <row r="40" spans="1:9" x14ac:dyDescent="0.3">
      <c r="B40" s="143" t="s">
        <v>23</v>
      </c>
    </row>
    <row r="41" spans="1:9" x14ac:dyDescent="0.3">
      <c r="A41" s="6">
        <v>11</v>
      </c>
      <c r="B41" s="6" t="s">
        <v>285</v>
      </c>
      <c r="C41" s="7" t="s">
        <v>7</v>
      </c>
      <c r="D41" s="6" t="s">
        <v>307</v>
      </c>
      <c r="E41" s="6">
        <f>Individual!C100*110</f>
        <v>22458.333333333336</v>
      </c>
      <c r="F41" s="6">
        <f t="shared" ref="F41:F44" si="4">(E41*1.05)*1.12</f>
        <v>26411.000000000007</v>
      </c>
      <c r="G41" s="6">
        <f t="shared" ref="G41:G44" si="5">(E41*1.08)*1.12</f>
        <v>27165.600000000006</v>
      </c>
      <c r="H41" s="6">
        <f t="shared" ref="H41:H44" si="6">(E41*1.12)*1.12</f>
        <v>28171.733333333344</v>
      </c>
    </row>
    <row r="42" spans="1:9" x14ac:dyDescent="0.3">
      <c r="A42" s="6">
        <v>12</v>
      </c>
      <c r="B42" s="6" t="s">
        <v>484</v>
      </c>
      <c r="C42" s="7" t="s">
        <v>7</v>
      </c>
      <c r="D42" s="6" t="s">
        <v>467</v>
      </c>
      <c r="E42" s="6">
        <f>Individual!C71*110</f>
        <v>15847.457627118645</v>
      </c>
      <c r="F42" s="6">
        <f t="shared" si="4"/>
        <v>18636.610169491527</v>
      </c>
      <c r="G42" s="6">
        <f t="shared" si="5"/>
        <v>19169.084745762713</v>
      </c>
      <c r="H42" s="6">
        <f t="shared" si="6"/>
        <v>19879.050847457635</v>
      </c>
    </row>
    <row r="43" spans="1:9" x14ac:dyDescent="0.3">
      <c r="A43" s="6">
        <v>13</v>
      </c>
      <c r="B43" s="7" t="s">
        <v>311</v>
      </c>
      <c r="C43" s="7" t="s">
        <v>7</v>
      </c>
      <c r="D43" s="6" t="s">
        <v>467</v>
      </c>
      <c r="E43" s="6">
        <f>Individual!C75*110</f>
        <v>2750</v>
      </c>
      <c r="F43" s="6">
        <f t="shared" si="4"/>
        <v>3234.0000000000005</v>
      </c>
      <c r="G43" s="6">
        <f t="shared" si="5"/>
        <v>3326.4</v>
      </c>
      <c r="H43" s="6">
        <f t="shared" si="6"/>
        <v>3449.6000000000008</v>
      </c>
    </row>
    <row r="44" spans="1:9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Individual!C81</f>
        <v>3510</v>
      </c>
      <c r="F44" s="6">
        <f t="shared" si="4"/>
        <v>4127.76</v>
      </c>
      <c r="G44" s="6">
        <f t="shared" si="5"/>
        <v>4245.6960000000008</v>
      </c>
      <c r="H44" s="6">
        <f t="shared" si="6"/>
        <v>4402.9440000000004</v>
      </c>
    </row>
    <row r="45" spans="1:9" ht="18" x14ac:dyDescent="0.3">
      <c r="C45" s="6" t="s">
        <v>14</v>
      </c>
      <c r="D45" s="6"/>
      <c r="E45" s="88">
        <f>SUM(E39:E44)</f>
        <v>481200.79096045194</v>
      </c>
      <c r="F45" s="88">
        <f>SUM(F39:F44)</f>
        <v>565892.13016949152</v>
      </c>
      <c r="G45" s="88">
        <f>SUM(G39:G44)</f>
        <v>582060.47674576275</v>
      </c>
      <c r="H45" s="88">
        <f>SUM(H39:H44)</f>
        <v>603618.27218079113</v>
      </c>
    </row>
    <row r="46" spans="1:9" ht="18" x14ac:dyDescent="0.3">
      <c r="C46" s="10"/>
      <c r="D46" s="10"/>
      <c r="E46" s="31"/>
      <c r="F46" s="31"/>
      <c r="G46" s="31"/>
      <c r="H46" s="31"/>
    </row>
    <row r="47" spans="1:9" ht="18" x14ac:dyDescent="0.3">
      <c r="A47" s="6">
        <v>15</v>
      </c>
      <c r="B47" s="6" t="s">
        <v>70</v>
      </c>
      <c r="C47" s="7" t="s">
        <v>7</v>
      </c>
      <c r="D47" s="6" t="s">
        <v>468</v>
      </c>
      <c r="E47" s="88">
        <f>Individual!C136*33</f>
        <v>79444.444444444438</v>
      </c>
      <c r="F47" s="6">
        <f t="shared" ref="F47" si="7">(E47*1.05)*1.12</f>
        <v>93426.666666666672</v>
      </c>
      <c r="G47" s="6">
        <f t="shared" ref="G47" si="8">(E47*1.08)*1.12</f>
        <v>96096.000000000015</v>
      </c>
      <c r="H47" s="6">
        <f>(E47*1.13)*1.12</f>
        <v>100544.88888888888</v>
      </c>
    </row>
    <row r="48" spans="1:9" ht="18" x14ac:dyDescent="0.3">
      <c r="C48" s="10"/>
      <c r="D48" s="10"/>
      <c r="E48" s="31">
        <f>E39+E42+E43+E44+E47</f>
        <v>538186.90207156306</v>
      </c>
      <c r="F48" s="31">
        <f>F39+F42+F43+F44+F47</f>
        <v>632907.79683615814</v>
      </c>
      <c r="G48" s="31">
        <f t="shared" ref="G48:H48" si="9">G39+G42+G43+G44+G47</f>
        <v>650990.87674576277</v>
      </c>
      <c r="H48" s="31">
        <f t="shared" si="9"/>
        <v>675991.42773634661</v>
      </c>
    </row>
    <row r="49" spans="1:13" ht="18" x14ac:dyDescent="0.3">
      <c r="C49" s="10"/>
      <c r="D49" s="10"/>
      <c r="E49" s="31"/>
      <c r="F49" s="31"/>
      <c r="G49" s="31"/>
      <c r="H49" s="31"/>
    </row>
    <row r="51" spans="1:13" ht="25.8" x14ac:dyDescent="0.5">
      <c r="A51" s="16" t="s">
        <v>33</v>
      </c>
      <c r="B51"/>
      <c r="C51"/>
      <c r="D51"/>
      <c r="E51"/>
      <c r="F51"/>
      <c r="G51"/>
      <c r="H51"/>
      <c r="I51"/>
      <c r="J51"/>
      <c r="K51"/>
      <c r="L51"/>
      <c r="M51"/>
    </row>
    <row r="52" spans="1:13" x14ac:dyDescent="0.3">
      <c r="A52" s="13"/>
      <c r="B52"/>
      <c r="C52"/>
      <c r="D52"/>
      <c r="E52"/>
      <c r="F52"/>
      <c r="G52"/>
      <c r="H52"/>
      <c r="I52"/>
      <c r="J52"/>
      <c r="K52"/>
      <c r="L52"/>
      <c r="M52"/>
    </row>
    <row r="53" spans="1:13" x14ac:dyDescent="0.3">
      <c r="A53" s="13"/>
      <c r="B53" s="13"/>
      <c r="C53" s="14"/>
      <c r="D53" s="14"/>
      <c r="E53" s="14"/>
      <c r="F53" s="14"/>
      <c r="G53" s="14"/>
      <c r="H53"/>
      <c r="I53"/>
      <c r="J53"/>
      <c r="K53"/>
      <c r="L53"/>
      <c r="M53"/>
    </row>
    <row r="54" spans="1:13" x14ac:dyDescent="0.3">
      <c r="A54" s="15"/>
      <c r="B54" s="15"/>
      <c r="C54" s="14"/>
      <c r="D54" s="14"/>
      <c r="E54" s="14"/>
      <c r="F54" s="14"/>
      <c r="G54" s="14"/>
      <c r="H54"/>
      <c r="I54"/>
      <c r="J54"/>
      <c r="K54"/>
      <c r="L54"/>
      <c r="M54"/>
    </row>
    <row r="55" spans="1:13" ht="22.2" x14ac:dyDescent="0.35">
      <c r="A55" s="182" t="s">
        <v>32</v>
      </c>
      <c r="B55" s="182"/>
      <c r="C55" s="182"/>
      <c r="D55" s="182"/>
      <c r="E55" s="182"/>
      <c r="F55" s="182"/>
      <c r="G55" s="182"/>
      <c r="H55" s="182"/>
      <c r="I55" s="17"/>
      <c r="J55" s="17"/>
      <c r="K55" s="17"/>
      <c r="L55" s="17"/>
      <c r="M55" s="17"/>
    </row>
    <row r="56" spans="1:13" ht="15" customHeight="1" x14ac:dyDescent="0.35">
      <c r="A56" s="183" t="s">
        <v>35</v>
      </c>
      <c r="B56" s="183"/>
      <c r="C56" s="183"/>
      <c r="D56" s="183"/>
      <c r="E56" s="183"/>
      <c r="F56" s="183"/>
      <c r="G56" s="183"/>
      <c r="H56" s="183"/>
      <c r="I56" s="18"/>
      <c r="J56" s="18"/>
      <c r="K56" s="18"/>
      <c r="L56" s="18"/>
      <c r="M56" s="18"/>
    </row>
    <row r="57" spans="1:13" ht="15" customHeight="1" x14ac:dyDescent="0.35">
      <c r="A57" s="183" t="s">
        <v>34</v>
      </c>
      <c r="B57" s="183"/>
      <c r="C57" s="183"/>
      <c r="D57" s="183"/>
      <c r="E57" s="183"/>
      <c r="F57" s="183"/>
      <c r="G57" s="183"/>
      <c r="H57" s="183"/>
      <c r="I57" s="18"/>
      <c r="J57" s="18"/>
      <c r="K57" s="18"/>
      <c r="L57" s="18"/>
      <c r="M57" s="18"/>
    </row>
    <row r="58" spans="1:13" ht="15.6" x14ac:dyDescent="0.3">
      <c r="A58" s="176" t="s">
        <v>36</v>
      </c>
      <c r="B58" s="176"/>
      <c r="C58" s="176"/>
      <c r="D58" s="176"/>
      <c r="E58" s="176"/>
      <c r="F58" s="176"/>
      <c r="G58" s="176"/>
      <c r="H58" s="176"/>
      <c r="I58" s="19"/>
      <c r="J58" s="19"/>
      <c r="K58" s="19"/>
      <c r="L58" s="19"/>
      <c r="M58" s="19"/>
    </row>
  </sheetData>
  <mergeCells count="7">
    <mergeCell ref="A58:H58"/>
    <mergeCell ref="B18:C21"/>
    <mergeCell ref="A22:H22"/>
    <mergeCell ref="A23:H23"/>
    <mergeCell ref="A55:H55"/>
    <mergeCell ref="A56:H56"/>
    <mergeCell ref="A57:H57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6:M58"/>
  <sheetViews>
    <sheetView topLeftCell="A27" zoomScale="85" zoomScaleNormal="85" workbookViewId="0">
      <selection activeCell="H48" sqref="H48"/>
    </sheetView>
  </sheetViews>
  <sheetFormatPr defaultColWidth="9.109375" defaultRowHeight="14.4" x14ac:dyDescent="0.3"/>
  <cols>
    <col min="1" max="1" width="5.33203125" style="143" customWidth="1"/>
    <col min="2" max="2" width="23" style="143" customWidth="1"/>
    <col min="3" max="3" width="50.33203125" style="143" customWidth="1"/>
    <col min="4" max="4" width="8" style="143" customWidth="1"/>
    <col min="5" max="5" width="9.88671875" style="143" bestFit="1" customWidth="1"/>
    <col min="6" max="6" width="10.88671875" style="143" bestFit="1" customWidth="1"/>
    <col min="7" max="7" width="10.88671875" style="143" customWidth="1"/>
    <col min="8" max="8" width="12.5546875" style="143" bestFit="1" customWidth="1"/>
    <col min="9" max="9" width="9.109375" style="143"/>
    <col min="10" max="10" width="10.44140625" style="143" customWidth="1"/>
    <col min="11" max="16384" width="9.109375" style="143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539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>
        <v>30</v>
      </c>
      <c r="E25" s="6">
        <f>Individual!C8*30</f>
        <v>271350</v>
      </c>
      <c r="F25" s="6">
        <f t="shared" ref="F25:F32" si="0">(E25*1.05)*1.12</f>
        <v>319107.60000000003</v>
      </c>
      <c r="G25" s="6">
        <f t="shared" ref="G25:G32" si="1">(E25*1.08)*1.12</f>
        <v>328224.96000000002</v>
      </c>
      <c r="H25" s="6">
        <f>(E25*1.12)*1.12</f>
        <v>340381.44000000006</v>
      </c>
    </row>
    <row r="26" spans="1:8" x14ac:dyDescent="0.3">
      <c r="A26" s="6">
        <v>2</v>
      </c>
      <c r="B26" s="7" t="s">
        <v>19</v>
      </c>
      <c r="C26" s="7" t="s">
        <v>495</v>
      </c>
      <c r="D26" s="6" t="s">
        <v>5</v>
      </c>
      <c r="E26" s="6">
        <f>Individual!C16</f>
        <v>24500</v>
      </c>
      <c r="F26" s="6">
        <f t="shared" si="0"/>
        <v>28812.000000000004</v>
      </c>
      <c r="G26" s="6">
        <f t="shared" si="1"/>
        <v>29635.200000000004</v>
      </c>
      <c r="H26" s="6">
        <f t="shared" ref="H26:H32" si="2">(E26*1.12)*1.12</f>
        <v>30732.800000000007</v>
      </c>
    </row>
    <row r="27" spans="1:8" ht="28.8" x14ac:dyDescent="0.3">
      <c r="A27" s="6">
        <v>3</v>
      </c>
      <c r="B27" s="7" t="s">
        <v>6</v>
      </c>
      <c r="C27" s="7" t="s">
        <v>535</v>
      </c>
      <c r="D27" s="6" t="s">
        <v>5</v>
      </c>
      <c r="E27" s="6">
        <f>Individual!K10</f>
        <v>47750</v>
      </c>
      <c r="F27" s="6">
        <f t="shared" si="0"/>
        <v>56154.000000000007</v>
      </c>
      <c r="G27" s="6">
        <f t="shared" si="1"/>
        <v>57758.400000000009</v>
      </c>
      <c r="H27" s="6">
        <f t="shared" si="2"/>
        <v>59897.600000000013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305</v>
      </c>
      <c r="E28" s="6">
        <f>Individual!C59*60</f>
        <v>2100</v>
      </c>
      <c r="F28" s="6">
        <f t="shared" si="0"/>
        <v>2469.6000000000004</v>
      </c>
      <c r="G28" s="6">
        <f t="shared" si="1"/>
        <v>2540.1600000000003</v>
      </c>
      <c r="H28" s="6">
        <f t="shared" si="2"/>
        <v>2634.2400000000002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3713.0240000000008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Individual!C65</f>
        <v>6000</v>
      </c>
      <c r="F30" s="6">
        <f t="shared" si="0"/>
        <v>7056.0000000000009</v>
      </c>
      <c r="G30" s="6">
        <f t="shared" si="1"/>
        <v>7257.6</v>
      </c>
      <c r="H30" s="6">
        <f t="shared" si="2"/>
        <v>7526.4000000000015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Individual!C143</f>
        <v>17500</v>
      </c>
      <c r="F31" s="6">
        <f t="shared" si="0"/>
        <v>20580.000000000004</v>
      </c>
      <c r="G31" s="6">
        <f t="shared" si="1"/>
        <v>21168.000000000004</v>
      </c>
      <c r="H31" s="6">
        <f t="shared" si="2"/>
        <v>21952.000000000007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Individual!C146</f>
        <v>6000</v>
      </c>
      <c r="F32" s="6">
        <f t="shared" si="0"/>
        <v>7056.0000000000009</v>
      </c>
      <c r="G32" s="6">
        <f t="shared" si="1"/>
        <v>7257.6</v>
      </c>
      <c r="H32" s="6">
        <f t="shared" si="2"/>
        <v>7526.4000000000015</v>
      </c>
    </row>
    <row r="33" spans="1:9" ht="18" x14ac:dyDescent="0.3">
      <c r="A33" s="6"/>
      <c r="B33" s="6"/>
      <c r="C33" s="6" t="s">
        <v>14</v>
      </c>
      <c r="D33" s="6"/>
      <c r="E33" s="88">
        <f>SUM(E25:E32)</f>
        <v>378160</v>
      </c>
      <c r="F33" s="88">
        <f>SUM(F25:F32)</f>
        <v>444716.16000000003</v>
      </c>
      <c r="G33" s="88">
        <f>SUM(G25:G32)</f>
        <v>457422.33600000001</v>
      </c>
      <c r="H33" s="88">
        <f>SUM(H25:H32)</f>
        <v>474363.9040000001</v>
      </c>
    </row>
    <row r="35" spans="1:9" ht="28.8" x14ac:dyDescent="0.3">
      <c r="A35" s="6">
        <v>9</v>
      </c>
      <c r="B35" s="7" t="s">
        <v>20</v>
      </c>
      <c r="C35" s="7" t="s">
        <v>540</v>
      </c>
      <c r="D35" s="6" t="s">
        <v>5</v>
      </c>
      <c r="E35" s="6">
        <f>Individual!K100</f>
        <v>55500</v>
      </c>
      <c r="F35" s="6">
        <f>(E35*1.05)*1.12</f>
        <v>65268.000000000007</v>
      </c>
      <c r="G35" s="6">
        <f>(E35*1.08)*1.12</f>
        <v>67132.800000000017</v>
      </c>
      <c r="H35" s="6">
        <f>(E35*1.12)*1.12</f>
        <v>69619.200000000012</v>
      </c>
    </row>
    <row r="36" spans="1:9" ht="18" x14ac:dyDescent="0.3">
      <c r="A36" s="10"/>
      <c r="B36" s="11"/>
      <c r="C36" s="6" t="s">
        <v>14</v>
      </c>
      <c r="D36" s="6"/>
      <c r="E36" s="88">
        <f>SUM(E33:E35)</f>
        <v>433660</v>
      </c>
      <c r="F36" s="88">
        <f t="shared" ref="F36" si="3">SUM(F33:F35)</f>
        <v>509984.16000000003</v>
      </c>
      <c r="G36" s="88">
        <f>SUM(G33:G35)</f>
        <v>524555.13600000006</v>
      </c>
      <c r="H36" s="88">
        <f>SUM(H33:H35)</f>
        <v>543983.10400000005</v>
      </c>
    </row>
    <row r="37" spans="1:9" x14ac:dyDescent="0.3">
      <c r="B37" s="143" t="s">
        <v>23</v>
      </c>
    </row>
    <row r="38" spans="1:9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(E38*1.12)*1.12</f>
        <v>8749.4400000000023</v>
      </c>
    </row>
    <row r="39" spans="1:9" ht="18" x14ac:dyDescent="0.3">
      <c r="C39" s="6" t="s">
        <v>14</v>
      </c>
      <c r="D39" s="6"/>
      <c r="E39" s="88">
        <f>SUM(E36:E38)</f>
        <v>440635</v>
      </c>
      <c r="F39" s="88">
        <f>SUM(F36:F38)</f>
        <v>518186.76</v>
      </c>
      <c r="G39" s="88">
        <f>SUM(G36:G38)</f>
        <v>532992.09600000002</v>
      </c>
      <c r="H39" s="88">
        <f>SUM(H36:H38)</f>
        <v>552732.54399999999</v>
      </c>
      <c r="I39" s="143">
        <f>E39-E35</f>
        <v>385135</v>
      </c>
    </row>
    <row r="40" spans="1:9" x14ac:dyDescent="0.3">
      <c r="B40" s="143" t="s">
        <v>23</v>
      </c>
    </row>
    <row r="41" spans="1:9" x14ac:dyDescent="0.3">
      <c r="A41" s="6">
        <v>11</v>
      </c>
      <c r="B41" s="6" t="s">
        <v>287</v>
      </c>
      <c r="C41" s="7" t="s">
        <v>7</v>
      </c>
      <c r="D41" s="6" t="s">
        <v>471</v>
      </c>
      <c r="E41" s="6">
        <f>Individual!C98*200</f>
        <v>43833.333333333336</v>
      </c>
      <c r="F41" s="6">
        <f t="shared" ref="F41:F44" si="4">(E41*1.05)*1.12</f>
        <v>51548.000000000015</v>
      </c>
      <c r="G41" s="6">
        <f t="shared" ref="G41:G44" si="5">(E41*1.08)*1.12</f>
        <v>53020.80000000001</v>
      </c>
      <c r="H41" s="6">
        <f t="shared" ref="H41:H44" si="6">(E41*1.12)*1.12</f>
        <v>54984.533333333347</v>
      </c>
    </row>
    <row r="42" spans="1:9" x14ac:dyDescent="0.3">
      <c r="A42" s="6">
        <v>12</v>
      </c>
      <c r="B42" s="6" t="s">
        <v>484</v>
      </c>
      <c r="C42" s="7" t="s">
        <v>7</v>
      </c>
      <c r="D42" s="6" t="s">
        <v>472</v>
      </c>
      <c r="E42" s="6">
        <f>Individual!C71*210</f>
        <v>30254.237288135595</v>
      </c>
      <c r="F42" s="6">
        <f t="shared" si="4"/>
        <v>35578.983050847462</v>
      </c>
      <c r="G42" s="6">
        <f t="shared" si="5"/>
        <v>36595.525423728825</v>
      </c>
      <c r="H42" s="6">
        <f t="shared" si="6"/>
        <v>37950.915254237298</v>
      </c>
    </row>
    <row r="43" spans="1:9" x14ac:dyDescent="0.3">
      <c r="A43" s="6">
        <v>13</v>
      </c>
      <c r="B43" s="7" t="s">
        <v>311</v>
      </c>
      <c r="C43" s="7" t="s">
        <v>7</v>
      </c>
      <c r="D43" s="6" t="s">
        <v>472</v>
      </c>
      <c r="E43" s="6">
        <f>Individual!C75*210</f>
        <v>5250</v>
      </c>
      <c r="F43" s="6">
        <f t="shared" si="4"/>
        <v>6174.0000000000009</v>
      </c>
      <c r="G43" s="6">
        <f t="shared" si="5"/>
        <v>6350.4000000000005</v>
      </c>
      <c r="H43" s="6">
        <f t="shared" si="6"/>
        <v>6585.6000000000013</v>
      </c>
    </row>
    <row r="44" spans="1:9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Individual!C80</f>
        <v>3205</v>
      </c>
      <c r="F44" s="6">
        <f t="shared" si="4"/>
        <v>3769.0800000000004</v>
      </c>
      <c r="G44" s="6">
        <f t="shared" si="5"/>
        <v>3876.7680000000005</v>
      </c>
      <c r="H44" s="6">
        <f t="shared" si="6"/>
        <v>4020.3520000000008</v>
      </c>
    </row>
    <row r="45" spans="1:9" ht="18" x14ac:dyDescent="0.3">
      <c r="C45" s="6" t="s">
        <v>14</v>
      </c>
      <c r="D45" s="6"/>
      <c r="E45" s="88">
        <f>SUM(E39:E44)</f>
        <v>523177.57062146888</v>
      </c>
      <c r="F45" s="88">
        <f>SUM(F39:F44)</f>
        <v>615256.82305084739</v>
      </c>
      <c r="G45" s="88">
        <f>SUM(G39:G44)</f>
        <v>632835.58942372899</v>
      </c>
      <c r="H45" s="88">
        <f>SUM(H39:H44)</f>
        <v>656273.9445875705</v>
      </c>
    </row>
    <row r="46" spans="1:9" ht="18" x14ac:dyDescent="0.3">
      <c r="C46" s="10"/>
      <c r="D46" s="10"/>
      <c r="E46" s="31"/>
      <c r="F46" s="31"/>
      <c r="G46" s="31"/>
      <c r="H46" s="31"/>
    </row>
    <row r="47" spans="1:9" ht="18" x14ac:dyDescent="0.3">
      <c r="A47" s="6">
        <v>15</v>
      </c>
      <c r="B47" s="6" t="s">
        <v>70</v>
      </c>
      <c r="C47" s="7" t="s">
        <v>7</v>
      </c>
      <c r="D47" s="6" t="s">
        <v>541</v>
      </c>
      <c r="E47" s="88">
        <f>Individual!C131*66</f>
        <v>75337.777777777766</v>
      </c>
      <c r="F47" s="6">
        <f t="shared" ref="F47" si="7">(E47*1.05)*1.12</f>
        <v>88597.226666666669</v>
      </c>
      <c r="G47" s="6">
        <f t="shared" ref="G47" si="8">(E47*1.08)*1.12</f>
        <v>91128.576000000001</v>
      </c>
      <c r="H47" s="6">
        <f>(E47*1.13)*1.12</f>
        <v>95347.491555555534</v>
      </c>
    </row>
    <row r="48" spans="1:9" ht="18" x14ac:dyDescent="0.3">
      <c r="C48" s="10"/>
      <c r="D48" s="10"/>
      <c r="E48" s="31">
        <f>E39+E42+E43+E44+E47</f>
        <v>554682.01506591332</v>
      </c>
      <c r="F48" s="31">
        <f>F39+F42+F43+F44+F47</f>
        <v>652306.04971751408</v>
      </c>
      <c r="G48" s="31">
        <f t="shared" ref="G48:H48" si="9">G39+G42+G43+G44+G47</f>
        <v>670943.36542372894</v>
      </c>
      <c r="H48" s="31">
        <f t="shared" si="9"/>
        <v>696636.90280979266</v>
      </c>
    </row>
    <row r="49" spans="1:13" ht="18" x14ac:dyDescent="0.3">
      <c r="C49" s="10"/>
      <c r="D49" s="10"/>
      <c r="E49" s="31"/>
      <c r="F49" s="31"/>
      <c r="G49" s="31"/>
      <c r="H49" s="31"/>
    </row>
    <row r="51" spans="1:13" ht="25.8" x14ac:dyDescent="0.5">
      <c r="A51" s="16" t="s">
        <v>33</v>
      </c>
      <c r="B51"/>
      <c r="C51"/>
      <c r="D51"/>
      <c r="E51"/>
      <c r="F51"/>
      <c r="G51"/>
      <c r="H51"/>
      <c r="I51"/>
      <c r="J51"/>
      <c r="K51"/>
      <c r="L51"/>
      <c r="M51"/>
    </row>
    <row r="52" spans="1:13" x14ac:dyDescent="0.3">
      <c r="A52" s="13"/>
      <c r="B52"/>
      <c r="C52"/>
      <c r="D52"/>
      <c r="E52"/>
      <c r="F52"/>
      <c r="G52"/>
      <c r="H52"/>
      <c r="I52"/>
      <c r="J52"/>
      <c r="K52"/>
      <c r="L52"/>
      <c r="M52"/>
    </row>
    <row r="53" spans="1:13" x14ac:dyDescent="0.3">
      <c r="A53" s="13"/>
      <c r="B53" s="13"/>
      <c r="C53" s="14"/>
      <c r="D53" s="14"/>
      <c r="E53" s="14"/>
      <c r="F53" s="14"/>
      <c r="G53" s="14"/>
      <c r="H53"/>
      <c r="I53"/>
      <c r="J53"/>
      <c r="K53"/>
      <c r="L53"/>
      <c r="M53"/>
    </row>
    <row r="54" spans="1:13" x14ac:dyDescent="0.3">
      <c r="A54" s="15"/>
      <c r="B54" s="15"/>
      <c r="C54" s="14"/>
      <c r="D54" s="14"/>
      <c r="E54" s="14"/>
      <c r="F54" s="14"/>
      <c r="G54" s="14"/>
      <c r="H54"/>
      <c r="I54"/>
      <c r="J54"/>
      <c r="K54"/>
      <c r="L54"/>
      <c r="M54"/>
    </row>
    <row r="55" spans="1:13" ht="22.2" x14ac:dyDescent="0.35">
      <c r="A55" s="182" t="s">
        <v>32</v>
      </c>
      <c r="B55" s="182"/>
      <c r="C55" s="182"/>
      <c r="D55" s="182"/>
      <c r="E55" s="182"/>
      <c r="F55" s="182"/>
      <c r="G55" s="182"/>
      <c r="H55" s="182"/>
      <c r="I55" s="17"/>
      <c r="J55" s="17"/>
      <c r="K55" s="17"/>
      <c r="L55" s="17"/>
      <c r="M55" s="17"/>
    </row>
    <row r="56" spans="1:13" ht="15" customHeight="1" x14ac:dyDescent="0.35">
      <c r="A56" s="183" t="s">
        <v>35</v>
      </c>
      <c r="B56" s="183"/>
      <c r="C56" s="183"/>
      <c r="D56" s="183"/>
      <c r="E56" s="183"/>
      <c r="F56" s="183"/>
      <c r="G56" s="183"/>
      <c r="H56" s="183"/>
      <c r="I56" s="18"/>
      <c r="J56" s="18"/>
      <c r="K56" s="18"/>
      <c r="L56" s="18"/>
      <c r="M56" s="18"/>
    </row>
    <row r="57" spans="1:13" ht="15" customHeight="1" x14ac:dyDescent="0.35">
      <c r="A57" s="183" t="s">
        <v>34</v>
      </c>
      <c r="B57" s="183"/>
      <c r="C57" s="183"/>
      <c r="D57" s="183"/>
      <c r="E57" s="183"/>
      <c r="F57" s="183"/>
      <c r="G57" s="183"/>
      <c r="H57" s="183"/>
      <c r="I57" s="18"/>
      <c r="J57" s="18"/>
      <c r="K57" s="18"/>
      <c r="L57" s="18"/>
      <c r="M57" s="18"/>
    </row>
    <row r="58" spans="1:13" ht="15.6" x14ac:dyDescent="0.3">
      <c r="A58" s="176" t="s">
        <v>36</v>
      </c>
      <c r="B58" s="176"/>
      <c r="C58" s="176"/>
      <c r="D58" s="176"/>
      <c r="E58" s="176"/>
      <c r="F58" s="176"/>
      <c r="G58" s="176"/>
      <c r="H58" s="176"/>
      <c r="I58" s="19"/>
      <c r="J58" s="19"/>
      <c r="K58" s="19"/>
      <c r="L58" s="19"/>
      <c r="M58" s="19"/>
    </row>
  </sheetData>
  <mergeCells count="7">
    <mergeCell ref="A58:H58"/>
    <mergeCell ref="B18:C21"/>
    <mergeCell ref="A22:H22"/>
    <mergeCell ref="A23:H23"/>
    <mergeCell ref="A55:H55"/>
    <mergeCell ref="A56:H56"/>
    <mergeCell ref="A57:H57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6:M58"/>
  <sheetViews>
    <sheetView topLeftCell="A31" zoomScale="85" zoomScaleNormal="85" workbookViewId="0">
      <selection activeCell="I40" sqref="I40"/>
    </sheetView>
  </sheetViews>
  <sheetFormatPr defaultColWidth="9.109375" defaultRowHeight="14.4" x14ac:dyDescent="0.3"/>
  <cols>
    <col min="1" max="1" width="5.33203125" style="143" customWidth="1"/>
    <col min="2" max="2" width="23" style="143" customWidth="1"/>
    <col min="3" max="3" width="50.33203125" style="143" customWidth="1"/>
    <col min="4" max="4" width="8" style="143" customWidth="1"/>
    <col min="5" max="5" width="9.88671875" style="143" bestFit="1" customWidth="1"/>
    <col min="6" max="6" width="10.88671875" style="143" bestFit="1" customWidth="1"/>
    <col min="7" max="7" width="10.88671875" style="143" customWidth="1"/>
    <col min="8" max="8" width="12.5546875" style="143" bestFit="1" customWidth="1"/>
    <col min="9" max="9" width="9.109375" style="143"/>
    <col min="10" max="10" width="10.44140625" style="143" customWidth="1"/>
    <col min="11" max="16384" width="9.109375" style="143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542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>
        <v>30</v>
      </c>
      <c r="E25" s="6">
        <f>Individual!C8*30</f>
        <v>271350</v>
      </c>
      <c r="F25" s="6">
        <f t="shared" ref="F25:F32" si="0">(E25*1.05)*1.12</f>
        <v>319107.60000000003</v>
      </c>
      <c r="G25" s="6">
        <f t="shared" ref="G25:G32" si="1">(E25*1.08)*1.12</f>
        <v>328224.96000000002</v>
      </c>
      <c r="H25" s="6">
        <f>(E25*1.12)*1.12</f>
        <v>340381.44000000006</v>
      </c>
    </row>
    <row r="26" spans="1:8" x14ac:dyDescent="0.3">
      <c r="A26" s="6">
        <v>2</v>
      </c>
      <c r="B26" s="7" t="s">
        <v>19</v>
      </c>
      <c r="C26" s="7" t="s">
        <v>495</v>
      </c>
      <c r="D26" s="6" t="s">
        <v>5</v>
      </c>
      <c r="E26" s="6">
        <f>Individual!C16</f>
        <v>24500</v>
      </c>
      <c r="F26" s="6">
        <f t="shared" si="0"/>
        <v>28812.000000000004</v>
      </c>
      <c r="G26" s="6">
        <f t="shared" si="1"/>
        <v>29635.200000000004</v>
      </c>
      <c r="H26" s="6">
        <f t="shared" ref="H26:H32" si="2">(E26*1.12)*1.12</f>
        <v>30732.800000000007</v>
      </c>
    </row>
    <row r="27" spans="1:8" ht="28.8" x14ac:dyDescent="0.3">
      <c r="A27" s="6">
        <v>3</v>
      </c>
      <c r="B27" s="7" t="s">
        <v>6</v>
      </c>
      <c r="C27" s="7" t="s">
        <v>535</v>
      </c>
      <c r="D27" s="6" t="s">
        <v>5</v>
      </c>
      <c r="E27" s="6">
        <f>Individual!K10</f>
        <v>47750</v>
      </c>
      <c r="F27" s="6">
        <f t="shared" si="0"/>
        <v>56154.000000000007</v>
      </c>
      <c r="G27" s="6">
        <f t="shared" si="1"/>
        <v>57758.400000000009</v>
      </c>
      <c r="H27" s="6">
        <f t="shared" si="2"/>
        <v>59897.600000000013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305</v>
      </c>
      <c r="E28" s="6">
        <f>Individual!C59*60</f>
        <v>2100</v>
      </c>
      <c r="F28" s="6">
        <f t="shared" si="0"/>
        <v>2469.6000000000004</v>
      </c>
      <c r="G28" s="6">
        <f t="shared" si="1"/>
        <v>2540.1600000000003</v>
      </c>
      <c r="H28" s="6">
        <f t="shared" si="2"/>
        <v>2634.2400000000002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3713.0240000000008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Individual!C65</f>
        <v>6000</v>
      </c>
      <c r="F30" s="6">
        <f t="shared" si="0"/>
        <v>7056.0000000000009</v>
      </c>
      <c r="G30" s="6">
        <f t="shared" si="1"/>
        <v>7257.6</v>
      </c>
      <c r="H30" s="6">
        <f t="shared" si="2"/>
        <v>7526.4000000000015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Individual!C143</f>
        <v>17500</v>
      </c>
      <c r="F31" s="6">
        <f t="shared" si="0"/>
        <v>20580.000000000004</v>
      </c>
      <c r="G31" s="6">
        <f t="shared" si="1"/>
        <v>21168.000000000004</v>
      </c>
      <c r="H31" s="6">
        <f t="shared" si="2"/>
        <v>21952.000000000007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Individual!C146</f>
        <v>6000</v>
      </c>
      <c r="F32" s="6">
        <f t="shared" si="0"/>
        <v>7056.0000000000009</v>
      </c>
      <c r="G32" s="6">
        <f t="shared" si="1"/>
        <v>7257.6</v>
      </c>
      <c r="H32" s="6">
        <f t="shared" si="2"/>
        <v>7526.4000000000015</v>
      </c>
    </row>
    <row r="33" spans="1:9" ht="18" x14ac:dyDescent="0.3">
      <c r="A33" s="6"/>
      <c r="B33" s="6"/>
      <c r="C33" s="6" t="s">
        <v>14</v>
      </c>
      <c r="D33" s="6"/>
      <c r="E33" s="88">
        <f>SUM(E25:E32)</f>
        <v>378160</v>
      </c>
      <c r="F33" s="88">
        <f>SUM(F25:F32)</f>
        <v>444716.16000000003</v>
      </c>
      <c r="G33" s="88">
        <f>SUM(G25:G32)</f>
        <v>457422.33600000001</v>
      </c>
      <c r="H33" s="88">
        <f>SUM(H25:H32)</f>
        <v>474363.9040000001</v>
      </c>
    </row>
    <row r="35" spans="1:9" ht="28.8" x14ac:dyDescent="0.3">
      <c r="A35" s="6">
        <v>9</v>
      </c>
      <c r="B35" s="7" t="s">
        <v>20</v>
      </c>
      <c r="C35" s="7" t="s">
        <v>543</v>
      </c>
      <c r="D35" s="6" t="s">
        <v>5</v>
      </c>
      <c r="E35" s="6">
        <f>Individual!K102</f>
        <v>65481</v>
      </c>
      <c r="F35" s="6">
        <f>(E35*1.05)*1.12</f>
        <v>77005.656000000017</v>
      </c>
      <c r="G35" s="6">
        <f>(E35*1.08)*1.12</f>
        <v>79205.817600000024</v>
      </c>
      <c r="H35" s="6">
        <f>(E35*1.12)*1.12</f>
        <v>82139.366400000014</v>
      </c>
    </row>
    <row r="36" spans="1:9" ht="18" x14ac:dyDescent="0.3">
      <c r="A36" s="10"/>
      <c r="B36" s="11"/>
      <c r="C36" s="6" t="s">
        <v>14</v>
      </c>
      <c r="D36" s="6"/>
      <c r="E36" s="88">
        <f>SUM(E33:E35)</f>
        <v>443641</v>
      </c>
      <c r="F36" s="88">
        <f t="shared" ref="F36" si="3">SUM(F33:F35)</f>
        <v>521721.81600000005</v>
      </c>
      <c r="G36" s="88">
        <f>SUM(G33:G35)</f>
        <v>536628.15360000008</v>
      </c>
      <c r="H36" s="88">
        <f>SUM(H33:H35)</f>
        <v>556503.27040000015</v>
      </c>
    </row>
    <row r="37" spans="1:9" x14ac:dyDescent="0.3">
      <c r="B37" s="143" t="s">
        <v>23</v>
      </c>
    </row>
    <row r="38" spans="1:9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(E38*1.12)*1.12</f>
        <v>8749.4400000000023</v>
      </c>
    </row>
    <row r="39" spans="1:9" ht="18" x14ac:dyDescent="0.3">
      <c r="C39" s="6" t="s">
        <v>14</v>
      </c>
      <c r="D39" s="6"/>
      <c r="E39" s="88">
        <f>SUM(E36:E38)</f>
        <v>450616</v>
      </c>
      <c r="F39" s="88">
        <f>SUM(F36:F38)</f>
        <v>529924.41600000008</v>
      </c>
      <c r="G39" s="88">
        <f>SUM(G36:G38)</f>
        <v>545065.11360000004</v>
      </c>
      <c r="H39" s="88">
        <f>SUM(H36:H38)</f>
        <v>565252.71040000021</v>
      </c>
      <c r="I39" s="143">
        <f>E39-E35</f>
        <v>385135</v>
      </c>
    </row>
    <row r="40" spans="1:9" x14ac:dyDescent="0.3">
      <c r="B40" s="143" t="s">
        <v>23</v>
      </c>
    </row>
    <row r="41" spans="1:9" x14ac:dyDescent="0.3">
      <c r="A41" s="6">
        <v>11</v>
      </c>
      <c r="B41" s="6" t="s">
        <v>287</v>
      </c>
      <c r="C41" s="7" t="s">
        <v>7</v>
      </c>
      <c r="D41" s="6" t="s">
        <v>544</v>
      </c>
      <c r="E41" s="6">
        <f>Individual!C98*300</f>
        <v>65750</v>
      </c>
      <c r="F41" s="6">
        <f t="shared" ref="F41:F44" si="4">(E41*1.05)*1.12</f>
        <v>77322.000000000015</v>
      </c>
      <c r="G41" s="6">
        <f t="shared" ref="G41:G44" si="5">(E41*1.08)*1.12</f>
        <v>79531.200000000012</v>
      </c>
      <c r="H41" s="6">
        <f t="shared" ref="H41:H44" si="6">(E41*1.12)*1.12</f>
        <v>82476.800000000003</v>
      </c>
    </row>
    <row r="42" spans="1:9" x14ac:dyDescent="0.3">
      <c r="A42" s="6">
        <v>12</v>
      </c>
      <c r="B42" s="6" t="s">
        <v>484</v>
      </c>
      <c r="C42" s="7" t="s">
        <v>7</v>
      </c>
      <c r="D42" s="6" t="s">
        <v>478</v>
      </c>
      <c r="E42" s="6">
        <f>Individual!C71*310</f>
        <v>44661.016949152545</v>
      </c>
      <c r="F42" s="6">
        <f t="shared" si="4"/>
        <v>52521.355932203398</v>
      </c>
      <c r="G42" s="6">
        <f t="shared" si="5"/>
        <v>54021.966101694925</v>
      </c>
      <c r="H42" s="6">
        <f t="shared" si="6"/>
        <v>56022.779661016961</v>
      </c>
    </row>
    <row r="43" spans="1:9" x14ac:dyDescent="0.3">
      <c r="A43" s="6">
        <v>13</v>
      </c>
      <c r="B43" s="7" t="s">
        <v>311</v>
      </c>
      <c r="C43" s="7" t="s">
        <v>7</v>
      </c>
      <c r="D43" s="6" t="s">
        <v>478</v>
      </c>
      <c r="E43" s="6">
        <f>Individual!C75*310</f>
        <v>7750</v>
      </c>
      <c r="F43" s="6">
        <f t="shared" si="4"/>
        <v>9114</v>
      </c>
      <c r="G43" s="6">
        <f t="shared" si="5"/>
        <v>9374.4000000000015</v>
      </c>
      <c r="H43" s="6">
        <f t="shared" si="6"/>
        <v>9721.6</v>
      </c>
    </row>
    <row r="44" spans="1:9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Individual!C80</f>
        <v>3205</v>
      </c>
      <c r="F44" s="6">
        <f t="shared" si="4"/>
        <v>3769.0800000000004</v>
      </c>
      <c r="G44" s="6">
        <f t="shared" si="5"/>
        <v>3876.7680000000005</v>
      </c>
      <c r="H44" s="6">
        <f t="shared" si="6"/>
        <v>4020.3520000000008</v>
      </c>
    </row>
    <row r="45" spans="1:9" ht="18" x14ac:dyDescent="0.3">
      <c r="C45" s="6" t="s">
        <v>14</v>
      </c>
      <c r="D45" s="6"/>
      <c r="E45" s="88">
        <f>SUM(E39:E44)</f>
        <v>571982.01694915257</v>
      </c>
      <c r="F45" s="88">
        <f>SUM(F39:F44)</f>
        <v>672650.8519322034</v>
      </c>
      <c r="G45" s="88">
        <f>SUM(G39:G44)</f>
        <v>691869.44770169503</v>
      </c>
      <c r="H45" s="88">
        <f>SUM(H39:H44)</f>
        <v>717494.2420610172</v>
      </c>
    </row>
    <row r="46" spans="1:9" ht="18" x14ac:dyDescent="0.3">
      <c r="C46" s="10"/>
      <c r="D46" s="10"/>
      <c r="E46" s="31"/>
      <c r="F46" s="31"/>
      <c r="G46" s="31"/>
      <c r="H46" s="31"/>
    </row>
    <row r="47" spans="1:9" ht="18" x14ac:dyDescent="0.3">
      <c r="A47" s="6">
        <v>15</v>
      </c>
      <c r="B47" s="6" t="s">
        <v>70</v>
      </c>
      <c r="C47" s="7" t="s">
        <v>7</v>
      </c>
      <c r="D47" s="6" t="s">
        <v>541</v>
      </c>
      <c r="E47" s="88">
        <f>Individual!C131*66</f>
        <v>75337.777777777766</v>
      </c>
      <c r="F47" s="6">
        <f t="shared" ref="F47" si="7">(E47*1.05)*1.12</f>
        <v>88597.226666666669</v>
      </c>
      <c r="G47" s="6">
        <f t="shared" ref="G47" si="8">(E47*1.08)*1.12</f>
        <v>91128.576000000001</v>
      </c>
      <c r="H47" s="6">
        <f>(E47*1.13)*1.12</f>
        <v>95347.491555555534</v>
      </c>
    </row>
    <row r="48" spans="1:9" ht="18" x14ac:dyDescent="0.3">
      <c r="C48" s="10"/>
      <c r="D48" s="10"/>
      <c r="E48" s="31">
        <f>E39+E42+E43+E44+E47</f>
        <v>581569.79472693033</v>
      </c>
      <c r="F48" s="31">
        <f>F39+F42+F43+F44+F47</f>
        <v>683926.07859887008</v>
      </c>
      <c r="G48" s="31">
        <f t="shared" ref="G48:H48" si="9">G39+G42+G43+G44+G47</f>
        <v>703466.82370169507</v>
      </c>
      <c r="H48" s="31">
        <f t="shared" si="9"/>
        <v>730364.93361657264</v>
      </c>
    </row>
    <row r="49" spans="1:13" ht="18" x14ac:dyDescent="0.3">
      <c r="C49" s="10"/>
      <c r="D49" s="10"/>
      <c r="E49" s="31"/>
      <c r="F49" s="31"/>
      <c r="G49" s="31"/>
      <c r="H49" s="31"/>
    </row>
    <row r="51" spans="1:13" ht="25.8" x14ac:dyDescent="0.5">
      <c r="A51" s="16" t="s">
        <v>33</v>
      </c>
      <c r="B51"/>
      <c r="C51"/>
      <c r="D51"/>
      <c r="E51"/>
      <c r="F51"/>
      <c r="G51"/>
      <c r="H51"/>
      <c r="I51"/>
      <c r="J51"/>
      <c r="K51"/>
      <c r="L51"/>
      <c r="M51"/>
    </row>
    <row r="52" spans="1:13" x14ac:dyDescent="0.3">
      <c r="A52" s="13"/>
      <c r="B52"/>
      <c r="C52"/>
      <c r="D52"/>
      <c r="E52"/>
      <c r="F52"/>
      <c r="G52"/>
      <c r="H52"/>
      <c r="I52"/>
      <c r="J52"/>
      <c r="K52"/>
      <c r="L52"/>
      <c r="M52"/>
    </row>
    <row r="53" spans="1:13" x14ac:dyDescent="0.3">
      <c r="A53" s="13"/>
      <c r="B53" s="13"/>
      <c r="C53" s="14"/>
      <c r="D53" s="14"/>
      <c r="E53" s="14"/>
      <c r="F53" s="14"/>
      <c r="G53" s="14"/>
      <c r="H53"/>
      <c r="I53"/>
      <c r="J53"/>
      <c r="K53"/>
      <c r="L53"/>
      <c r="M53"/>
    </row>
    <row r="54" spans="1:13" x14ac:dyDescent="0.3">
      <c r="A54" s="15"/>
      <c r="B54" s="15"/>
      <c r="C54" s="14"/>
      <c r="D54" s="14"/>
      <c r="E54" s="14"/>
      <c r="F54" s="14"/>
      <c r="G54" s="14"/>
      <c r="H54"/>
      <c r="I54"/>
      <c r="J54"/>
      <c r="K54"/>
      <c r="L54"/>
      <c r="M54"/>
    </row>
    <row r="55" spans="1:13" ht="22.2" x14ac:dyDescent="0.35">
      <c r="A55" s="182" t="s">
        <v>32</v>
      </c>
      <c r="B55" s="182"/>
      <c r="C55" s="182"/>
      <c r="D55" s="182"/>
      <c r="E55" s="182"/>
      <c r="F55" s="182"/>
      <c r="G55" s="182"/>
      <c r="H55" s="182"/>
      <c r="I55" s="17"/>
      <c r="J55" s="17"/>
      <c r="K55" s="17"/>
      <c r="L55" s="17"/>
      <c r="M55" s="17"/>
    </row>
    <row r="56" spans="1:13" ht="15" customHeight="1" x14ac:dyDescent="0.35">
      <c r="A56" s="183" t="s">
        <v>35</v>
      </c>
      <c r="B56" s="183"/>
      <c r="C56" s="183"/>
      <c r="D56" s="183"/>
      <c r="E56" s="183"/>
      <c r="F56" s="183"/>
      <c r="G56" s="183"/>
      <c r="H56" s="183"/>
      <c r="I56" s="18"/>
      <c r="J56" s="18"/>
      <c r="K56" s="18"/>
      <c r="L56" s="18"/>
      <c r="M56" s="18"/>
    </row>
    <row r="57" spans="1:13" ht="15" customHeight="1" x14ac:dyDescent="0.35">
      <c r="A57" s="183" t="s">
        <v>34</v>
      </c>
      <c r="B57" s="183"/>
      <c r="C57" s="183"/>
      <c r="D57" s="183"/>
      <c r="E57" s="183"/>
      <c r="F57" s="183"/>
      <c r="G57" s="183"/>
      <c r="H57" s="183"/>
      <c r="I57" s="18"/>
      <c r="J57" s="18"/>
      <c r="K57" s="18"/>
      <c r="L57" s="18"/>
      <c r="M57" s="18"/>
    </row>
    <row r="58" spans="1:13" ht="15.6" x14ac:dyDescent="0.3">
      <c r="A58" s="176" t="s">
        <v>36</v>
      </c>
      <c r="B58" s="176"/>
      <c r="C58" s="176"/>
      <c r="D58" s="176"/>
      <c r="E58" s="176"/>
      <c r="F58" s="176"/>
      <c r="G58" s="176"/>
      <c r="H58" s="176"/>
      <c r="I58" s="19"/>
      <c r="J58" s="19"/>
      <c r="K58" s="19"/>
      <c r="L58" s="19"/>
      <c r="M58" s="19"/>
    </row>
  </sheetData>
  <mergeCells count="7">
    <mergeCell ref="A58:H58"/>
    <mergeCell ref="B18:C21"/>
    <mergeCell ref="A22:H22"/>
    <mergeCell ref="A23:H23"/>
    <mergeCell ref="A55:H55"/>
    <mergeCell ref="A56:H56"/>
    <mergeCell ref="A57:H57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AG105"/>
  <sheetViews>
    <sheetView topLeftCell="A64" zoomScale="40" zoomScaleNormal="40" zoomScaleSheetLayoutView="50" workbookViewId="0">
      <selection activeCell="Q24" sqref="Q24"/>
    </sheetView>
  </sheetViews>
  <sheetFormatPr defaultColWidth="9.109375" defaultRowHeight="27.6" x14ac:dyDescent="0.3"/>
  <cols>
    <col min="1" max="1" width="9.109375" style="61"/>
    <col min="2" max="2" width="13.88671875" style="21" customWidth="1"/>
    <col min="3" max="3" width="47.33203125" style="21" customWidth="1"/>
    <col min="4" max="4" width="126.44140625" style="21" customWidth="1"/>
    <col min="5" max="6" width="35.88671875" style="39" hidden="1" customWidth="1"/>
    <col min="7" max="7" width="35.88671875" style="21" hidden="1" customWidth="1"/>
    <col min="8" max="8" width="35.88671875" style="39" hidden="1" customWidth="1"/>
    <col min="9" max="11" width="35.88671875" style="55" hidden="1" customWidth="1"/>
    <col min="12" max="12" width="35.88671875" style="26" hidden="1" customWidth="1"/>
    <col min="13" max="13" width="35.88671875" style="55" hidden="1" customWidth="1"/>
    <col min="14" max="14" width="22.88671875" style="55" hidden="1" customWidth="1"/>
    <col min="15" max="15" width="27.33203125" style="26" hidden="1" customWidth="1"/>
    <col min="16" max="16" width="24.44140625" style="39" hidden="1" customWidth="1"/>
    <col min="17" max="17" width="30.5546875" style="27" customWidth="1"/>
    <col min="18" max="18" width="35.88671875" style="26" customWidth="1"/>
    <col min="19" max="19" width="23.109375" style="21" customWidth="1"/>
    <col min="20" max="20" width="23.109375" style="30" customWidth="1"/>
    <col min="21" max="22" width="23.109375" style="55" customWidth="1"/>
    <col min="23" max="23" width="23.109375" style="21" customWidth="1"/>
    <col min="24" max="24" width="23.109375" style="40" customWidth="1"/>
    <col min="25" max="26" width="23.109375" style="55" customWidth="1"/>
    <col min="27" max="28" width="23.109375" style="21" customWidth="1"/>
    <col min="29" max="29" width="29.109375" style="81" customWidth="1"/>
    <col min="30" max="30" width="24.109375" style="42" customWidth="1"/>
    <col min="31" max="16384" width="9.109375" style="21"/>
  </cols>
  <sheetData>
    <row r="1" spans="3:33" x14ac:dyDescent="0.3">
      <c r="AA1" s="52"/>
      <c r="AB1" s="52"/>
      <c r="AC1" s="52"/>
      <c r="AD1" s="53"/>
      <c r="AE1" s="52"/>
      <c r="AF1" s="52"/>
      <c r="AG1" s="52"/>
    </row>
    <row r="2" spans="3:33" x14ac:dyDescent="0.3">
      <c r="AA2" s="52"/>
      <c r="AB2" s="52"/>
      <c r="AC2" s="52"/>
      <c r="AD2" s="53"/>
      <c r="AE2" s="52"/>
      <c r="AF2" s="52"/>
      <c r="AG2" s="52"/>
    </row>
    <row r="3" spans="3:33" x14ac:dyDescent="0.3">
      <c r="AA3" s="52"/>
      <c r="AB3" s="52"/>
      <c r="AC3" s="52"/>
      <c r="AD3" s="53"/>
      <c r="AE3" s="52"/>
      <c r="AF3" s="52"/>
      <c r="AG3" s="52"/>
    </row>
    <row r="4" spans="3:33" x14ac:dyDescent="0.3">
      <c r="AA4" s="52"/>
      <c r="AB4" s="52"/>
      <c r="AC4" s="52"/>
      <c r="AD4" s="53"/>
      <c r="AE4" s="52"/>
      <c r="AF4" s="52"/>
      <c r="AG4" s="52"/>
    </row>
    <row r="5" spans="3:33" x14ac:dyDescent="0.3">
      <c r="AA5" s="52"/>
      <c r="AB5" s="52"/>
      <c r="AC5" s="52"/>
      <c r="AD5" s="53"/>
      <c r="AE5" s="52"/>
      <c r="AF5" s="52"/>
      <c r="AG5" s="52"/>
    </row>
    <row r="6" spans="3:33" x14ac:dyDescent="0.3">
      <c r="AA6" s="52"/>
      <c r="AB6" s="52"/>
      <c r="AC6" s="52"/>
      <c r="AD6" s="53"/>
      <c r="AE6" s="52"/>
      <c r="AF6" s="52"/>
      <c r="AG6" s="52"/>
    </row>
    <row r="7" spans="3:33" x14ac:dyDescent="0.3">
      <c r="AA7" s="52"/>
      <c r="AB7" s="52"/>
      <c r="AC7" s="52"/>
      <c r="AD7" s="53"/>
      <c r="AE7" s="52"/>
      <c r="AF7" s="52"/>
      <c r="AG7" s="52"/>
    </row>
    <row r="8" spans="3:33" x14ac:dyDescent="0.3">
      <c r="AA8" s="52"/>
      <c r="AB8" s="52"/>
      <c r="AC8" s="52"/>
      <c r="AD8" s="53"/>
      <c r="AE8" s="52"/>
      <c r="AF8" s="52"/>
      <c r="AG8" s="52"/>
    </row>
    <row r="9" spans="3:33" x14ac:dyDescent="0.3">
      <c r="AA9" s="52"/>
      <c r="AB9" s="52"/>
      <c r="AC9" s="52"/>
      <c r="AD9" s="53"/>
      <c r="AE9" s="52"/>
      <c r="AF9" s="52"/>
      <c r="AG9" s="52"/>
    </row>
    <row r="10" spans="3:33" x14ac:dyDescent="0.3">
      <c r="AA10" s="52"/>
      <c r="AB10" s="52"/>
      <c r="AC10" s="52"/>
      <c r="AD10" s="53"/>
      <c r="AE10" s="52"/>
      <c r="AF10" s="52"/>
      <c r="AG10" s="52"/>
    </row>
    <row r="11" spans="3:33" x14ac:dyDescent="0.3">
      <c r="AA11" s="52"/>
      <c r="AB11" s="52"/>
      <c r="AC11" s="52"/>
      <c r="AD11" s="53"/>
      <c r="AE11" s="52"/>
      <c r="AF11" s="52"/>
      <c r="AG11" s="52"/>
    </row>
    <row r="12" spans="3:33" x14ac:dyDescent="0.3">
      <c r="AA12" s="52"/>
      <c r="AB12" s="52"/>
      <c r="AC12" s="52"/>
      <c r="AD12" s="53"/>
      <c r="AE12" s="52"/>
      <c r="AF12" s="52"/>
      <c r="AG12" s="52"/>
    </row>
    <row r="13" spans="3:33" x14ac:dyDescent="0.3">
      <c r="AA13" s="52"/>
      <c r="AB13" s="52"/>
      <c r="AC13" s="52"/>
      <c r="AD13" s="53"/>
      <c r="AE13" s="52"/>
      <c r="AF13" s="52"/>
      <c r="AG13" s="52"/>
    </row>
    <row r="14" spans="3:33" x14ac:dyDescent="0.3">
      <c r="AA14" s="52"/>
      <c r="AB14" s="52"/>
      <c r="AC14" s="52"/>
      <c r="AD14" s="53"/>
      <c r="AE14" s="52"/>
      <c r="AF14" s="52"/>
      <c r="AG14" s="52"/>
    </row>
    <row r="15" spans="3:33" x14ac:dyDescent="0.3">
      <c r="AA15" s="52"/>
      <c r="AB15" s="52"/>
      <c r="AC15" s="52"/>
      <c r="AD15" s="53"/>
      <c r="AE15" s="52"/>
      <c r="AF15" s="52"/>
      <c r="AG15" s="52"/>
    </row>
    <row r="16" spans="3:33" x14ac:dyDescent="0.3">
      <c r="C16" s="20" t="s">
        <v>31</v>
      </c>
      <c r="AA16" s="52"/>
      <c r="AB16" s="52"/>
      <c r="AC16" s="52"/>
      <c r="AD16" s="53"/>
      <c r="AE16" s="52"/>
      <c r="AF16" s="52"/>
      <c r="AG16" s="52" t="s">
        <v>68</v>
      </c>
    </row>
    <row r="17" spans="1:33" x14ac:dyDescent="0.3">
      <c r="AA17" s="52"/>
      <c r="AB17" s="52"/>
      <c r="AC17" s="52"/>
      <c r="AD17" s="53"/>
      <c r="AE17" s="52"/>
      <c r="AF17" s="52"/>
      <c r="AG17" s="52"/>
    </row>
    <row r="18" spans="1:33" x14ac:dyDescent="0.3">
      <c r="C18" s="186"/>
      <c r="D18" s="186"/>
      <c r="AA18" s="52"/>
      <c r="AB18" s="52"/>
      <c r="AC18" s="52"/>
      <c r="AD18" s="53"/>
      <c r="AE18" s="52"/>
      <c r="AF18" s="52"/>
      <c r="AG18" s="52"/>
    </row>
    <row r="19" spans="1:33" x14ac:dyDescent="0.3">
      <c r="C19" s="186"/>
      <c r="D19" s="186"/>
      <c r="AA19" s="52"/>
      <c r="AB19" s="52"/>
      <c r="AC19" s="52"/>
      <c r="AD19" s="53"/>
      <c r="AE19" s="52"/>
      <c r="AF19" s="52"/>
      <c r="AG19" s="52"/>
    </row>
    <row r="20" spans="1:33" x14ac:dyDescent="0.3">
      <c r="C20" s="186"/>
      <c r="D20" s="186"/>
      <c r="AA20" s="52"/>
      <c r="AB20" s="52"/>
      <c r="AC20" s="52"/>
      <c r="AD20" s="53"/>
      <c r="AE20" s="52"/>
      <c r="AF20" s="52"/>
      <c r="AG20" s="52"/>
    </row>
    <row r="21" spans="1:33" x14ac:dyDescent="0.3">
      <c r="C21" s="186"/>
      <c r="D21" s="186"/>
      <c r="AA21" s="52"/>
      <c r="AB21" s="52"/>
      <c r="AC21" s="52"/>
      <c r="AD21" s="53"/>
      <c r="AE21" s="52"/>
      <c r="AF21" s="52"/>
      <c r="AG21" s="52"/>
    </row>
    <row r="22" spans="1:33" s="22" customFormat="1" ht="28.2" thickBot="1" x14ac:dyDescent="0.35">
      <c r="A22" s="61"/>
      <c r="E22" s="39"/>
      <c r="F22" s="39"/>
      <c r="H22" s="39"/>
      <c r="I22" s="55"/>
      <c r="J22" s="55"/>
      <c r="K22" s="55"/>
      <c r="L22" s="26"/>
      <c r="M22" s="55"/>
      <c r="N22" s="55"/>
      <c r="O22" s="26"/>
      <c r="P22" s="39"/>
      <c r="Q22" s="27"/>
      <c r="R22" s="26"/>
      <c r="T22" s="30"/>
      <c r="U22" s="55"/>
      <c r="V22" s="55"/>
      <c r="X22" s="40"/>
      <c r="Y22" s="55"/>
      <c r="Z22" s="55"/>
      <c r="AA22" s="52"/>
      <c r="AB22" s="52"/>
      <c r="AC22" s="52"/>
      <c r="AD22" s="53"/>
      <c r="AE22" s="52"/>
      <c r="AF22" s="52"/>
      <c r="AG22" s="52"/>
    </row>
    <row r="23" spans="1:33" ht="45.75" customHeight="1" x14ac:dyDescent="0.3">
      <c r="B23" s="187">
        <v>44623</v>
      </c>
      <c r="C23" s="188"/>
      <c r="D23" s="188"/>
      <c r="E23" s="66"/>
      <c r="F23" s="66"/>
      <c r="G23" s="189" t="s">
        <v>69</v>
      </c>
      <c r="H23" s="190"/>
      <c r="I23" s="190"/>
      <c r="J23" s="190"/>
      <c r="K23" s="190"/>
      <c r="L23" s="190"/>
      <c r="M23" s="190"/>
      <c r="N23" s="190"/>
      <c r="O23" s="190"/>
      <c r="P23" s="190"/>
      <c r="Q23" s="191" t="s">
        <v>132</v>
      </c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203"/>
    </row>
    <row r="24" spans="1:33" s="56" customFormat="1" ht="153.75" customHeight="1" x14ac:dyDescent="0.3">
      <c r="A24" s="61"/>
      <c r="B24" s="67" t="s">
        <v>0</v>
      </c>
      <c r="C24" s="59" t="s">
        <v>1</v>
      </c>
      <c r="D24" s="59" t="s">
        <v>2</v>
      </c>
      <c r="E24" s="57" t="s">
        <v>83</v>
      </c>
      <c r="F24" s="57" t="s">
        <v>82</v>
      </c>
      <c r="G24" s="58" t="s">
        <v>79</v>
      </c>
      <c r="H24" s="58" t="s">
        <v>78</v>
      </c>
      <c r="I24" s="58" t="s">
        <v>80</v>
      </c>
      <c r="J24" s="58" t="s">
        <v>81</v>
      </c>
      <c r="K24" s="58" t="s">
        <v>84</v>
      </c>
      <c r="L24" s="58" t="s">
        <v>85</v>
      </c>
      <c r="M24" s="58" t="s">
        <v>86</v>
      </c>
      <c r="N24" s="58" t="s">
        <v>87</v>
      </c>
      <c r="O24" s="58" t="s">
        <v>88</v>
      </c>
      <c r="P24" s="58" t="s">
        <v>89</v>
      </c>
      <c r="Q24" s="57" t="s">
        <v>83</v>
      </c>
      <c r="R24" s="57" t="s">
        <v>82</v>
      </c>
      <c r="S24" s="58" t="s">
        <v>79</v>
      </c>
      <c r="T24" s="58" t="s">
        <v>78</v>
      </c>
      <c r="U24" s="58" t="s">
        <v>80</v>
      </c>
      <c r="V24" s="58" t="s">
        <v>81</v>
      </c>
      <c r="W24" s="58" t="s">
        <v>84</v>
      </c>
      <c r="X24" s="58" t="s">
        <v>85</v>
      </c>
      <c r="Y24" s="58" t="s">
        <v>86</v>
      </c>
      <c r="Z24" s="58" t="s">
        <v>87</v>
      </c>
      <c r="AA24" s="58" t="s">
        <v>88</v>
      </c>
      <c r="AB24" s="58" t="s">
        <v>89</v>
      </c>
      <c r="AC24" s="82" t="s">
        <v>129</v>
      </c>
      <c r="AD24" s="68" t="s">
        <v>90</v>
      </c>
    </row>
    <row r="25" spans="1:33" ht="31.8" x14ac:dyDescent="0.3">
      <c r="B25" s="184" t="s">
        <v>37</v>
      </c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202"/>
    </row>
    <row r="26" spans="1:33" ht="60" customHeight="1" x14ac:dyDescent="0.3">
      <c r="B26" s="69">
        <v>1</v>
      </c>
      <c r="C26" s="63" t="s">
        <v>42</v>
      </c>
      <c r="D26" s="80" t="s">
        <v>128</v>
      </c>
      <c r="E26" s="63"/>
      <c r="F26" s="63">
        <f>'1HP -10M'!E39-10000</f>
        <v>98615</v>
      </c>
      <c r="G26" s="62">
        <f>'1HP -10M'!E45-10000</f>
        <v>105483.61581920905</v>
      </c>
      <c r="H26" s="62">
        <f>'1HP -10M'!E48-10400</f>
        <v>106650.83804143127</v>
      </c>
      <c r="I26" s="62">
        <f>G26+(200*15)</f>
        <v>108483.61581920905</v>
      </c>
      <c r="J26" s="62">
        <f>H26+(200*15)</f>
        <v>109650.83804143127</v>
      </c>
      <c r="K26" s="62">
        <f>G26+(500*15)</f>
        <v>112983.61581920905</v>
      </c>
      <c r="L26" s="62">
        <f>H26+(500*15)</f>
        <v>114150.83804143127</v>
      </c>
      <c r="M26" s="62">
        <f>G26+(800*15)</f>
        <v>117483.61581920905</v>
      </c>
      <c r="N26" s="62">
        <f>H26+(800*15)</f>
        <v>118650.83804143127</v>
      </c>
      <c r="O26" s="62">
        <f>G26+(1200*15)</f>
        <v>123483.61581920905</v>
      </c>
      <c r="P26" s="62">
        <f>H26+(1200*15)</f>
        <v>124650.83804143127</v>
      </c>
      <c r="Q26" s="38"/>
      <c r="R26" s="60">
        <f t="shared" ref="R26:AB26" si="0">F26*1.2</f>
        <v>118338</v>
      </c>
      <c r="S26" s="60">
        <f t="shared" si="0"/>
        <v>126580.33898305085</v>
      </c>
      <c r="T26" s="60">
        <f t="shared" si="0"/>
        <v>127981.00564971752</v>
      </c>
      <c r="U26" s="60">
        <f t="shared" si="0"/>
        <v>130180.33898305085</v>
      </c>
      <c r="V26" s="60">
        <f t="shared" si="0"/>
        <v>131581.00564971752</v>
      </c>
      <c r="W26" s="60">
        <f t="shared" si="0"/>
        <v>135580.33898305087</v>
      </c>
      <c r="X26" s="60">
        <f t="shared" si="0"/>
        <v>136981.00564971752</v>
      </c>
      <c r="Y26" s="60">
        <f t="shared" si="0"/>
        <v>140980.33898305087</v>
      </c>
      <c r="Z26" s="60">
        <f t="shared" si="0"/>
        <v>142381.00564971752</v>
      </c>
      <c r="AA26" s="60">
        <f t="shared" si="0"/>
        <v>148180.33898305087</v>
      </c>
      <c r="AB26" s="60">
        <f t="shared" si="0"/>
        <v>149581.00564971752</v>
      </c>
      <c r="AC26" s="83"/>
      <c r="AD26" s="70" t="e">
        <f>#REF!*2000</f>
        <v>#REF!</v>
      </c>
    </row>
    <row r="27" spans="1:33" s="78" customFormat="1" ht="60" customHeight="1" x14ac:dyDescent="0.3">
      <c r="B27" s="79">
        <v>2</v>
      </c>
      <c r="C27" s="80" t="s">
        <v>42</v>
      </c>
      <c r="D27" s="80" t="s">
        <v>98</v>
      </c>
      <c r="E27" s="80"/>
      <c r="F27" s="80">
        <f>'1HP -10M'!E39</f>
        <v>108615</v>
      </c>
      <c r="G27" s="62">
        <f>'1HP -10M'!E45</f>
        <v>115483.61581920905</v>
      </c>
      <c r="H27" s="62">
        <f>'1HP -10M'!E48</f>
        <v>117050.83804143127</v>
      </c>
      <c r="I27" s="62">
        <f>G27+(200*15)</f>
        <v>118483.61581920905</v>
      </c>
      <c r="J27" s="62">
        <f>H27+(200*15)</f>
        <v>120050.83804143127</v>
      </c>
      <c r="K27" s="62">
        <f>G27+(500*15)</f>
        <v>122983.61581920905</v>
      </c>
      <c r="L27" s="62">
        <f>H27+(500*15)</f>
        <v>124550.83804143127</v>
      </c>
      <c r="M27" s="62">
        <f>G27+(800*15)</f>
        <v>127483.61581920905</v>
      </c>
      <c r="N27" s="62">
        <f>H27+(800*15)</f>
        <v>129050.83804143127</v>
      </c>
      <c r="O27" s="62">
        <f>G27+(1200*15)</f>
        <v>133483.61581920905</v>
      </c>
      <c r="P27" s="62">
        <f>H27+(1200*15)</f>
        <v>135050.83804143127</v>
      </c>
      <c r="Q27" s="38"/>
      <c r="R27" s="60">
        <f t="shared" ref="R27" si="1">F27*1.2</f>
        <v>130338</v>
      </c>
      <c r="S27" s="60">
        <f t="shared" ref="S27" si="2">G27*1.2</f>
        <v>138580.33898305087</v>
      </c>
      <c r="T27" s="60">
        <f t="shared" ref="T27" si="3">H27*1.2</f>
        <v>140461.00564971752</v>
      </c>
      <c r="U27" s="60">
        <f t="shared" ref="U27" si="4">I27*1.2</f>
        <v>142180.33898305087</v>
      </c>
      <c r="V27" s="60">
        <f t="shared" ref="V27" si="5">J27*1.2</f>
        <v>144061.00564971752</v>
      </c>
      <c r="W27" s="60">
        <f t="shared" ref="W27" si="6">K27*1.2</f>
        <v>147580.33898305087</v>
      </c>
      <c r="X27" s="60">
        <f t="shared" ref="X27" si="7">L27*1.2</f>
        <v>149461.00564971752</v>
      </c>
      <c r="Y27" s="60">
        <f t="shared" ref="Y27" si="8">M27*1.2</f>
        <v>152980.33898305087</v>
      </c>
      <c r="Z27" s="60">
        <f t="shared" ref="Z27" si="9">N27*1.2</f>
        <v>154861.00564971752</v>
      </c>
      <c r="AA27" s="60">
        <f t="shared" ref="AA27" si="10">O27*1.2</f>
        <v>160180.33898305087</v>
      </c>
      <c r="AB27" s="60">
        <f t="shared" ref="AB27" si="11">P27*1.2</f>
        <v>162061.00564971752</v>
      </c>
      <c r="AC27" s="83"/>
      <c r="AD27" s="70" t="e">
        <f>#REF!*2000</f>
        <v>#REF!</v>
      </c>
    </row>
    <row r="28" spans="1:33" ht="60" customHeight="1" x14ac:dyDescent="0.3">
      <c r="B28" s="69">
        <v>3</v>
      </c>
      <c r="C28" s="63" t="s">
        <v>43</v>
      </c>
      <c r="D28" s="80" t="s">
        <v>99</v>
      </c>
      <c r="E28" s="63"/>
      <c r="F28" s="63" t="e">
        <f>'1HP -10M'!E39-#REF!+#REF!</f>
        <v>#REF!</v>
      </c>
      <c r="G28" s="62" t="e">
        <f>#REF!</f>
        <v>#REF!</v>
      </c>
      <c r="H28" s="62" t="e">
        <f>#REF!</f>
        <v>#REF!</v>
      </c>
      <c r="I28" s="62" t="e">
        <f>G28+(200*15)</f>
        <v>#REF!</v>
      </c>
      <c r="J28" s="62" t="e">
        <f t="shared" ref="J28:J29" si="12">H28+(200*15)</f>
        <v>#REF!</v>
      </c>
      <c r="K28" s="62" t="e">
        <f t="shared" ref="K28:K29" si="13">G28+(500*15)</f>
        <v>#REF!</v>
      </c>
      <c r="L28" s="62" t="e">
        <f t="shared" ref="L28:L29" si="14">H28+(500*15)</f>
        <v>#REF!</v>
      </c>
      <c r="M28" s="62" t="e">
        <f t="shared" ref="M28:M29" si="15">G28+(800*15)</f>
        <v>#REF!</v>
      </c>
      <c r="N28" s="62" t="e">
        <f t="shared" ref="N28:N29" si="16">H28+(800*15)</f>
        <v>#REF!</v>
      </c>
      <c r="O28" s="62" t="e">
        <f t="shared" ref="O28:O29" si="17">G28+(1200*15)</f>
        <v>#REF!</v>
      </c>
      <c r="P28" s="62" t="e">
        <f t="shared" ref="P28:P29" si="18">H28+(1200*15)</f>
        <v>#REF!</v>
      </c>
      <c r="Q28" s="38"/>
      <c r="R28" s="60" t="e">
        <f t="shared" ref="R28:R29" si="19">F28*1.2</f>
        <v>#REF!</v>
      </c>
      <c r="S28" s="60" t="e">
        <f t="shared" ref="S28:S29" si="20">G28*1.2</f>
        <v>#REF!</v>
      </c>
      <c r="T28" s="60" t="e">
        <f t="shared" ref="T28:T29" si="21">H28*1.2</f>
        <v>#REF!</v>
      </c>
      <c r="U28" s="60" t="e">
        <f t="shared" ref="U28:U29" si="22">I28*1.2</f>
        <v>#REF!</v>
      </c>
      <c r="V28" s="60" t="e">
        <f t="shared" ref="V28:V29" si="23">J28*1.2</f>
        <v>#REF!</v>
      </c>
      <c r="W28" s="60" t="e">
        <f t="shared" ref="W28:W29" si="24">K28*1.2</f>
        <v>#REF!</v>
      </c>
      <c r="X28" s="60" t="e">
        <f t="shared" ref="X28:X29" si="25">L28*1.2</f>
        <v>#REF!</v>
      </c>
      <c r="Y28" s="60" t="e">
        <f t="shared" ref="Y28:Y29" si="26">M28*1.2</f>
        <v>#REF!</v>
      </c>
      <c r="Z28" s="60" t="e">
        <f t="shared" ref="Z28:Z29" si="27">N28*1.2</f>
        <v>#REF!</v>
      </c>
      <c r="AA28" s="60" t="e">
        <f t="shared" ref="AA28:AA29" si="28">O28*1.2</f>
        <v>#REF!</v>
      </c>
      <c r="AB28" s="60" t="e">
        <f t="shared" ref="AB28:AB29" si="29">P28*1.2</f>
        <v>#REF!</v>
      </c>
      <c r="AC28" s="83"/>
      <c r="AD28" s="70" t="e">
        <f>#REF!*2000</f>
        <v>#REF!</v>
      </c>
    </row>
    <row r="29" spans="1:33" ht="60" customHeight="1" x14ac:dyDescent="0.3">
      <c r="B29" s="69">
        <v>4</v>
      </c>
      <c r="C29" s="63" t="s">
        <v>44</v>
      </c>
      <c r="D29" s="80" t="s">
        <v>100</v>
      </c>
      <c r="E29" s="63"/>
      <c r="F29" s="63" t="e">
        <f>#REF!-#REF!+#REF!</f>
        <v>#REF!</v>
      </c>
      <c r="G29" s="62" t="e">
        <f>#REF!</f>
        <v>#REF!</v>
      </c>
      <c r="H29" s="62" t="e">
        <f>#REF!</f>
        <v>#REF!</v>
      </c>
      <c r="I29" s="62" t="e">
        <f>G29+(200*15)</f>
        <v>#REF!</v>
      </c>
      <c r="J29" s="62" t="e">
        <f t="shared" si="12"/>
        <v>#REF!</v>
      </c>
      <c r="K29" s="62" t="e">
        <f t="shared" si="13"/>
        <v>#REF!</v>
      </c>
      <c r="L29" s="62" t="e">
        <f t="shared" si="14"/>
        <v>#REF!</v>
      </c>
      <c r="M29" s="62" t="e">
        <f t="shared" si="15"/>
        <v>#REF!</v>
      </c>
      <c r="N29" s="62" t="e">
        <f t="shared" si="16"/>
        <v>#REF!</v>
      </c>
      <c r="O29" s="62" t="e">
        <f t="shared" si="17"/>
        <v>#REF!</v>
      </c>
      <c r="P29" s="62" t="e">
        <f t="shared" si="18"/>
        <v>#REF!</v>
      </c>
      <c r="Q29" s="38"/>
      <c r="R29" s="60" t="e">
        <f t="shared" si="19"/>
        <v>#REF!</v>
      </c>
      <c r="S29" s="60" t="e">
        <f t="shared" si="20"/>
        <v>#REF!</v>
      </c>
      <c r="T29" s="60" t="e">
        <f t="shared" si="21"/>
        <v>#REF!</v>
      </c>
      <c r="U29" s="60" t="e">
        <f t="shared" si="22"/>
        <v>#REF!</v>
      </c>
      <c r="V29" s="60" t="e">
        <f t="shared" si="23"/>
        <v>#REF!</v>
      </c>
      <c r="W29" s="60" t="e">
        <f t="shared" si="24"/>
        <v>#REF!</v>
      </c>
      <c r="X29" s="60" t="e">
        <f t="shared" si="25"/>
        <v>#REF!</v>
      </c>
      <c r="Y29" s="60" t="e">
        <f t="shared" si="26"/>
        <v>#REF!</v>
      </c>
      <c r="Z29" s="60" t="e">
        <f t="shared" si="27"/>
        <v>#REF!</v>
      </c>
      <c r="AA29" s="60" t="e">
        <f t="shared" si="28"/>
        <v>#REF!</v>
      </c>
      <c r="AB29" s="60" t="e">
        <f t="shared" si="29"/>
        <v>#REF!</v>
      </c>
      <c r="AC29" s="83"/>
      <c r="AD29" s="70" t="e">
        <f>#REF!*2000</f>
        <v>#REF!</v>
      </c>
    </row>
    <row r="30" spans="1:33" ht="31.5" customHeight="1" x14ac:dyDescent="0.3">
      <c r="B30" s="184" t="s">
        <v>38</v>
      </c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202"/>
    </row>
    <row r="31" spans="1:33" ht="60" customHeight="1" x14ac:dyDescent="0.3">
      <c r="B31" s="69">
        <v>5</v>
      </c>
      <c r="C31" s="63" t="s">
        <v>45</v>
      </c>
      <c r="D31" s="80" t="s">
        <v>101</v>
      </c>
      <c r="E31" s="63"/>
      <c r="F31" s="63" t="e">
        <f>#REF!</f>
        <v>#REF!</v>
      </c>
      <c r="G31" s="62" t="e">
        <f>#REF!</f>
        <v>#REF!</v>
      </c>
      <c r="H31" s="62" t="e">
        <f>#REF!</f>
        <v>#REF!</v>
      </c>
      <c r="I31" s="62" t="e">
        <f>G31+(200*15)</f>
        <v>#REF!</v>
      </c>
      <c r="J31" s="62" t="e">
        <f>H31+(200*15)</f>
        <v>#REF!</v>
      </c>
      <c r="K31" s="62" t="e">
        <f>G31+(500*15)</f>
        <v>#REF!</v>
      </c>
      <c r="L31" s="62" t="e">
        <f>H31+(500*15)</f>
        <v>#REF!</v>
      </c>
      <c r="M31" s="62" t="e">
        <f>G31+(800*15)</f>
        <v>#REF!</v>
      </c>
      <c r="N31" s="62" t="e">
        <f>H31+(800*15)</f>
        <v>#REF!</v>
      </c>
      <c r="O31" s="62" t="e">
        <f>G31+(1200*15)</f>
        <v>#REF!</v>
      </c>
      <c r="P31" s="62" t="e">
        <f>H31+(1200*15)</f>
        <v>#REF!</v>
      </c>
      <c r="Q31" s="38"/>
      <c r="R31" s="60" t="e">
        <f t="shared" ref="R31:Z31" si="30">F31*1.2</f>
        <v>#REF!</v>
      </c>
      <c r="S31" s="60" t="e">
        <f t="shared" si="30"/>
        <v>#REF!</v>
      </c>
      <c r="T31" s="60" t="e">
        <f t="shared" si="30"/>
        <v>#REF!</v>
      </c>
      <c r="U31" s="60" t="e">
        <f t="shared" si="30"/>
        <v>#REF!</v>
      </c>
      <c r="V31" s="60" t="e">
        <f t="shared" si="30"/>
        <v>#REF!</v>
      </c>
      <c r="W31" s="60" t="e">
        <f t="shared" si="30"/>
        <v>#REF!</v>
      </c>
      <c r="X31" s="60" t="e">
        <f t="shared" si="30"/>
        <v>#REF!</v>
      </c>
      <c r="Y31" s="60" t="e">
        <f t="shared" si="30"/>
        <v>#REF!</v>
      </c>
      <c r="Z31" s="60" t="e">
        <f t="shared" si="30"/>
        <v>#REF!</v>
      </c>
      <c r="AA31" s="60" t="e">
        <f t="shared" ref="AA31:AA33" si="31">O31*1.2</f>
        <v>#REF!</v>
      </c>
      <c r="AB31" s="60" t="e">
        <f>P31*1.2</f>
        <v>#REF!</v>
      </c>
      <c r="AC31" s="83"/>
      <c r="AD31" s="70" t="e">
        <f>#REF!*2000</f>
        <v>#REF!</v>
      </c>
    </row>
    <row r="32" spans="1:33" ht="60" customHeight="1" x14ac:dyDescent="0.3">
      <c r="B32" s="69">
        <v>6</v>
      </c>
      <c r="C32" s="63" t="s">
        <v>46</v>
      </c>
      <c r="D32" s="80" t="s">
        <v>102</v>
      </c>
      <c r="E32" s="63"/>
      <c r="F32" s="63" t="e">
        <f>#REF!-#REF!+#REF!</f>
        <v>#REF!</v>
      </c>
      <c r="G32" s="62" t="e">
        <f>#REF!</f>
        <v>#REF!</v>
      </c>
      <c r="H32" s="62" t="e">
        <f>#REF!</f>
        <v>#REF!</v>
      </c>
      <c r="I32" s="62" t="e">
        <f t="shared" ref="I32:I34" si="32">G32+(200*15)</f>
        <v>#REF!</v>
      </c>
      <c r="J32" s="62" t="e">
        <f t="shared" ref="J32:J34" si="33">H32+(200*15)</f>
        <v>#REF!</v>
      </c>
      <c r="K32" s="62" t="e">
        <f t="shared" ref="K32:K34" si="34">G32+(500*15)</f>
        <v>#REF!</v>
      </c>
      <c r="L32" s="62" t="e">
        <f t="shared" ref="L32:L34" si="35">H32+(500*15)</f>
        <v>#REF!</v>
      </c>
      <c r="M32" s="62" t="e">
        <f t="shared" ref="M32:M34" si="36">G32+(800*15)</f>
        <v>#REF!</v>
      </c>
      <c r="N32" s="62" t="e">
        <f t="shared" ref="N32:N34" si="37">H32+(800*15)</f>
        <v>#REF!</v>
      </c>
      <c r="O32" s="62" t="e">
        <f t="shared" ref="O32:O34" si="38">G32+(1200*15)</f>
        <v>#REF!</v>
      </c>
      <c r="P32" s="62" t="e">
        <f t="shared" ref="P32:P34" si="39">H32+(1200*15)</f>
        <v>#REF!</v>
      </c>
      <c r="Q32" s="38"/>
      <c r="R32" s="60" t="e">
        <f t="shared" ref="R32:R34" si="40">F32*1.2</f>
        <v>#REF!</v>
      </c>
      <c r="S32" s="60" t="e">
        <f t="shared" ref="S32:T34" si="41">G32*1.2</f>
        <v>#REF!</v>
      </c>
      <c r="T32" s="60" t="e">
        <f t="shared" si="41"/>
        <v>#REF!</v>
      </c>
      <c r="U32" s="60" t="e">
        <f t="shared" ref="U32:U34" si="42">I32*1.2</f>
        <v>#REF!</v>
      </c>
      <c r="V32" s="60" t="e">
        <f t="shared" ref="V32:V34" si="43">J32*1.2</f>
        <v>#REF!</v>
      </c>
      <c r="W32" s="60" t="e">
        <f t="shared" ref="W32:W33" si="44">K32*1.2</f>
        <v>#REF!</v>
      </c>
      <c r="X32" s="60" t="e">
        <f t="shared" ref="X32:X33" si="45">L32*1.2</f>
        <v>#REF!</v>
      </c>
      <c r="Y32" s="60" t="e">
        <f t="shared" ref="Y32:Y33" si="46">M32*1.2</f>
        <v>#REF!</v>
      </c>
      <c r="Z32" s="60" t="e">
        <f t="shared" ref="Z32:Z33" si="47">N32*1.2</f>
        <v>#REF!</v>
      </c>
      <c r="AA32" s="60" t="e">
        <f t="shared" si="31"/>
        <v>#REF!</v>
      </c>
      <c r="AB32" s="60" t="e">
        <f t="shared" ref="AB32" si="48">P32*1.2</f>
        <v>#REF!</v>
      </c>
      <c r="AC32" s="83"/>
      <c r="AD32" s="70" t="e">
        <f>#REF!*2000</f>
        <v>#REF!</v>
      </c>
    </row>
    <row r="33" spans="1:30" ht="60" customHeight="1" x14ac:dyDescent="0.3">
      <c r="B33" s="69">
        <v>7</v>
      </c>
      <c r="C33" s="63" t="s">
        <v>47</v>
      </c>
      <c r="D33" s="80" t="s">
        <v>103</v>
      </c>
      <c r="E33" s="63"/>
      <c r="F33" s="63" t="e">
        <f>#REF!-#REF!+#REF!</f>
        <v>#REF!</v>
      </c>
      <c r="G33" s="62" t="e">
        <f>#REF!</f>
        <v>#REF!</v>
      </c>
      <c r="H33" s="62" t="e">
        <f>#REF!</f>
        <v>#REF!</v>
      </c>
      <c r="I33" s="62" t="e">
        <f t="shared" si="32"/>
        <v>#REF!</v>
      </c>
      <c r="J33" s="62" t="e">
        <f t="shared" si="33"/>
        <v>#REF!</v>
      </c>
      <c r="K33" s="62" t="e">
        <f t="shared" si="34"/>
        <v>#REF!</v>
      </c>
      <c r="L33" s="62" t="e">
        <f t="shared" si="35"/>
        <v>#REF!</v>
      </c>
      <c r="M33" s="62" t="e">
        <f t="shared" si="36"/>
        <v>#REF!</v>
      </c>
      <c r="N33" s="62" t="e">
        <f t="shared" si="37"/>
        <v>#REF!</v>
      </c>
      <c r="O33" s="62" t="e">
        <f t="shared" si="38"/>
        <v>#REF!</v>
      </c>
      <c r="P33" s="62" t="e">
        <f t="shared" si="39"/>
        <v>#REF!</v>
      </c>
      <c r="Q33" s="38"/>
      <c r="R33" s="60" t="e">
        <f t="shared" si="40"/>
        <v>#REF!</v>
      </c>
      <c r="S33" s="60" t="e">
        <f t="shared" si="41"/>
        <v>#REF!</v>
      </c>
      <c r="T33" s="60" t="e">
        <f t="shared" si="41"/>
        <v>#REF!</v>
      </c>
      <c r="U33" s="60" t="e">
        <f t="shared" si="42"/>
        <v>#REF!</v>
      </c>
      <c r="V33" s="60" t="e">
        <f t="shared" si="43"/>
        <v>#REF!</v>
      </c>
      <c r="W33" s="60" t="e">
        <f t="shared" si="44"/>
        <v>#REF!</v>
      </c>
      <c r="X33" s="60" t="e">
        <f t="shared" si="45"/>
        <v>#REF!</v>
      </c>
      <c r="Y33" s="60" t="e">
        <f t="shared" si="46"/>
        <v>#REF!</v>
      </c>
      <c r="Z33" s="60" t="e">
        <f t="shared" si="47"/>
        <v>#REF!</v>
      </c>
      <c r="AA33" s="60" t="e">
        <f t="shared" si="31"/>
        <v>#REF!</v>
      </c>
      <c r="AB33" s="60" t="e">
        <f>P33*1.2</f>
        <v>#REF!</v>
      </c>
      <c r="AC33" s="83"/>
      <c r="AD33" s="70" t="e">
        <f>#REF!*2000</f>
        <v>#REF!</v>
      </c>
    </row>
    <row r="34" spans="1:30" s="61" customFormat="1" ht="60" customHeight="1" x14ac:dyDescent="0.3">
      <c r="B34" s="71">
        <v>8</v>
      </c>
      <c r="C34" s="63" t="s">
        <v>92</v>
      </c>
      <c r="D34" s="80" t="s">
        <v>104</v>
      </c>
      <c r="E34" s="65"/>
      <c r="F34" s="77" t="e">
        <f>#REF!-#REF!+#REF!</f>
        <v>#REF!</v>
      </c>
      <c r="G34" s="64" t="e">
        <f>#REF!</f>
        <v>#REF!</v>
      </c>
      <c r="H34" s="64" t="e">
        <f>#REF!</f>
        <v>#REF!</v>
      </c>
      <c r="I34" s="62" t="e">
        <f t="shared" si="32"/>
        <v>#REF!</v>
      </c>
      <c r="J34" s="62" t="e">
        <f t="shared" si="33"/>
        <v>#REF!</v>
      </c>
      <c r="K34" s="62" t="e">
        <f t="shared" si="34"/>
        <v>#REF!</v>
      </c>
      <c r="L34" s="62" t="e">
        <f t="shared" si="35"/>
        <v>#REF!</v>
      </c>
      <c r="M34" s="62" t="e">
        <f t="shared" si="36"/>
        <v>#REF!</v>
      </c>
      <c r="N34" s="62" t="e">
        <f t="shared" si="37"/>
        <v>#REF!</v>
      </c>
      <c r="O34" s="62" t="e">
        <f t="shared" si="38"/>
        <v>#REF!</v>
      </c>
      <c r="P34" s="62" t="e">
        <f t="shared" si="39"/>
        <v>#REF!</v>
      </c>
      <c r="Q34" s="38"/>
      <c r="R34" s="60" t="e">
        <f t="shared" si="40"/>
        <v>#REF!</v>
      </c>
      <c r="S34" s="60" t="e">
        <f t="shared" si="41"/>
        <v>#REF!</v>
      </c>
      <c r="T34" s="60" t="e">
        <f t="shared" si="41"/>
        <v>#REF!</v>
      </c>
      <c r="U34" s="60" t="e">
        <f t="shared" si="42"/>
        <v>#REF!</v>
      </c>
      <c r="V34" s="60" t="e">
        <f t="shared" si="43"/>
        <v>#REF!</v>
      </c>
      <c r="W34" s="60" t="e">
        <f>K34*1.2</f>
        <v>#REF!</v>
      </c>
      <c r="X34" s="60" t="e">
        <f>L34*1.2</f>
        <v>#REF!</v>
      </c>
      <c r="Y34" s="60" t="e">
        <f>M34*1.2</f>
        <v>#REF!</v>
      </c>
      <c r="Z34" s="60" t="e">
        <f>N34*1.2</f>
        <v>#REF!</v>
      </c>
      <c r="AA34" s="60" t="e">
        <f>O34*1.2</f>
        <v>#REF!</v>
      </c>
      <c r="AB34" s="60" t="e">
        <f>P34*1.2</f>
        <v>#REF!</v>
      </c>
      <c r="AC34" s="83"/>
      <c r="AD34" s="70" t="e">
        <f>#REF!*2000</f>
        <v>#REF!</v>
      </c>
    </row>
    <row r="35" spans="1:30" ht="31.8" x14ac:dyDescent="0.3">
      <c r="B35" s="184" t="s">
        <v>91</v>
      </c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202"/>
    </row>
    <row r="36" spans="1:30" s="41" customFormat="1" ht="27" customHeight="1" x14ac:dyDescent="0.3">
      <c r="A36" s="61"/>
      <c r="B36" s="193">
        <v>9</v>
      </c>
      <c r="C36" s="194" t="s">
        <v>48</v>
      </c>
      <c r="D36" s="194" t="s">
        <v>105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54" t="s">
        <v>127</v>
      </c>
      <c r="R36" s="195" t="e">
        <f t="shared" ref="R36:Z36" si="49">F37*1.17</f>
        <v>#REF!</v>
      </c>
      <c r="S36" s="195" t="e">
        <f t="shared" si="49"/>
        <v>#REF!</v>
      </c>
      <c r="T36" s="195" t="e">
        <f t="shared" si="49"/>
        <v>#REF!</v>
      </c>
      <c r="U36" s="195" t="e">
        <f t="shared" si="49"/>
        <v>#REF!</v>
      </c>
      <c r="V36" s="195" t="e">
        <f t="shared" si="49"/>
        <v>#REF!</v>
      </c>
      <c r="W36" s="195" t="e">
        <f t="shared" si="49"/>
        <v>#REF!</v>
      </c>
      <c r="X36" s="195" t="e">
        <f t="shared" si="49"/>
        <v>#REF!</v>
      </c>
      <c r="Y36" s="195" t="e">
        <f t="shared" si="49"/>
        <v>#REF!</v>
      </c>
      <c r="Z36" s="195" t="e">
        <f t="shared" si="49"/>
        <v>#REF!</v>
      </c>
      <c r="AA36" s="195" t="e">
        <f t="shared" ref="AA36:AB36" si="50">O37*1.17</f>
        <v>#REF!</v>
      </c>
      <c r="AB36" s="195" t="e">
        <f t="shared" si="50"/>
        <v>#REF!</v>
      </c>
      <c r="AC36" s="84"/>
      <c r="AD36" s="204" t="e">
        <f>#REF!*2000</f>
        <v>#REF!</v>
      </c>
    </row>
    <row r="37" spans="1:30" ht="60" customHeight="1" x14ac:dyDescent="0.3">
      <c r="B37" s="193"/>
      <c r="C37" s="194"/>
      <c r="D37" s="194"/>
      <c r="E37" s="63" t="e">
        <f>#REF!+28560</f>
        <v>#REF!</v>
      </c>
      <c r="F37" s="63" t="e">
        <f>#REF!</f>
        <v>#REF!</v>
      </c>
      <c r="G37" s="62" t="e">
        <f>#REF!</f>
        <v>#REF!</v>
      </c>
      <c r="H37" s="62" t="e">
        <f>#REF!</f>
        <v>#REF!</v>
      </c>
      <c r="I37" s="62" t="e">
        <f>G37+(200*15)</f>
        <v>#REF!</v>
      </c>
      <c r="J37" s="62" t="e">
        <f>H37+(200*15)</f>
        <v>#REF!</v>
      </c>
      <c r="K37" s="62" t="e">
        <f>G37+(500*15)</f>
        <v>#REF!</v>
      </c>
      <c r="L37" s="62" t="e">
        <f>H37+(500*15)</f>
        <v>#REF!</v>
      </c>
      <c r="M37" s="62" t="e">
        <f>G37+(800*15)</f>
        <v>#REF!</v>
      </c>
      <c r="N37" s="62" t="e">
        <f>H37+(800*15)</f>
        <v>#REF!</v>
      </c>
      <c r="O37" s="62" t="e">
        <f>G37+(1200*15)</f>
        <v>#REF!</v>
      </c>
      <c r="P37" s="62" t="e">
        <f>H37+(1200*15)</f>
        <v>#REF!</v>
      </c>
      <c r="Q37" s="60" t="e">
        <f>E37*1.17</f>
        <v>#REF!</v>
      </c>
      <c r="R37" s="196"/>
      <c r="S37" s="196"/>
      <c r="T37" s="196"/>
      <c r="U37" s="196"/>
      <c r="V37" s="196"/>
      <c r="W37" s="196"/>
      <c r="X37" s="196"/>
      <c r="Y37" s="196"/>
      <c r="Z37" s="196"/>
      <c r="AA37" s="196"/>
      <c r="AB37" s="196"/>
      <c r="AC37" s="85"/>
      <c r="AD37" s="205"/>
    </row>
    <row r="38" spans="1:30" ht="60" customHeight="1" x14ac:dyDescent="0.3">
      <c r="B38" s="69">
        <v>10</v>
      </c>
      <c r="C38" s="63" t="s">
        <v>49</v>
      </c>
      <c r="D38" s="80" t="s">
        <v>106</v>
      </c>
      <c r="E38" s="63" t="e">
        <f>#REF!+28560</f>
        <v>#REF!</v>
      </c>
      <c r="F38" s="63" t="e">
        <f>(#REF!)-#REF!+#REF!</f>
        <v>#REF!</v>
      </c>
      <c r="G38" s="62" t="e">
        <f>#REF!</f>
        <v>#REF!</v>
      </c>
      <c r="H38" s="62" t="e">
        <f>#REF!</f>
        <v>#REF!</v>
      </c>
      <c r="I38" s="62" t="e">
        <f t="shared" ref="I38:I40" si="51">G38+(200*15)</f>
        <v>#REF!</v>
      </c>
      <c r="J38" s="62" t="e">
        <f t="shared" ref="J38:J40" si="52">H38+(200*15)</f>
        <v>#REF!</v>
      </c>
      <c r="K38" s="62" t="e">
        <f t="shared" ref="K38:K40" si="53">G38+(500*15)</f>
        <v>#REF!</v>
      </c>
      <c r="L38" s="62" t="e">
        <f t="shared" ref="L38:L40" si="54">H38+(500*15)</f>
        <v>#REF!</v>
      </c>
      <c r="M38" s="62" t="e">
        <f t="shared" ref="M38:M40" si="55">G38+(800*15)</f>
        <v>#REF!</v>
      </c>
      <c r="N38" s="62" t="e">
        <f t="shared" ref="N38:N40" si="56">H38+(800*15)</f>
        <v>#REF!</v>
      </c>
      <c r="O38" s="62" t="e">
        <f t="shared" ref="O38:O40" si="57">G38+(1200*15)</f>
        <v>#REF!</v>
      </c>
      <c r="P38" s="62" t="e">
        <f t="shared" ref="P38:P40" si="58">H38+(1200*15)</f>
        <v>#REF!</v>
      </c>
      <c r="Q38" s="60" t="e">
        <f t="shared" ref="Q38:Q40" si="59">E38*1.17</f>
        <v>#REF!</v>
      </c>
      <c r="R38" s="60" t="e">
        <f t="shared" ref="R38:R40" si="60">F38*1.17</f>
        <v>#REF!</v>
      </c>
      <c r="S38" s="60" t="e">
        <f t="shared" ref="S38:S40" si="61">G38*1.17</f>
        <v>#REF!</v>
      </c>
      <c r="T38" s="60" t="e">
        <f>H38*1.17</f>
        <v>#REF!</v>
      </c>
      <c r="U38" s="60" t="e">
        <f t="shared" ref="U38:U40" si="62">I38*1.17</f>
        <v>#REF!</v>
      </c>
      <c r="V38" s="60" t="e">
        <f t="shared" ref="V38:V40" si="63">J38*1.17</f>
        <v>#REF!</v>
      </c>
      <c r="W38" s="60" t="e">
        <f t="shared" ref="W38:Z40" si="64">K38*1.17</f>
        <v>#REF!</v>
      </c>
      <c r="X38" s="60" t="e">
        <f t="shared" si="64"/>
        <v>#REF!</v>
      </c>
      <c r="Y38" s="60" t="e">
        <f t="shared" si="64"/>
        <v>#REF!</v>
      </c>
      <c r="Z38" s="60" t="e">
        <f t="shared" si="64"/>
        <v>#REF!</v>
      </c>
      <c r="AA38" s="60" t="e">
        <f t="shared" ref="AA38:AA40" si="65">O38*1.17</f>
        <v>#REF!</v>
      </c>
      <c r="AB38" s="60" t="e">
        <f t="shared" ref="AB38:AB47" si="66">P38*1.17</f>
        <v>#REF!</v>
      </c>
      <c r="AC38" s="83"/>
      <c r="AD38" s="70" t="e">
        <f>#REF!*2000</f>
        <v>#REF!</v>
      </c>
    </row>
    <row r="39" spans="1:30" ht="60" customHeight="1" x14ac:dyDescent="0.3">
      <c r="B39" s="69">
        <v>11</v>
      </c>
      <c r="C39" s="63" t="s">
        <v>50</v>
      </c>
      <c r="D39" s="80" t="s">
        <v>107</v>
      </c>
      <c r="E39" s="63" t="e">
        <f>#REF!+28560</f>
        <v>#REF!</v>
      </c>
      <c r="F39" s="63" t="e">
        <f>(#REF!)-#REF!+#REF!</f>
        <v>#REF!</v>
      </c>
      <c r="G39" s="62" t="e">
        <f>#REF!</f>
        <v>#REF!</v>
      </c>
      <c r="H39" s="62" t="e">
        <f>#REF!</f>
        <v>#REF!</v>
      </c>
      <c r="I39" s="62" t="e">
        <f t="shared" si="51"/>
        <v>#REF!</v>
      </c>
      <c r="J39" s="62" t="e">
        <f t="shared" si="52"/>
        <v>#REF!</v>
      </c>
      <c r="K39" s="62" t="e">
        <f t="shared" si="53"/>
        <v>#REF!</v>
      </c>
      <c r="L39" s="62" t="e">
        <f t="shared" si="54"/>
        <v>#REF!</v>
      </c>
      <c r="M39" s="62" t="e">
        <f t="shared" si="55"/>
        <v>#REF!</v>
      </c>
      <c r="N39" s="62" t="e">
        <f t="shared" si="56"/>
        <v>#REF!</v>
      </c>
      <c r="O39" s="62" t="e">
        <f t="shared" si="57"/>
        <v>#REF!</v>
      </c>
      <c r="P39" s="62" t="e">
        <f t="shared" si="58"/>
        <v>#REF!</v>
      </c>
      <c r="Q39" s="60" t="e">
        <f t="shared" si="59"/>
        <v>#REF!</v>
      </c>
      <c r="R39" s="60" t="e">
        <f t="shared" si="60"/>
        <v>#REF!</v>
      </c>
      <c r="S39" s="60" t="e">
        <f t="shared" si="61"/>
        <v>#REF!</v>
      </c>
      <c r="T39" s="60" t="e">
        <f t="shared" ref="T39:T40" si="67">H39*1.17</f>
        <v>#REF!</v>
      </c>
      <c r="U39" s="60" t="e">
        <f t="shared" si="62"/>
        <v>#REF!</v>
      </c>
      <c r="V39" s="60" t="e">
        <f t="shared" si="63"/>
        <v>#REF!</v>
      </c>
      <c r="W39" s="60" t="e">
        <f t="shared" si="64"/>
        <v>#REF!</v>
      </c>
      <c r="X39" s="60" t="e">
        <f t="shared" si="64"/>
        <v>#REF!</v>
      </c>
      <c r="Y39" s="60" t="e">
        <f t="shared" si="64"/>
        <v>#REF!</v>
      </c>
      <c r="Z39" s="60" t="e">
        <f t="shared" si="64"/>
        <v>#REF!</v>
      </c>
      <c r="AA39" s="60" t="e">
        <f t="shared" si="65"/>
        <v>#REF!</v>
      </c>
      <c r="AB39" s="60" t="e">
        <f t="shared" si="66"/>
        <v>#REF!</v>
      </c>
      <c r="AC39" s="83"/>
      <c r="AD39" s="70" t="e">
        <f>#REF!*2000</f>
        <v>#REF!</v>
      </c>
    </row>
    <row r="40" spans="1:30" ht="60" customHeight="1" x14ac:dyDescent="0.3">
      <c r="B40" s="69">
        <v>12</v>
      </c>
      <c r="C40" s="63" t="s">
        <v>51</v>
      </c>
      <c r="D40" s="80" t="s">
        <v>108</v>
      </c>
      <c r="E40" s="63" t="e">
        <f>#REF!+28560</f>
        <v>#REF!</v>
      </c>
      <c r="F40" s="63" t="e">
        <f>#REF!-#REF!+#REF!</f>
        <v>#REF!</v>
      </c>
      <c r="G40" s="62" t="e">
        <f>#REF!</f>
        <v>#REF!</v>
      </c>
      <c r="H40" s="62" t="e">
        <f>#REF!</f>
        <v>#REF!</v>
      </c>
      <c r="I40" s="62" t="e">
        <f t="shared" si="51"/>
        <v>#REF!</v>
      </c>
      <c r="J40" s="62" t="e">
        <f t="shared" si="52"/>
        <v>#REF!</v>
      </c>
      <c r="K40" s="62" t="e">
        <f t="shared" si="53"/>
        <v>#REF!</v>
      </c>
      <c r="L40" s="62" t="e">
        <f t="shared" si="54"/>
        <v>#REF!</v>
      </c>
      <c r="M40" s="62" t="e">
        <f t="shared" si="55"/>
        <v>#REF!</v>
      </c>
      <c r="N40" s="62" t="e">
        <f t="shared" si="56"/>
        <v>#REF!</v>
      </c>
      <c r="O40" s="62" t="e">
        <f t="shared" si="57"/>
        <v>#REF!</v>
      </c>
      <c r="P40" s="62" t="e">
        <f t="shared" si="58"/>
        <v>#REF!</v>
      </c>
      <c r="Q40" s="60" t="e">
        <f t="shared" si="59"/>
        <v>#REF!</v>
      </c>
      <c r="R40" s="60" t="e">
        <f t="shared" si="60"/>
        <v>#REF!</v>
      </c>
      <c r="S40" s="60" t="e">
        <f t="shared" si="61"/>
        <v>#REF!</v>
      </c>
      <c r="T40" s="60" t="e">
        <f t="shared" si="67"/>
        <v>#REF!</v>
      </c>
      <c r="U40" s="60" t="e">
        <f t="shared" si="62"/>
        <v>#REF!</v>
      </c>
      <c r="V40" s="60" t="e">
        <f t="shared" si="63"/>
        <v>#REF!</v>
      </c>
      <c r="W40" s="60" t="e">
        <f t="shared" si="64"/>
        <v>#REF!</v>
      </c>
      <c r="X40" s="60" t="e">
        <f t="shared" si="64"/>
        <v>#REF!</v>
      </c>
      <c r="Y40" s="60" t="e">
        <f t="shared" si="64"/>
        <v>#REF!</v>
      </c>
      <c r="Z40" s="60" t="e">
        <f t="shared" si="64"/>
        <v>#REF!</v>
      </c>
      <c r="AA40" s="60" t="e">
        <f t="shared" si="65"/>
        <v>#REF!</v>
      </c>
      <c r="AB40" s="60" t="e">
        <f t="shared" si="66"/>
        <v>#REF!</v>
      </c>
      <c r="AC40" s="83"/>
      <c r="AD40" s="70" t="e">
        <f>#REF!*2000</f>
        <v>#REF!</v>
      </c>
    </row>
    <row r="41" spans="1:30" s="61" customFormat="1" ht="60" customHeight="1" x14ac:dyDescent="0.3">
      <c r="B41" s="71">
        <v>13</v>
      </c>
      <c r="C41" s="63" t="s">
        <v>93</v>
      </c>
      <c r="D41" s="80" t="s">
        <v>109</v>
      </c>
      <c r="E41" s="80" t="e">
        <f>#REF!+28560</f>
        <v>#REF!</v>
      </c>
      <c r="F41" s="65" t="e">
        <f>#REF!-#REF!+#REF!</f>
        <v>#REF!</v>
      </c>
      <c r="G41" s="62" t="e">
        <f>#REF!</f>
        <v>#REF!</v>
      </c>
      <c r="H41" s="62" t="e">
        <f>#REF!</f>
        <v>#REF!</v>
      </c>
      <c r="I41" s="62" t="e">
        <f t="shared" ref="I41" si="68">G41+(200*15)</f>
        <v>#REF!</v>
      </c>
      <c r="J41" s="62" t="e">
        <f t="shared" ref="J41" si="69">H41+(200*15)</f>
        <v>#REF!</v>
      </c>
      <c r="K41" s="62" t="e">
        <f t="shared" ref="K41" si="70">G41+(500*15)</f>
        <v>#REF!</v>
      </c>
      <c r="L41" s="62" t="e">
        <f t="shared" ref="L41" si="71">H41+(500*15)</f>
        <v>#REF!</v>
      </c>
      <c r="M41" s="62" t="e">
        <f t="shared" ref="M41" si="72">G41+(800*15)</f>
        <v>#REF!</v>
      </c>
      <c r="N41" s="62" t="e">
        <f t="shared" ref="N41" si="73">H41+(800*15)</f>
        <v>#REF!</v>
      </c>
      <c r="O41" s="62" t="e">
        <f t="shared" ref="O41" si="74">G41+(1200*15)</f>
        <v>#REF!</v>
      </c>
      <c r="P41" s="62" t="e">
        <f t="shared" ref="P41" si="75">H41+(1200*15)</f>
        <v>#REF!</v>
      </c>
      <c r="Q41" s="60" t="e">
        <f t="shared" ref="Q41" si="76">E41*1.17</f>
        <v>#REF!</v>
      </c>
      <c r="R41" s="60" t="e">
        <f t="shared" ref="R41" si="77">F41*1.17</f>
        <v>#REF!</v>
      </c>
      <c r="S41" s="60" t="e">
        <f t="shared" ref="S41" si="78">G41*1.17</f>
        <v>#REF!</v>
      </c>
      <c r="T41" s="60" t="e">
        <f t="shared" ref="T41" si="79">H41*1.17</f>
        <v>#REF!</v>
      </c>
      <c r="U41" s="60" t="e">
        <f t="shared" ref="U41" si="80">I41*1.17</f>
        <v>#REF!</v>
      </c>
      <c r="V41" s="60" t="e">
        <f t="shared" ref="V41" si="81">J41*1.17</f>
        <v>#REF!</v>
      </c>
      <c r="W41" s="60" t="e">
        <f t="shared" ref="W41" si="82">K41*1.17</f>
        <v>#REF!</v>
      </c>
      <c r="X41" s="60" t="e">
        <f t="shared" ref="X41" si="83">L41*1.17</f>
        <v>#REF!</v>
      </c>
      <c r="Y41" s="60" t="e">
        <f t="shared" ref="Y41" si="84">M41*1.17</f>
        <v>#REF!</v>
      </c>
      <c r="Z41" s="60" t="e">
        <f t="shared" ref="Z41" si="85">N41*1.17</f>
        <v>#REF!</v>
      </c>
      <c r="AA41" s="60" t="e">
        <f t="shared" ref="AA41" si="86">O41*1.17</f>
        <v>#REF!</v>
      </c>
      <c r="AB41" s="60" t="e">
        <f t="shared" ref="AB41" si="87">P41*1.17</f>
        <v>#REF!</v>
      </c>
      <c r="AC41" s="83" t="s">
        <v>130</v>
      </c>
      <c r="AD41" s="70" t="e">
        <f>#REF!*2000</f>
        <v>#REF!</v>
      </c>
    </row>
    <row r="42" spans="1:30" ht="31.8" x14ac:dyDescent="0.3">
      <c r="B42" s="184" t="s">
        <v>41</v>
      </c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202"/>
    </row>
    <row r="43" spans="1:30" ht="60" customHeight="1" x14ac:dyDescent="0.3">
      <c r="B43" s="69">
        <v>14</v>
      </c>
      <c r="C43" s="63" t="s">
        <v>52</v>
      </c>
      <c r="D43" s="80" t="s">
        <v>110</v>
      </c>
      <c r="E43" s="63" t="e">
        <f>#REF!</f>
        <v>#REF!</v>
      </c>
      <c r="F43" s="63" t="e">
        <f>#REF!</f>
        <v>#REF!</v>
      </c>
      <c r="G43" s="62" t="e">
        <f>#REF!</f>
        <v>#REF!</v>
      </c>
      <c r="H43" s="62" t="e">
        <f>#REF!</f>
        <v>#REF!</v>
      </c>
      <c r="I43" s="62" t="e">
        <f>G43+(200*30)</f>
        <v>#REF!</v>
      </c>
      <c r="J43" s="62" t="e">
        <f>H43+(200*30)</f>
        <v>#REF!</v>
      </c>
      <c r="K43" s="62" t="e">
        <f>G43+(500*30)</f>
        <v>#REF!</v>
      </c>
      <c r="L43" s="62" t="e">
        <f>H43+(500*30)</f>
        <v>#REF!</v>
      </c>
      <c r="M43" s="62" t="e">
        <f>G43+(800*30)</f>
        <v>#REF!</v>
      </c>
      <c r="N43" s="62" t="e">
        <f>H43+(800*30)</f>
        <v>#REF!</v>
      </c>
      <c r="O43" s="62" t="e">
        <f>G43+(1200*30)</f>
        <v>#REF!</v>
      </c>
      <c r="P43" s="62" t="e">
        <f>H43+(1200*30)</f>
        <v>#REF!</v>
      </c>
      <c r="Q43" s="60" t="e">
        <f t="shared" ref="Q43:V43" si="88">E43*1.17</f>
        <v>#REF!</v>
      </c>
      <c r="R43" s="60" t="e">
        <f t="shared" si="88"/>
        <v>#REF!</v>
      </c>
      <c r="S43" s="60" t="e">
        <f t="shared" si="88"/>
        <v>#REF!</v>
      </c>
      <c r="T43" s="60" t="e">
        <f t="shared" si="88"/>
        <v>#REF!</v>
      </c>
      <c r="U43" s="60" t="e">
        <f t="shared" si="88"/>
        <v>#REF!</v>
      </c>
      <c r="V43" s="60" t="e">
        <f t="shared" si="88"/>
        <v>#REF!</v>
      </c>
      <c r="W43" s="60" t="e">
        <f>K43*1.17</f>
        <v>#REF!</v>
      </c>
      <c r="X43" s="60" t="e">
        <f>L43*1.17</f>
        <v>#REF!</v>
      </c>
      <c r="Y43" s="60" t="e">
        <f>M43*1.17</f>
        <v>#REF!</v>
      </c>
      <c r="Z43" s="60" t="e">
        <f>N43*1.17</f>
        <v>#REF!</v>
      </c>
      <c r="AA43" s="60" t="e">
        <f t="shared" ref="AA43:AA46" si="89">O43*1.17</f>
        <v>#REF!</v>
      </c>
      <c r="AB43" s="60" t="e">
        <f t="shared" si="66"/>
        <v>#REF!</v>
      </c>
      <c r="AC43" s="83"/>
      <c r="AD43" s="70" t="e">
        <f>#REF!*2000</f>
        <v>#REF!</v>
      </c>
    </row>
    <row r="44" spans="1:30" ht="60" customHeight="1" x14ac:dyDescent="0.3">
      <c r="B44" s="69">
        <v>15</v>
      </c>
      <c r="C44" s="63" t="s">
        <v>53</v>
      </c>
      <c r="D44" s="80" t="s">
        <v>111</v>
      </c>
      <c r="E44" s="63" t="e">
        <f>#REF!</f>
        <v>#REF!</v>
      </c>
      <c r="F44" s="63" t="e">
        <f>#REF!-#REF!+#REF!</f>
        <v>#REF!</v>
      </c>
      <c r="G44" s="62" t="e">
        <f>#REF!</f>
        <v>#REF!</v>
      </c>
      <c r="H44" s="62" t="e">
        <f>#REF!</f>
        <v>#REF!</v>
      </c>
      <c r="I44" s="62" t="e">
        <f t="shared" ref="I44:I47" si="90">G44+(200*30)</f>
        <v>#REF!</v>
      </c>
      <c r="J44" s="62" t="e">
        <f t="shared" ref="J44:J47" si="91">H44+(200*30)</f>
        <v>#REF!</v>
      </c>
      <c r="K44" s="62" t="e">
        <f t="shared" ref="K44:K47" si="92">G44+(500*30)</f>
        <v>#REF!</v>
      </c>
      <c r="L44" s="62" t="e">
        <f t="shared" ref="L44:L47" si="93">H44+(500*30)</f>
        <v>#REF!</v>
      </c>
      <c r="M44" s="62" t="e">
        <f t="shared" ref="M44:M47" si="94">G44+(800*30)</f>
        <v>#REF!</v>
      </c>
      <c r="N44" s="62" t="e">
        <f t="shared" ref="N44:N47" si="95">H44+(800*30)</f>
        <v>#REF!</v>
      </c>
      <c r="O44" s="62" t="e">
        <f t="shared" ref="O44:O47" si="96">G44+(1200*30)</f>
        <v>#REF!</v>
      </c>
      <c r="P44" s="62" t="e">
        <f t="shared" ref="P44:P47" si="97">H44+(1200*30)</f>
        <v>#REF!</v>
      </c>
      <c r="Q44" s="60" t="e">
        <f t="shared" ref="Q44:Q47" si="98">E44*1.17</f>
        <v>#REF!</v>
      </c>
      <c r="R44" s="60" t="e">
        <f>F44*1.17</f>
        <v>#REF!</v>
      </c>
      <c r="S44" s="60" t="e">
        <f t="shared" ref="S44:S46" si="99">G44*1.17</f>
        <v>#REF!</v>
      </c>
      <c r="T44" s="60" t="e">
        <f t="shared" ref="T44:T47" si="100">H44*1.17</f>
        <v>#REF!</v>
      </c>
      <c r="U44" s="60" t="e">
        <f t="shared" ref="U44:U46" si="101">I44*1.17</f>
        <v>#REF!</v>
      </c>
      <c r="V44" s="60" t="e">
        <f t="shared" ref="V44:V47" si="102">J44*1.17</f>
        <v>#REF!</v>
      </c>
      <c r="W44" s="60" t="e">
        <f t="shared" ref="W44:W46" si="103">K44*1.17</f>
        <v>#REF!</v>
      </c>
      <c r="X44" s="60" t="e">
        <f t="shared" ref="X44:X47" si="104">L44*1.17</f>
        <v>#REF!</v>
      </c>
      <c r="Y44" s="60" t="e">
        <f t="shared" ref="Y44:Y46" si="105">M44*1.17</f>
        <v>#REF!</v>
      </c>
      <c r="Z44" s="60" t="e">
        <f t="shared" ref="Z44:Z47" si="106">N44*1.17</f>
        <v>#REF!</v>
      </c>
      <c r="AA44" s="60" t="e">
        <f t="shared" si="89"/>
        <v>#REF!</v>
      </c>
      <c r="AB44" s="60" t="e">
        <f t="shared" si="66"/>
        <v>#REF!</v>
      </c>
      <c r="AC44" s="83"/>
      <c r="AD44" s="70" t="e">
        <f>#REF!*2000</f>
        <v>#REF!</v>
      </c>
    </row>
    <row r="45" spans="1:30" ht="60" customHeight="1" x14ac:dyDescent="0.3">
      <c r="B45" s="69">
        <v>16</v>
      </c>
      <c r="C45" s="63" t="s">
        <v>54</v>
      </c>
      <c r="D45" s="80" t="s">
        <v>112</v>
      </c>
      <c r="E45" s="63" t="e">
        <f>#REF!</f>
        <v>#REF!</v>
      </c>
      <c r="F45" s="63" t="e">
        <f>#REF!+4000-#REF!+#REF!</f>
        <v>#REF!</v>
      </c>
      <c r="G45" s="62" t="e">
        <f>#REF!</f>
        <v>#REF!</v>
      </c>
      <c r="H45" s="62" t="e">
        <f>#REF!</f>
        <v>#REF!</v>
      </c>
      <c r="I45" s="62" t="e">
        <f t="shared" si="90"/>
        <v>#REF!</v>
      </c>
      <c r="J45" s="62" t="e">
        <f t="shared" si="91"/>
        <v>#REF!</v>
      </c>
      <c r="K45" s="62" t="e">
        <f t="shared" si="92"/>
        <v>#REF!</v>
      </c>
      <c r="L45" s="62" t="e">
        <f t="shared" si="93"/>
        <v>#REF!</v>
      </c>
      <c r="M45" s="62" t="e">
        <f t="shared" si="94"/>
        <v>#REF!</v>
      </c>
      <c r="N45" s="62" t="e">
        <f t="shared" si="95"/>
        <v>#REF!</v>
      </c>
      <c r="O45" s="62" t="e">
        <f t="shared" si="96"/>
        <v>#REF!</v>
      </c>
      <c r="P45" s="62" t="e">
        <f t="shared" si="97"/>
        <v>#REF!</v>
      </c>
      <c r="Q45" s="60" t="e">
        <f t="shared" si="98"/>
        <v>#REF!</v>
      </c>
      <c r="R45" s="60" t="e">
        <f t="shared" ref="R45:R47" si="107">F45*1.17</f>
        <v>#REF!</v>
      </c>
      <c r="S45" s="60" t="e">
        <f t="shared" si="99"/>
        <v>#REF!</v>
      </c>
      <c r="T45" s="60" t="e">
        <f t="shared" si="100"/>
        <v>#REF!</v>
      </c>
      <c r="U45" s="60" t="e">
        <f t="shared" si="101"/>
        <v>#REF!</v>
      </c>
      <c r="V45" s="60" t="e">
        <f t="shared" si="102"/>
        <v>#REF!</v>
      </c>
      <c r="W45" s="60" t="e">
        <f t="shared" si="103"/>
        <v>#REF!</v>
      </c>
      <c r="X45" s="60" t="e">
        <f t="shared" si="104"/>
        <v>#REF!</v>
      </c>
      <c r="Y45" s="60" t="e">
        <f t="shared" si="105"/>
        <v>#REF!</v>
      </c>
      <c r="Z45" s="60" t="e">
        <f t="shared" si="106"/>
        <v>#REF!</v>
      </c>
      <c r="AA45" s="60" t="e">
        <f t="shared" si="89"/>
        <v>#REF!</v>
      </c>
      <c r="AB45" s="60" t="e">
        <f t="shared" si="66"/>
        <v>#REF!</v>
      </c>
      <c r="AC45" s="83"/>
      <c r="AD45" s="70" t="e">
        <f>#REF!*2000</f>
        <v>#REF!</v>
      </c>
    </row>
    <row r="46" spans="1:30" ht="60" customHeight="1" x14ac:dyDescent="0.3">
      <c r="B46" s="69">
        <v>17</v>
      </c>
      <c r="C46" s="63" t="s">
        <v>55</v>
      </c>
      <c r="D46" s="80" t="s">
        <v>113</v>
      </c>
      <c r="E46" s="63" t="e">
        <f>#REF!</f>
        <v>#REF!</v>
      </c>
      <c r="F46" s="63" t="e">
        <f>#REF!-#REF!+#REF!</f>
        <v>#REF!</v>
      </c>
      <c r="G46" s="62" t="e">
        <f>#REF!</f>
        <v>#REF!</v>
      </c>
      <c r="H46" s="62" t="e">
        <f>#REF!</f>
        <v>#REF!</v>
      </c>
      <c r="I46" s="62" t="e">
        <f t="shared" si="90"/>
        <v>#REF!</v>
      </c>
      <c r="J46" s="62" t="e">
        <f t="shared" si="91"/>
        <v>#REF!</v>
      </c>
      <c r="K46" s="62" t="e">
        <f t="shared" si="92"/>
        <v>#REF!</v>
      </c>
      <c r="L46" s="62" t="e">
        <f t="shared" si="93"/>
        <v>#REF!</v>
      </c>
      <c r="M46" s="62" t="e">
        <f t="shared" si="94"/>
        <v>#REF!</v>
      </c>
      <c r="N46" s="62" t="e">
        <f t="shared" si="95"/>
        <v>#REF!</v>
      </c>
      <c r="O46" s="62" t="e">
        <f t="shared" si="96"/>
        <v>#REF!</v>
      </c>
      <c r="P46" s="62" t="e">
        <f t="shared" si="97"/>
        <v>#REF!</v>
      </c>
      <c r="Q46" s="60" t="e">
        <f t="shared" si="98"/>
        <v>#REF!</v>
      </c>
      <c r="R46" s="60" t="e">
        <f t="shared" si="107"/>
        <v>#REF!</v>
      </c>
      <c r="S46" s="60" t="e">
        <f t="shared" si="99"/>
        <v>#REF!</v>
      </c>
      <c r="T46" s="60" t="e">
        <f t="shared" si="100"/>
        <v>#REF!</v>
      </c>
      <c r="U46" s="60" t="e">
        <f t="shared" si="101"/>
        <v>#REF!</v>
      </c>
      <c r="V46" s="60" t="e">
        <f t="shared" si="102"/>
        <v>#REF!</v>
      </c>
      <c r="W46" s="60" t="e">
        <f t="shared" si="103"/>
        <v>#REF!</v>
      </c>
      <c r="X46" s="60" t="e">
        <f t="shared" si="104"/>
        <v>#REF!</v>
      </c>
      <c r="Y46" s="60" t="e">
        <f t="shared" si="105"/>
        <v>#REF!</v>
      </c>
      <c r="Z46" s="60" t="e">
        <f t="shared" si="106"/>
        <v>#REF!</v>
      </c>
      <c r="AA46" s="60" t="e">
        <f t="shared" si="89"/>
        <v>#REF!</v>
      </c>
      <c r="AB46" s="60" t="e">
        <f t="shared" si="66"/>
        <v>#REF!</v>
      </c>
      <c r="AC46" s="83"/>
      <c r="AD46" s="70" t="e">
        <f>#REF!*2000</f>
        <v>#REF!</v>
      </c>
    </row>
    <row r="47" spans="1:30" s="22" customFormat="1" ht="60" customHeight="1" x14ac:dyDescent="0.3">
      <c r="A47" s="61"/>
      <c r="B47" s="69">
        <v>18</v>
      </c>
      <c r="C47" s="63" t="s">
        <v>64</v>
      </c>
      <c r="D47" s="80" t="s">
        <v>114</v>
      </c>
      <c r="E47" s="63" t="e">
        <f>#REF!</f>
        <v>#REF!</v>
      </c>
      <c r="F47" s="63" t="e">
        <f>#REF!-#REF!+#REF!</f>
        <v>#REF!</v>
      </c>
      <c r="G47" s="62" t="e">
        <f>#REF!</f>
        <v>#REF!</v>
      </c>
      <c r="H47" s="62" t="e">
        <f>#REF!</f>
        <v>#REF!</v>
      </c>
      <c r="I47" s="62" t="e">
        <f t="shared" si="90"/>
        <v>#REF!</v>
      </c>
      <c r="J47" s="62" t="e">
        <f t="shared" si="91"/>
        <v>#REF!</v>
      </c>
      <c r="K47" s="62" t="e">
        <f t="shared" si="92"/>
        <v>#REF!</v>
      </c>
      <c r="L47" s="62" t="e">
        <f t="shared" si="93"/>
        <v>#REF!</v>
      </c>
      <c r="M47" s="62" t="e">
        <f t="shared" si="94"/>
        <v>#REF!</v>
      </c>
      <c r="N47" s="62" t="e">
        <f t="shared" si="95"/>
        <v>#REF!</v>
      </c>
      <c r="O47" s="62" t="e">
        <f t="shared" si="96"/>
        <v>#REF!</v>
      </c>
      <c r="P47" s="62" t="e">
        <f t="shared" si="97"/>
        <v>#REF!</v>
      </c>
      <c r="Q47" s="60" t="e">
        <f t="shared" si="98"/>
        <v>#REF!</v>
      </c>
      <c r="R47" s="60" t="e">
        <f t="shared" si="107"/>
        <v>#REF!</v>
      </c>
      <c r="S47" s="60"/>
      <c r="T47" s="60" t="e">
        <f t="shared" si="100"/>
        <v>#REF!</v>
      </c>
      <c r="U47" s="60"/>
      <c r="V47" s="60" t="e">
        <f t="shared" si="102"/>
        <v>#REF!</v>
      </c>
      <c r="W47" s="60"/>
      <c r="X47" s="60" t="e">
        <f t="shared" si="104"/>
        <v>#REF!</v>
      </c>
      <c r="Y47" s="60"/>
      <c r="Z47" s="60" t="e">
        <f t="shared" si="106"/>
        <v>#REF!</v>
      </c>
      <c r="AA47" s="60"/>
      <c r="AB47" s="60" t="e">
        <f t="shared" si="66"/>
        <v>#REF!</v>
      </c>
      <c r="AC47" s="83" t="s">
        <v>130</v>
      </c>
      <c r="AD47" s="70" t="e">
        <f>#REF!*2000</f>
        <v>#REF!</v>
      </c>
    </row>
    <row r="48" spans="1:30" s="78" customFormat="1" ht="60" customHeight="1" x14ac:dyDescent="0.3">
      <c r="B48" s="79">
        <v>19</v>
      </c>
      <c r="C48" s="80" t="s">
        <v>94</v>
      </c>
      <c r="D48" s="80" t="s">
        <v>115</v>
      </c>
      <c r="E48" s="80" t="e">
        <f>#REF!</f>
        <v>#REF!</v>
      </c>
      <c r="F48" s="80" t="e">
        <f>#REF!-#REF!+#REF!</f>
        <v>#REF!</v>
      </c>
      <c r="G48" s="62" t="e">
        <f>#REF!</f>
        <v>#REF!</v>
      </c>
      <c r="H48" s="62" t="e">
        <f>#REF!</f>
        <v>#REF!</v>
      </c>
      <c r="I48" s="62" t="e">
        <f t="shared" ref="I48" si="108">G48+(200*30)</f>
        <v>#REF!</v>
      </c>
      <c r="J48" s="62" t="e">
        <f t="shared" ref="J48" si="109">H48+(200*30)</f>
        <v>#REF!</v>
      </c>
      <c r="K48" s="62" t="e">
        <f t="shared" ref="K48" si="110">G48+(500*30)</f>
        <v>#REF!</v>
      </c>
      <c r="L48" s="62" t="e">
        <f t="shared" ref="L48" si="111">H48+(500*30)</f>
        <v>#REF!</v>
      </c>
      <c r="M48" s="62" t="e">
        <f t="shared" ref="M48" si="112">G48+(800*30)</f>
        <v>#REF!</v>
      </c>
      <c r="N48" s="62" t="e">
        <f t="shared" ref="N48" si="113">H48+(800*30)</f>
        <v>#REF!</v>
      </c>
      <c r="O48" s="62" t="e">
        <f t="shared" ref="O48" si="114">G48+(1200*30)</f>
        <v>#REF!</v>
      </c>
      <c r="P48" s="62" t="e">
        <f t="shared" ref="P48" si="115">H48+(1200*30)</f>
        <v>#REF!</v>
      </c>
      <c r="Q48" s="60" t="e">
        <f t="shared" ref="Q48" si="116">E48*1.17</f>
        <v>#REF!</v>
      </c>
      <c r="R48" s="60" t="e">
        <f t="shared" ref="R48" si="117">F48*1.17</f>
        <v>#REF!</v>
      </c>
      <c r="S48" s="60"/>
      <c r="T48" s="60" t="e">
        <f t="shared" ref="T48" si="118">H48*1.17</f>
        <v>#REF!</v>
      </c>
      <c r="U48" s="60"/>
      <c r="V48" s="60" t="e">
        <f t="shared" ref="V48" si="119">J48*1.17</f>
        <v>#REF!</v>
      </c>
      <c r="W48" s="60"/>
      <c r="X48" s="60" t="e">
        <f t="shared" ref="X48" si="120">L48*1.17</f>
        <v>#REF!</v>
      </c>
      <c r="Y48" s="60"/>
      <c r="Z48" s="60" t="e">
        <f t="shared" ref="Z48" si="121">N48*1.17</f>
        <v>#REF!</v>
      </c>
      <c r="AA48" s="60"/>
      <c r="AB48" s="60" t="e">
        <f t="shared" ref="AB48" si="122">P48*1.17</f>
        <v>#REF!</v>
      </c>
      <c r="AC48" s="83" t="s">
        <v>130</v>
      </c>
      <c r="AD48" s="70" t="e">
        <f>#REF!*2000</f>
        <v>#REF!</v>
      </c>
    </row>
    <row r="49" spans="1:30" ht="31.8" x14ac:dyDescent="0.3">
      <c r="B49" s="184" t="s">
        <v>40</v>
      </c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202"/>
    </row>
    <row r="50" spans="1:30" ht="60" customHeight="1" x14ac:dyDescent="0.3">
      <c r="B50" s="69">
        <v>20</v>
      </c>
      <c r="C50" s="63" t="s">
        <v>56</v>
      </c>
      <c r="D50" s="80" t="s">
        <v>116</v>
      </c>
      <c r="E50" s="63" t="e">
        <f>#REF!</f>
        <v>#REF!</v>
      </c>
      <c r="F50" s="63" t="e">
        <f>#REF!</f>
        <v>#REF!</v>
      </c>
      <c r="G50" s="62" t="e">
        <f>#REF!</f>
        <v>#REF!</v>
      </c>
      <c r="H50" s="62" t="e">
        <f>#REF!</f>
        <v>#REF!</v>
      </c>
      <c r="I50" s="62" t="e">
        <f>G50+(200*33)</f>
        <v>#REF!</v>
      </c>
      <c r="J50" s="62" t="e">
        <f>H50+(200*33)</f>
        <v>#REF!</v>
      </c>
      <c r="K50" s="62" t="e">
        <f>G50+(500*33)</f>
        <v>#REF!</v>
      </c>
      <c r="L50" s="62" t="e">
        <f>H50+(500*33)</f>
        <v>#REF!</v>
      </c>
      <c r="M50" s="62" t="e">
        <f>G50+(800*33)</f>
        <v>#REF!</v>
      </c>
      <c r="N50" s="62" t="e">
        <f>H50+(800*33)</f>
        <v>#REF!</v>
      </c>
      <c r="O50" s="62" t="e">
        <f>G50+(1200*33)</f>
        <v>#REF!</v>
      </c>
      <c r="P50" s="62" t="e">
        <f>H50+(1200*33)</f>
        <v>#REF!</v>
      </c>
      <c r="Q50" s="60" t="e">
        <f t="shared" ref="Q50:AB50" si="123">E50*1.13</f>
        <v>#REF!</v>
      </c>
      <c r="R50" s="60" t="e">
        <f t="shared" si="123"/>
        <v>#REF!</v>
      </c>
      <c r="S50" s="60" t="e">
        <f t="shared" si="123"/>
        <v>#REF!</v>
      </c>
      <c r="T50" s="60" t="e">
        <f t="shared" si="123"/>
        <v>#REF!</v>
      </c>
      <c r="U50" s="60" t="e">
        <f t="shared" si="123"/>
        <v>#REF!</v>
      </c>
      <c r="V50" s="60" t="e">
        <f t="shared" si="123"/>
        <v>#REF!</v>
      </c>
      <c r="W50" s="60" t="e">
        <f t="shared" si="123"/>
        <v>#REF!</v>
      </c>
      <c r="X50" s="60" t="e">
        <f t="shared" si="123"/>
        <v>#REF!</v>
      </c>
      <c r="Y50" s="60" t="e">
        <f t="shared" si="123"/>
        <v>#REF!</v>
      </c>
      <c r="Z50" s="60" t="e">
        <f t="shared" si="123"/>
        <v>#REF!</v>
      </c>
      <c r="AA50" s="60" t="e">
        <f t="shared" si="123"/>
        <v>#REF!</v>
      </c>
      <c r="AB50" s="60" t="e">
        <f t="shared" si="123"/>
        <v>#REF!</v>
      </c>
      <c r="AC50" s="83"/>
      <c r="AD50" s="70" t="e">
        <f>#REF!*2000</f>
        <v>#REF!</v>
      </c>
    </row>
    <row r="51" spans="1:30" ht="60" customHeight="1" x14ac:dyDescent="0.3">
      <c r="B51" s="69">
        <v>21</v>
      </c>
      <c r="C51" s="63" t="s">
        <v>57</v>
      </c>
      <c r="D51" s="80" t="s">
        <v>117</v>
      </c>
      <c r="E51" s="63" t="e">
        <f>#REF!</f>
        <v>#REF!</v>
      </c>
      <c r="F51" s="63" t="e">
        <f>#REF!-#REF!+#REF!</f>
        <v>#REF!</v>
      </c>
      <c r="G51" s="62" t="e">
        <f>#REF!</f>
        <v>#REF!</v>
      </c>
      <c r="H51" s="62" t="e">
        <f>#REF!</f>
        <v>#REF!</v>
      </c>
      <c r="I51" s="62" t="e">
        <f t="shared" ref="I51:I54" si="124">G51+(200*33)</f>
        <v>#REF!</v>
      </c>
      <c r="J51" s="62" t="e">
        <f t="shared" ref="J51:J54" si="125">H51+(200*33)</f>
        <v>#REF!</v>
      </c>
      <c r="K51" s="62" t="e">
        <f t="shared" ref="K51:K54" si="126">G51+(500*33)</f>
        <v>#REF!</v>
      </c>
      <c r="L51" s="62" t="e">
        <f t="shared" ref="L51:L54" si="127">H51+(500*33)</f>
        <v>#REF!</v>
      </c>
      <c r="M51" s="62" t="e">
        <f t="shared" ref="M51:M54" si="128">G51+(800*33)</f>
        <v>#REF!</v>
      </c>
      <c r="N51" s="62" t="e">
        <f t="shared" ref="N51:N54" si="129">H51+(800*33)</f>
        <v>#REF!</v>
      </c>
      <c r="O51" s="62" t="e">
        <f t="shared" ref="O51:O54" si="130">G51+(1200*33)</f>
        <v>#REF!</v>
      </c>
      <c r="P51" s="62" t="e">
        <f t="shared" ref="P51:P54" si="131">H51+(1200*33)</f>
        <v>#REF!</v>
      </c>
      <c r="Q51" s="60" t="e">
        <f t="shared" ref="Q51:Q54" si="132">E51*1.13</f>
        <v>#REF!</v>
      </c>
      <c r="R51" s="60" t="e">
        <f t="shared" ref="R51:R54" si="133">F51*1.13</f>
        <v>#REF!</v>
      </c>
      <c r="S51" s="60" t="e">
        <f t="shared" ref="S51:S52" si="134">G51*1.13</f>
        <v>#REF!</v>
      </c>
      <c r="T51" s="60" t="e">
        <f t="shared" ref="T51:T54" si="135">H51*1.13</f>
        <v>#REF!</v>
      </c>
      <c r="U51" s="60" t="e">
        <f t="shared" ref="U51:U52" si="136">I51*1.13</f>
        <v>#REF!</v>
      </c>
      <c r="V51" s="60" t="e">
        <f t="shared" ref="V51:V54" si="137">J51*1.13</f>
        <v>#REF!</v>
      </c>
      <c r="W51" s="60" t="e">
        <f t="shared" ref="W51:W52" si="138">K51*1.13</f>
        <v>#REF!</v>
      </c>
      <c r="X51" s="60" t="e">
        <f t="shared" ref="X51:X54" si="139">L51*1.13</f>
        <v>#REF!</v>
      </c>
      <c r="Y51" s="60" t="e">
        <f t="shared" ref="Y51:Y52" si="140">M51*1.13</f>
        <v>#REF!</v>
      </c>
      <c r="Z51" s="60" t="e">
        <f t="shared" ref="Z51:Z54" si="141">N51*1.13</f>
        <v>#REF!</v>
      </c>
      <c r="AA51" s="60" t="e">
        <f t="shared" ref="AA51:AA52" si="142">O51*1.13</f>
        <v>#REF!</v>
      </c>
      <c r="AB51" s="60" t="e">
        <f t="shared" ref="AB51:AB54" si="143">P51*1.13</f>
        <v>#REF!</v>
      </c>
      <c r="AC51" s="83"/>
      <c r="AD51" s="70" t="e">
        <f>#REF!*2000</f>
        <v>#REF!</v>
      </c>
    </row>
    <row r="52" spans="1:30" ht="60" customHeight="1" x14ac:dyDescent="0.3">
      <c r="B52" s="69">
        <v>22</v>
      </c>
      <c r="C52" s="63" t="s">
        <v>58</v>
      </c>
      <c r="D52" s="80" t="s">
        <v>118</v>
      </c>
      <c r="E52" s="63" t="e">
        <f>#REF!</f>
        <v>#REF!</v>
      </c>
      <c r="F52" s="63" t="e">
        <f>#REF!-#REF!+#REF!</f>
        <v>#REF!</v>
      </c>
      <c r="G52" s="62" t="e">
        <f>#REF!</f>
        <v>#REF!</v>
      </c>
      <c r="H52" s="62" t="e">
        <f>#REF!</f>
        <v>#REF!</v>
      </c>
      <c r="I52" s="62" t="e">
        <f t="shared" si="124"/>
        <v>#REF!</v>
      </c>
      <c r="J52" s="62" t="e">
        <f t="shared" si="125"/>
        <v>#REF!</v>
      </c>
      <c r="K52" s="62" t="e">
        <f t="shared" si="126"/>
        <v>#REF!</v>
      </c>
      <c r="L52" s="62" t="e">
        <f t="shared" si="127"/>
        <v>#REF!</v>
      </c>
      <c r="M52" s="62" t="e">
        <f t="shared" si="128"/>
        <v>#REF!</v>
      </c>
      <c r="N52" s="62" t="e">
        <f t="shared" si="129"/>
        <v>#REF!</v>
      </c>
      <c r="O52" s="62" t="e">
        <f t="shared" si="130"/>
        <v>#REF!</v>
      </c>
      <c r="P52" s="62" t="e">
        <f t="shared" si="131"/>
        <v>#REF!</v>
      </c>
      <c r="Q52" s="60" t="e">
        <f t="shared" si="132"/>
        <v>#REF!</v>
      </c>
      <c r="R52" s="60" t="e">
        <f t="shared" si="133"/>
        <v>#REF!</v>
      </c>
      <c r="S52" s="60" t="e">
        <f t="shared" si="134"/>
        <v>#REF!</v>
      </c>
      <c r="T52" s="60" t="e">
        <f t="shared" si="135"/>
        <v>#REF!</v>
      </c>
      <c r="U52" s="60" t="e">
        <f t="shared" si="136"/>
        <v>#REF!</v>
      </c>
      <c r="V52" s="60" t="e">
        <f t="shared" si="137"/>
        <v>#REF!</v>
      </c>
      <c r="W52" s="60" t="e">
        <f t="shared" si="138"/>
        <v>#REF!</v>
      </c>
      <c r="X52" s="60" t="e">
        <f t="shared" si="139"/>
        <v>#REF!</v>
      </c>
      <c r="Y52" s="60" t="e">
        <f t="shared" si="140"/>
        <v>#REF!</v>
      </c>
      <c r="Z52" s="60" t="e">
        <f t="shared" si="141"/>
        <v>#REF!</v>
      </c>
      <c r="AA52" s="60" t="e">
        <f t="shared" si="142"/>
        <v>#REF!</v>
      </c>
      <c r="AB52" s="60" t="e">
        <f t="shared" si="143"/>
        <v>#REF!</v>
      </c>
      <c r="AC52" s="83"/>
      <c r="AD52" s="70" t="e">
        <f>#REF!*2000</f>
        <v>#REF!</v>
      </c>
    </row>
    <row r="53" spans="1:30" ht="60" customHeight="1" x14ac:dyDescent="0.3">
      <c r="B53" s="69">
        <v>23</v>
      </c>
      <c r="C53" s="63" t="s">
        <v>59</v>
      </c>
      <c r="D53" s="80" t="s">
        <v>119</v>
      </c>
      <c r="E53" s="63" t="e">
        <f>#REF!</f>
        <v>#REF!</v>
      </c>
      <c r="F53" s="63" t="e">
        <f>#REF!-#REF!+#REF!</f>
        <v>#REF!</v>
      </c>
      <c r="G53" s="62" t="e">
        <f>#REF!</f>
        <v>#REF!</v>
      </c>
      <c r="H53" s="62" t="e">
        <f>#REF!</f>
        <v>#REF!</v>
      </c>
      <c r="I53" s="62" t="e">
        <f t="shared" si="124"/>
        <v>#REF!</v>
      </c>
      <c r="J53" s="62" t="e">
        <f t="shared" si="125"/>
        <v>#REF!</v>
      </c>
      <c r="K53" s="62" t="e">
        <f t="shared" si="126"/>
        <v>#REF!</v>
      </c>
      <c r="L53" s="62" t="e">
        <f t="shared" si="127"/>
        <v>#REF!</v>
      </c>
      <c r="M53" s="62" t="e">
        <f t="shared" si="128"/>
        <v>#REF!</v>
      </c>
      <c r="N53" s="62" t="e">
        <f t="shared" si="129"/>
        <v>#REF!</v>
      </c>
      <c r="O53" s="62" t="e">
        <f t="shared" si="130"/>
        <v>#REF!</v>
      </c>
      <c r="P53" s="62" t="e">
        <f t="shared" si="131"/>
        <v>#REF!</v>
      </c>
      <c r="Q53" s="60" t="e">
        <f t="shared" si="132"/>
        <v>#REF!</v>
      </c>
      <c r="R53" s="60" t="e">
        <f t="shared" si="133"/>
        <v>#REF!</v>
      </c>
      <c r="S53" s="60"/>
      <c r="T53" s="60" t="e">
        <f t="shared" si="135"/>
        <v>#REF!</v>
      </c>
      <c r="U53" s="60"/>
      <c r="V53" s="60" t="e">
        <f t="shared" si="137"/>
        <v>#REF!</v>
      </c>
      <c r="W53" s="60"/>
      <c r="X53" s="60" t="e">
        <f t="shared" si="139"/>
        <v>#REF!</v>
      </c>
      <c r="Y53" s="60"/>
      <c r="Z53" s="60" t="e">
        <f t="shared" si="141"/>
        <v>#REF!</v>
      </c>
      <c r="AA53" s="60"/>
      <c r="AB53" s="60" t="e">
        <f t="shared" si="143"/>
        <v>#REF!</v>
      </c>
      <c r="AC53" s="83"/>
      <c r="AD53" s="70" t="e">
        <f>#REF!*2000</f>
        <v>#REF!</v>
      </c>
    </row>
    <row r="54" spans="1:30" s="22" customFormat="1" ht="60" customHeight="1" x14ac:dyDescent="0.3">
      <c r="A54" s="61"/>
      <c r="B54" s="69">
        <v>24</v>
      </c>
      <c r="C54" s="63" t="s">
        <v>65</v>
      </c>
      <c r="D54" s="80" t="s">
        <v>120</v>
      </c>
      <c r="E54" s="63" t="e">
        <f>#REF!</f>
        <v>#REF!</v>
      </c>
      <c r="F54" s="63" t="e">
        <f>#REF!-#REF!+#REF!</f>
        <v>#REF!</v>
      </c>
      <c r="G54" s="62" t="e">
        <f>#REF!</f>
        <v>#REF!</v>
      </c>
      <c r="H54" s="62" t="e">
        <f>#REF!</f>
        <v>#REF!</v>
      </c>
      <c r="I54" s="62" t="e">
        <f t="shared" si="124"/>
        <v>#REF!</v>
      </c>
      <c r="J54" s="62" t="e">
        <f t="shared" si="125"/>
        <v>#REF!</v>
      </c>
      <c r="K54" s="62" t="e">
        <f t="shared" si="126"/>
        <v>#REF!</v>
      </c>
      <c r="L54" s="62" t="e">
        <f t="shared" si="127"/>
        <v>#REF!</v>
      </c>
      <c r="M54" s="62" t="e">
        <f t="shared" si="128"/>
        <v>#REF!</v>
      </c>
      <c r="N54" s="62" t="e">
        <f t="shared" si="129"/>
        <v>#REF!</v>
      </c>
      <c r="O54" s="62" t="e">
        <f t="shared" si="130"/>
        <v>#REF!</v>
      </c>
      <c r="P54" s="62" t="e">
        <f t="shared" si="131"/>
        <v>#REF!</v>
      </c>
      <c r="Q54" s="60" t="e">
        <f t="shared" si="132"/>
        <v>#REF!</v>
      </c>
      <c r="R54" s="60" t="e">
        <f t="shared" si="133"/>
        <v>#REF!</v>
      </c>
      <c r="S54" s="60"/>
      <c r="T54" s="60" t="e">
        <f t="shared" si="135"/>
        <v>#REF!</v>
      </c>
      <c r="U54" s="60"/>
      <c r="V54" s="60" t="e">
        <f t="shared" si="137"/>
        <v>#REF!</v>
      </c>
      <c r="W54" s="60"/>
      <c r="X54" s="60" t="e">
        <f t="shared" si="139"/>
        <v>#REF!</v>
      </c>
      <c r="Y54" s="60"/>
      <c r="Z54" s="60" t="e">
        <f t="shared" si="141"/>
        <v>#REF!</v>
      </c>
      <c r="AA54" s="60"/>
      <c r="AB54" s="60" t="e">
        <f t="shared" si="143"/>
        <v>#REF!</v>
      </c>
      <c r="AC54" s="83" t="s">
        <v>131</v>
      </c>
      <c r="AD54" s="70" t="e">
        <f>#REF!*2000</f>
        <v>#REF!</v>
      </c>
    </row>
    <row r="55" spans="1:30" s="78" customFormat="1" ht="60" customHeight="1" x14ac:dyDescent="0.3">
      <c r="B55" s="79">
        <v>25</v>
      </c>
      <c r="C55" s="80" t="s">
        <v>95</v>
      </c>
      <c r="D55" s="80" t="s">
        <v>121</v>
      </c>
      <c r="E55" s="80" t="e">
        <f>#REF!</f>
        <v>#REF!</v>
      </c>
      <c r="F55" s="80" t="e">
        <f>#REF!-#REF!+#REF!</f>
        <v>#REF!</v>
      </c>
      <c r="G55" s="62" t="e">
        <f>#REF!</f>
        <v>#REF!</v>
      </c>
      <c r="H55" s="62" t="e">
        <f>#REF!</f>
        <v>#REF!</v>
      </c>
      <c r="I55" s="62" t="e">
        <f t="shared" ref="I55" si="144">G55+(200*33)</f>
        <v>#REF!</v>
      </c>
      <c r="J55" s="62" t="e">
        <f t="shared" ref="J55" si="145">H55+(200*33)</f>
        <v>#REF!</v>
      </c>
      <c r="K55" s="62" t="e">
        <f t="shared" ref="K55" si="146">G55+(500*33)</f>
        <v>#REF!</v>
      </c>
      <c r="L55" s="62" t="e">
        <f t="shared" ref="L55" si="147">H55+(500*33)</f>
        <v>#REF!</v>
      </c>
      <c r="M55" s="62" t="e">
        <f t="shared" ref="M55" si="148">G55+(800*33)</f>
        <v>#REF!</v>
      </c>
      <c r="N55" s="62" t="e">
        <f t="shared" ref="N55" si="149">H55+(800*33)</f>
        <v>#REF!</v>
      </c>
      <c r="O55" s="62" t="e">
        <f t="shared" ref="O55" si="150">G55+(1200*33)</f>
        <v>#REF!</v>
      </c>
      <c r="P55" s="62" t="e">
        <f t="shared" ref="P55" si="151">H55+(1200*33)</f>
        <v>#REF!</v>
      </c>
      <c r="Q55" s="60" t="e">
        <f t="shared" ref="Q55" si="152">E55*1.13</f>
        <v>#REF!</v>
      </c>
      <c r="R55" s="60" t="e">
        <f t="shared" ref="R55" si="153">F55*1.13</f>
        <v>#REF!</v>
      </c>
      <c r="S55" s="60"/>
      <c r="T55" s="60" t="e">
        <f t="shared" ref="T55" si="154">H55*1.13</f>
        <v>#REF!</v>
      </c>
      <c r="U55" s="60"/>
      <c r="V55" s="60" t="e">
        <f t="shared" ref="V55" si="155">J55*1.13</f>
        <v>#REF!</v>
      </c>
      <c r="W55" s="60"/>
      <c r="X55" s="60" t="e">
        <f t="shared" ref="X55" si="156">L55*1.13</f>
        <v>#REF!</v>
      </c>
      <c r="Y55" s="60"/>
      <c r="Z55" s="60" t="e">
        <f t="shared" ref="Z55" si="157">N55*1.13</f>
        <v>#REF!</v>
      </c>
      <c r="AA55" s="60"/>
      <c r="AB55" s="60" t="e">
        <f t="shared" ref="AB55" si="158">P55*1.13</f>
        <v>#REF!</v>
      </c>
      <c r="AC55" s="83" t="s">
        <v>131</v>
      </c>
      <c r="AD55" s="70" t="e">
        <f>#REF!*2000</f>
        <v>#REF!</v>
      </c>
    </row>
    <row r="56" spans="1:30" ht="31.8" x14ac:dyDescent="0.3">
      <c r="B56" s="184" t="s">
        <v>39</v>
      </c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  <c r="AB56" s="185"/>
      <c r="AC56" s="185"/>
      <c r="AD56" s="202"/>
    </row>
    <row r="57" spans="1:30" ht="60" customHeight="1" x14ac:dyDescent="0.3">
      <c r="B57" s="69">
        <v>26</v>
      </c>
      <c r="C57" s="63" t="s">
        <v>60</v>
      </c>
      <c r="D57" s="80" t="s">
        <v>122</v>
      </c>
      <c r="E57" s="63" t="e">
        <f>#REF!</f>
        <v>#REF!</v>
      </c>
      <c r="F57" s="63" t="e">
        <f>#REF!</f>
        <v>#REF!</v>
      </c>
      <c r="G57" s="62" t="e">
        <f>#REF!</f>
        <v>#REF!</v>
      </c>
      <c r="H57" s="62" t="e">
        <f>#REF!</f>
        <v>#REF!</v>
      </c>
      <c r="I57" s="62" t="e">
        <f>G57+(200*33)</f>
        <v>#REF!</v>
      </c>
      <c r="J57" s="62" t="e">
        <f>H57+(200*33)</f>
        <v>#REF!</v>
      </c>
      <c r="K57" s="62" t="e">
        <f>G57+(500*33)</f>
        <v>#REF!</v>
      </c>
      <c r="L57" s="62" t="e">
        <f>H57+(500*33)</f>
        <v>#REF!</v>
      </c>
      <c r="M57" s="62" t="e">
        <f>G57+(800*33)</f>
        <v>#REF!</v>
      </c>
      <c r="N57" s="62" t="e">
        <f>H57+(800*33)</f>
        <v>#REF!</v>
      </c>
      <c r="O57" s="62" t="e">
        <f>G57+(1200*33)</f>
        <v>#REF!</v>
      </c>
      <c r="P57" s="62" t="e">
        <f>H57+(1200*33)</f>
        <v>#REF!</v>
      </c>
      <c r="Q57" s="60" t="e">
        <f t="shared" ref="Q57:AB57" si="159">E57*1.12</f>
        <v>#REF!</v>
      </c>
      <c r="R57" s="60" t="e">
        <f t="shared" si="159"/>
        <v>#REF!</v>
      </c>
      <c r="S57" s="60" t="e">
        <f t="shared" si="159"/>
        <v>#REF!</v>
      </c>
      <c r="T57" s="60" t="e">
        <f t="shared" si="159"/>
        <v>#REF!</v>
      </c>
      <c r="U57" s="60" t="e">
        <f t="shared" si="159"/>
        <v>#REF!</v>
      </c>
      <c r="V57" s="60" t="e">
        <f t="shared" si="159"/>
        <v>#REF!</v>
      </c>
      <c r="W57" s="60" t="e">
        <f t="shared" si="159"/>
        <v>#REF!</v>
      </c>
      <c r="X57" s="60" t="e">
        <f t="shared" si="159"/>
        <v>#REF!</v>
      </c>
      <c r="Y57" s="60" t="e">
        <f t="shared" si="159"/>
        <v>#REF!</v>
      </c>
      <c r="Z57" s="60" t="e">
        <f t="shared" si="159"/>
        <v>#REF!</v>
      </c>
      <c r="AA57" s="60" t="e">
        <f t="shared" si="159"/>
        <v>#REF!</v>
      </c>
      <c r="AB57" s="60" t="e">
        <f t="shared" si="159"/>
        <v>#REF!</v>
      </c>
      <c r="AC57" s="83"/>
      <c r="AD57" s="70" t="e">
        <f>#REF!*2000</f>
        <v>#REF!</v>
      </c>
    </row>
    <row r="58" spans="1:30" ht="60" customHeight="1" x14ac:dyDescent="0.3">
      <c r="B58" s="69">
        <v>27</v>
      </c>
      <c r="C58" s="63" t="s">
        <v>61</v>
      </c>
      <c r="D58" s="80" t="s">
        <v>123</v>
      </c>
      <c r="E58" s="63" t="e">
        <f>#REF!</f>
        <v>#REF!</v>
      </c>
      <c r="F58" s="63" t="e">
        <f>#REF!-#REF!+#REF!</f>
        <v>#REF!</v>
      </c>
      <c r="G58" s="62" t="e">
        <f>#REF!</f>
        <v>#REF!</v>
      </c>
      <c r="H58" s="62" t="e">
        <f>#REF!</f>
        <v>#REF!</v>
      </c>
      <c r="I58" s="62" t="e">
        <f t="shared" ref="I58:I60" si="160">G58+(200*33)</f>
        <v>#REF!</v>
      </c>
      <c r="J58" s="62" t="e">
        <f t="shared" ref="J58:J60" si="161">H58+(200*33)</f>
        <v>#REF!</v>
      </c>
      <c r="K58" s="62" t="e">
        <f t="shared" ref="K58:K60" si="162">G58+(500*33)</f>
        <v>#REF!</v>
      </c>
      <c r="L58" s="62" t="e">
        <f t="shared" ref="L58:L60" si="163">H58+(500*33)</f>
        <v>#REF!</v>
      </c>
      <c r="M58" s="62" t="e">
        <f t="shared" ref="M58:M60" si="164">G58+(800*33)</f>
        <v>#REF!</v>
      </c>
      <c r="N58" s="62" t="e">
        <f t="shared" ref="N58:N60" si="165">H58+(800*33)</f>
        <v>#REF!</v>
      </c>
      <c r="O58" s="62" t="e">
        <f t="shared" ref="O58:O60" si="166">G58+(1200*33)</f>
        <v>#REF!</v>
      </c>
      <c r="P58" s="62" t="e">
        <f t="shared" ref="P58:P60" si="167">H58+(1200*33)</f>
        <v>#REF!</v>
      </c>
      <c r="Q58" s="60" t="e">
        <f t="shared" ref="Q58:Q60" si="168">E58*1.12</f>
        <v>#REF!</v>
      </c>
      <c r="R58" s="60" t="e">
        <f t="shared" ref="R58:R60" si="169">F58*1.12</f>
        <v>#REF!</v>
      </c>
      <c r="S58" s="60" t="e">
        <f t="shared" ref="S58:S59" si="170">G58*1.12</f>
        <v>#REF!</v>
      </c>
      <c r="T58" s="60" t="e">
        <f t="shared" ref="T58:T60" si="171">H58*1.12</f>
        <v>#REF!</v>
      </c>
      <c r="U58" s="60" t="e">
        <f t="shared" ref="U58:U59" si="172">I58*1.12</f>
        <v>#REF!</v>
      </c>
      <c r="V58" s="60" t="e">
        <f t="shared" ref="V58:V60" si="173">J58*1.12</f>
        <v>#REF!</v>
      </c>
      <c r="W58" s="60" t="e">
        <f t="shared" ref="W58:W59" si="174">K58*1.12</f>
        <v>#REF!</v>
      </c>
      <c r="X58" s="60" t="e">
        <f t="shared" ref="X58:X60" si="175">L58*1.12</f>
        <v>#REF!</v>
      </c>
      <c r="Y58" s="60" t="e">
        <f t="shared" ref="Y58:Y59" si="176">M58*1.12</f>
        <v>#REF!</v>
      </c>
      <c r="Z58" s="60" t="e">
        <f t="shared" ref="Z58:Z60" si="177">N58*1.12</f>
        <v>#REF!</v>
      </c>
      <c r="AA58" s="60" t="e">
        <f t="shared" ref="AA58:AA59" si="178">O58*1.12</f>
        <v>#REF!</v>
      </c>
      <c r="AB58" s="60" t="e">
        <f t="shared" ref="AB58:AB60" si="179">P58*1.12</f>
        <v>#REF!</v>
      </c>
      <c r="AC58" s="83"/>
      <c r="AD58" s="70" t="e">
        <f>#REF!*2000</f>
        <v>#REF!</v>
      </c>
    </row>
    <row r="59" spans="1:30" ht="60" customHeight="1" x14ac:dyDescent="0.3">
      <c r="B59" s="69">
        <v>28</v>
      </c>
      <c r="C59" s="63" t="s">
        <v>62</v>
      </c>
      <c r="D59" s="80" t="s">
        <v>124</v>
      </c>
      <c r="E59" s="63" t="e">
        <f>#REF!</f>
        <v>#REF!</v>
      </c>
      <c r="F59" s="63" t="e">
        <f>#REF!-#REF!+#REF!</f>
        <v>#REF!</v>
      </c>
      <c r="G59" s="62" t="e">
        <f>#REF!</f>
        <v>#REF!</v>
      </c>
      <c r="H59" s="62" t="e">
        <f>#REF!</f>
        <v>#REF!</v>
      </c>
      <c r="I59" s="62" t="e">
        <f t="shared" si="160"/>
        <v>#REF!</v>
      </c>
      <c r="J59" s="62" t="e">
        <f t="shared" si="161"/>
        <v>#REF!</v>
      </c>
      <c r="K59" s="62" t="e">
        <f t="shared" si="162"/>
        <v>#REF!</v>
      </c>
      <c r="L59" s="62" t="e">
        <f t="shared" si="163"/>
        <v>#REF!</v>
      </c>
      <c r="M59" s="62" t="e">
        <f t="shared" si="164"/>
        <v>#REF!</v>
      </c>
      <c r="N59" s="62" t="e">
        <f t="shared" si="165"/>
        <v>#REF!</v>
      </c>
      <c r="O59" s="62" t="e">
        <f t="shared" si="166"/>
        <v>#REF!</v>
      </c>
      <c r="P59" s="62" t="e">
        <f t="shared" si="167"/>
        <v>#REF!</v>
      </c>
      <c r="Q59" s="60" t="e">
        <f t="shared" si="168"/>
        <v>#REF!</v>
      </c>
      <c r="R59" s="60" t="e">
        <f t="shared" si="169"/>
        <v>#REF!</v>
      </c>
      <c r="S59" s="60" t="e">
        <f t="shared" si="170"/>
        <v>#REF!</v>
      </c>
      <c r="T59" s="60" t="e">
        <f t="shared" si="171"/>
        <v>#REF!</v>
      </c>
      <c r="U59" s="60" t="e">
        <f t="shared" si="172"/>
        <v>#REF!</v>
      </c>
      <c r="V59" s="60" t="e">
        <f t="shared" si="173"/>
        <v>#REF!</v>
      </c>
      <c r="W59" s="60" t="e">
        <f t="shared" si="174"/>
        <v>#REF!</v>
      </c>
      <c r="X59" s="60" t="e">
        <f t="shared" si="175"/>
        <v>#REF!</v>
      </c>
      <c r="Y59" s="60" t="e">
        <f t="shared" si="176"/>
        <v>#REF!</v>
      </c>
      <c r="Z59" s="60" t="e">
        <f t="shared" si="177"/>
        <v>#REF!</v>
      </c>
      <c r="AA59" s="60" t="e">
        <f t="shared" si="178"/>
        <v>#REF!</v>
      </c>
      <c r="AB59" s="60" t="e">
        <f t="shared" si="179"/>
        <v>#REF!</v>
      </c>
      <c r="AC59" s="83"/>
      <c r="AD59" s="70" t="e">
        <f>#REF!*2000</f>
        <v>#REF!</v>
      </c>
    </row>
    <row r="60" spans="1:30" ht="60" customHeight="1" thickBot="1" x14ac:dyDescent="0.35">
      <c r="B60" s="72">
        <v>29</v>
      </c>
      <c r="C60" s="73" t="s">
        <v>63</v>
      </c>
      <c r="D60" s="73" t="s">
        <v>125</v>
      </c>
      <c r="E60" s="73" t="e">
        <f>#REF!</f>
        <v>#REF!</v>
      </c>
      <c r="F60" s="73" t="e">
        <f>#REF!-#REF!+#REF!</f>
        <v>#REF!</v>
      </c>
      <c r="G60" s="74" t="e">
        <f>#REF!</f>
        <v>#REF!</v>
      </c>
      <c r="H60" s="74" t="e">
        <f>#REF!</f>
        <v>#REF!</v>
      </c>
      <c r="I60" s="74" t="e">
        <f t="shared" si="160"/>
        <v>#REF!</v>
      </c>
      <c r="J60" s="74" t="e">
        <f t="shared" si="161"/>
        <v>#REF!</v>
      </c>
      <c r="K60" s="74" t="e">
        <f t="shared" si="162"/>
        <v>#REF!</v>
      </c>
      <c r="L60" s="74" t="e">
        <f t="shared" si="163"/>
        <v>#REF!</v>
      </c>
      <c r="M60" s="74" t="e">
        <f t="shared" si="164"/>
        <v>#REF!</v>
      </c>
      <c r="N60" s="74" t="e">
        <f t="shared" si="165"/>
        <v>#REF!</v>
      </c>
      <c r="O60" s="74" t="e">
        <f t="shared" si="166"/>
        <v>#REF!</v>
      </c>
      <c r="P60" s="74" t="e">
        <f t="shared" si="167"/>
        <v>#REF!</v>
      </c>
      <c r="Q60" s="75" t="e">
        <f t="shared" si="168"/>
        <v>#REF!</v>
      </c>
      <c r="R60" s="75" t="e">
        <f t="shared" si="169"/>
        <v>#REF!</v>
      </c>
      <c r="S60" s="75"/>
      <c r="T60" s="75" t="e">
        <f t="shared" si="171"/>
        <v>#REF!</v>
      </c>
      <c r="U60" s="75"/>
      <c r="V60" s="75" t="e">
        <f t="shared" si="173"/>
        <v>#REF!</v>
      </c>
      <c r="W60" s="75"/>
      <c r="X60" s="75" t="e">
        <f t="shared" si="175"/>
        <v>#REF!</v>
      </c>
      <c r="Y60" s="75"/>
      <c r="Z60" s="75" t="e">
        <f t="shared" si="177"/>
        <v>#REF!</v>
      </c>
      <c r="AA60" s="75"/>
      <c r="AB60" s="75" t="e">
        <f t="shared" si="179"/>
        <v>#REF!</v>
      </c>
      <c r="AC60" s="86"/>
      <c r="AD60" s="76" t="e">
        <f>#REF!*2000</f>
        <v>#REF!</v>
      </c>
    </row>
    <row r="61" spans="1:30" s="78" customFormat="1" ht="60" customHeight="1" thickBot="1" x14ac:dyDescent="0.35">
      <c r="B61" s="72">
        <v>30</v>
      </c>
      <c r="C61" s="73" t="s">
        <v>96</v>
      </c>
      <c r="D61" s="73" t="s">
        <v>125</v>
      </c>
      <c r="E61" s="73" t="e">
        <f>#REF!</f>
        <v>#REF!</v>
      </c>
      <c r="F61" s="73" t="e">
        <f>#REF!-#REF!+#REF!</f>
        <v>#REF!</v>
      </c>
      <c r="G61" s="74" t="e">
        <f>#REF!</f>
        <v>#REF!</v>
      </c>
      <c r="H61" s="74" t="e">
        <f>#REF!</f>
        <v>#REF!</v>
      </c>
      <c r="I61" s="74" t="e">
        <f t="shared" ref="I61" si="180">G61+(200*33)</f>
        <v>#REF!</v>
      </c>
      <c r="J61" s="74" t="e">
        <f t="shared" ref="J61" si="181">H61+(200*33)</f>
        <v>#REF!</v>
      </c>
      <c r="K61" s="74" t="e">
        <f t="shared" ref="K61" si="182">G61+(500*33)</f>
        <v>#REF!</v>
      </c>
      <c r="L61" s="74" t="e">
        <f t="shared" ref="L61" si="183">H61+(500*33)</f>
        <v>#REF!</v>
      </c>
      <c r="M61" s="74" t="e">
        <f t="shared" ref="M61" si="184">G61+(800*33)</f>
        <v>#REF!</v>
      </c>
      <c r="N61" s="74" t="e">
        <f t="shared" ref="N61" si="185">H61+(800*33)</f>
        <v>#REF!</v>
      </c>
      <c r="O61" s="74" t="e">
        <f t="shared" ref="O61" si="186">G61+(1200*33)</f>
        <v>#REF!</v>
      </c>
      <c r="P61" s="74" t="e">
        <f t="shared" ref="P61" si="187">H61+(1200*33)</f>
        <v>#REF!</v>
      </c>
      <c r="Q61" s="75" t="e">
        <f t="shared" ref="Q61" si="188">E61*1.12</f>
        <v>#REF!</v>
      </c>
      <c r="R61" s="75" t="e">
        <f t="shared" ref="R61" si="189">F61*1.12</f>
        <v>#REF!</v>
      </c>
      <c r="S61" s="75"/>
      <c r="T61" s="75" t="e">
        <f t="shared" ref="T61" si="190">H61*1.12</f>
        <v>#REF!</v>
      </c>
      <c r="U61" s="75"/>
      <c r="V61" s="75" t="e">
        <f t="shared" ref="V61" si="191">J61*1.12</f>
        <v>#REF!</v>
      </c>
      <c r="W61" s="75"/>
      <c r="X61" s="75" t="e">
        <f t="shared" ref="X61" si="192">L61*1.12</f>
        <v>#REF!</v>
      </c>
      <c r="Y61" s="75"/>
      <c r="Z61" s="75" t="e">
        <f t="shared" ref="Z61" si="193">N61*1.12</f>
        <v>#REF!</v>
      </c>
      <c r="AA61" s="75"/>
      <c r="AB61" s="75" t="e">
        <f t="shared" ref="AB61" si="194">P61*1.12</f>
        <v>#REF!</v>
      </c>
      <c r="AC61" s="83" t="s">
        <v>131</v>
      </c>
      <c r="AD61" s="76" t="e">
        <f>#REF!*2000</f>
        <v>#REF!</v>
      </c>
    </row>
    <row r="62" spans="1:30" s="78" customFormat="1" ht="60" customHeight="1" thickBot="1" x14ac:dyDescent="0.35">
      <c r="B62" s="72">
        <v>31</v>
      </c>
      <c r="C62" s="73" t="s">
        <v>97</v>
      </c>
      <c r="D62" s="73" t="s">
        <v>126</v>
      </c>
      <c r="E62" s="73" t="e">
        <f>#REF!</f>
        <v>#REF!</v>
      </c>
      <c r="F62" s="73" t="e">
        <f>#REF!-#REF!+#REF!</f>
        <v>#REF!</v>
      </c>
      <c r="G62" s="74" t="e">
        <f>#REF!</f>
        <v>#REF!</v>
      </c>
      <c r="H62" s="74" t="e">
        <f>#REF!</f>
        <v>#REF!</v>
      </c>
      <c r="I62" s="74" t="e">
        <f t="shared" ref="I62" si="195">G62+(200*33)</f>
        <v>#REF!</v>
      </c>
      <c r="J62" s="74" t="e">
        <f t="shared" ref="J62" si="196">H62+(200*33)</f>
        <v>#REF!</v>
      </c>
      <c r="K62" s="74" t="e">
        <f t="shared" ref="K62" si="197">G62+(500*33)</f>
        <v>#REF!</v>
      </c>
      <c r="L62" s="74" t="e">
        <f t="shared" ref="L62" si="198">H62+(500*33)</f>
        <v>#REF!</v>
      </c>
      <c r="M62" s="74" t="e">
        <f t="shared" ref="M62" si="199">G62+(800*33)</f>
        <v>#REF!</v>
      </c>
      <c r="N62" s="74" t="e">
        <f t="shared" ref="N62" si="200">H62+(800*33)</f>
        <v>#REF!</v>
      </c>
      <c r="O62" s="74" t="e">
        <f t="shared" ref="O62" si="201">G62+(1200*33)</f>
        <v>#REF!</v>
      </c>
      <c r="P62" s="74" t="e">
        <f t="shared" ref="P62" si="202">H62+(1200*33)</f>
        <v>#REF!</v>
      </c>
      <c r="Q62" s="75" t="e">
        <f t="shared" ref="Q62" si="203">E62*1.12</f>
        <v>#REF!</v>
      </c>
      <c r="R62" s="75" t="e">
        <f t="shared" ref="R62" si="204">F62*1.12</f>
        <v>#REF!</v>
      </c>
      <c r="S62" s="75"/>
      <c r="T62" s="75" t="e">
        <f t="shared" ref="T62" si="205">H62*1.12</f>
        <v>#REF!</v>
      </c>
      <c r="U62" s="75"/>
      <c r="V62" s="75" t="e">
        <f t="shared" ref="V62" si="206">J62*1.12</f>
        <v>#REF!</v>
      </c>
      <c r="W62" s="75"/>
      <c r="X62" s="75" t="e">
        <f t="shared" ref="X62" si="207">L62*1.12</f>
        <v>#REF!</v>
      </c>
      <c r="Y62" s="75"/>
      <c r="Z62" s="75" t="e">
        <f t="shared" ref="Z62" si="208">N62*1.12</f>
        <v>#REF!</v>
      </c>
      <c r="AA62" s="75"/>
      <c r="AB62" s="75" t="e">
        <f t="shared" ref="AB62" si="209">P62*1.12</f>
        <v>#REF!</v>
      </c>
      <c r="AC62" s="83" t="s">
        <v>131</v>
      </c>
      <c r="AD62" s="76" t="e">
        <f>#REF!*2000</f>
        <v>#REF!</v>
      </c>
    </row>
    <row r="63" spans="1:30" ht="32.25" customHeight="1" x14ac:dyDescent="0.3">
      <c r="AD63" s="53"/>
    </row>
    <row r="64" spans="1:30" s="28" customFormat="1" ht="32.25" customHeight="1" x14ac:dyDescent="0.3">
      <c r="A64" s="61"/>
      <c r="C64" s="50" t="s">
        <v>71</v>
      </c>
      <c r="D64" s="44" t="s">
        <v>72</v>
      </c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C64" s="81"/>
      <c r="AD64" s="53"/>
    </row>
    <row r="65" spans="1:30" s="28" customFormat="1" ht="47.25" customHeight="1" x14ac:dyDescent="0.3">
      <c r="A65" s="61"/>
      <c r="C65" s="199" t="s">
        <v>73</v>
      </c>
      <c r="D65" s="46" t="s">
        <v>75</v>
      </c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C65" s="81"/>
      <c r="AD65" s="53"/>
    </row>
    <row r="66" spans="1:30" s="28" customFormat="1" ht="39.75" customHeight="1" x14ac:dyDescent="0.3">
      <c r="A66" s="61"/>
      <c r="C66" s="199"/>
      <c r="D66" s="46" t="s">
        <v>76</v>
      </c>
      <c r="E66" s="41"/>
      <c r="F66" s="41"/>
      <c r="G66" s="41"/>
      <c r="H66" s="41"/>
      <c r="I66" s="55"/>
      <c r="J66" s="55"/>
      <c r="K66" s="55"/>
      <c r="L66" s="41"/>
      <c r="M66" s="55"/>
      <c r="N66" s="55"/>
      <c r="O66" s="41"/>
      <c r="P66" s="41"/>
      <c r="Q66" s="41"/>
      <c r="R66" s="41"/>
      <c r="S66" s="41"/>
      <c r="T66" s="41"/>
      <c r="U66" s="55"/>
      <c r="V66" s="55"/>
      <c r="W66" s="41"/>
      <c r="X66" s="41"/>
      <c r="Y66" s="55"/>
      <c r="Z66" s="55"/>
      <c r="AA66" s="41"/>
      <c r="AC66" s="81"/>
      <c r="AD66" s="53"/>
    </row>
    <row r="67" spans="1:30" s="41" customFormat="1" ht="84.75" customHeight="1" x14ac:dyDescent="0.3">
      <c r="A67" s="61"/>
      <c r="C67" s="49" t="s">
        <v>74</v>
      </c>
      <c r="D67" s="46" t="s">
        <v>77</v>
      </c>
      <c r="I67" s="55"/>
      <c r="J67" s="55"/>
      <c r="K67" s="55"/>
      <c r="M67" s="55"/>
      <c r="N67" s="55"/>
      <c r="U67" s="55"/>
      <c r="V67" s="55"/>
      <c r="Y67" s="55"/>
      <c r="Z67" s="55"/>
      <c r="AC67" s="81"/>
      <c r="AD67" s="53"/>
    </row>
    <row r="68" spans="1:30" s="41" customFormat="1" ht="47.25" customHeight="1" x14ac:dyDescent="0.3">
      <c r="A68" s="61"/>
      <c r="C68" s="47"/>
      <c r="D68" s="48"/>
      <c r="I68" s="55"/>
      <c r="J68" s="55"/>
      <c r="K68" s="55"/>
      <c r="M68" s="55"/>
      <c r="N68" s="55"/>
      <c r="U68" s="55"/>
      <c r="V68" s="55"/>
      <c r="Y68" s="55"/>
      <c r="Z68" s="55"/>
      <c r="AC68" s="81"/>
      <c r="AD68" s="53"/>
    </row>
    <row r="69" spans="1:30" s="28" customFormat="1" ht="32.25" customHeight="1" x14ac:dyDescent="0.3">
      <c r="A69" s="61"/>
      <c r="C69" s="45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200"/>
      <c r="AA69" s="200"/>
      <c r="AC69" s="81"/>
      <c r="AD69" s="53"/>
    </row>
    <row r="70" spans="1:30" ht="46.2" x14ac:dyDescent="0.8">
      <c r="B70" s="32" t="s">
        <v>33</v>
      </c>
      <c r="C70" s="3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AD70" s="53"/>
    </row>
    <row r="71" spans="1:30" ht="46.2" x14ac:dyDescent="0.8">
      <c r="B71" s="34"/>
      <c r="C71" s="3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AD71" s="53"/>
    </row>
    <row r="72" spans="1:30" ht="45.6" x14ac:dyDescent="0.75">
      <c r="B72" s="35" t="s">
        <v>66</v>
      </c>
      <c r="C72" s="3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AD72" s="53"/>
    </row>
    <row r="73" spans="1:30" ht="45.6" x14ac:dyDescent="0.75">
      <c r="B73" s="36" t="s">
        <v>67</v>
      </c>
      <c r="C73" s="37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AD73" s="53"/>
    </row>
    <row r="74" spans="1:30" ht="45.6" x14ac:dyDescent="0.75">
      <c r="B74" s="201" t="s">
        <v>32</v>
      </c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D74" s="53"/>
    </row>
    <row r="75" spans="1:30" ht="42" customHeight="1" x14ac:dyDescent="0.8">
      <c r="B75" s="197" t="s">
        <v>35</v>
      </c>
      <c r="C75" s="197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  <c r="AA75" s="197"/>
      <c r="AD75" s="53"/>
    </row>
    <row r="76" spans="1:30" ht="43.5" customHeight="1" x14ac:dyDescent="0.8">
      <c r="B76" s="197" t="s">
        <v>34</v>
      </c>
      <c r="C76" s="197"/>
      <c r="D76" s="197"/>
      <c r="E76" s="197"/>
      <c r="F76" s="197"/>
      <c r="G76" s="197"/>
      <c r="H76" s="197"/>
      <c r="I76" s="197"/>
      <c r="J76" s="197"/>
      <c r="K76" s="197"/>
      <c r="L76" s="197"/>
      <c r="M76" s="197"/>
      <c r="N76" s="197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  <c r="AA76" s="197"/>
      <c r="AD76" s="53"/>
    </row>
    <row r="77" spans="1:30" ht="37.799999999999997" x14ac:dyDescent="0.65">
      <c r="B77" s="198" t="s">
        <v>36</v>
      </c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98"/>
      <c r="AA77" s="198"/>
      <c r="AD77" s="53"/>
    </row>
    <row r="78" spans="1:30" x14ac:dyDescent="0.3">
      <c r="AD78" s="53"/>
    </row>
    <row r="79" spans="1:30" x14ac:dyDescent="0.3">
      <c r="AD79" s="51"/>
    </row>
    <row r="101" spans="17:27" x14ac:dyDescent="0.25"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spans="17:27" x14ac:dyDescent="0.25"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17:27" x14ac:dyDescent="0.25"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17:27" x14ac:dyDescent="0.25"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17:27" x14ac:dyDescent="0.4"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</sheetData>
  <mergeCells count="31">
    <mergeCell ref="C65:C66"/>
    <mergeCell ref="B25:AD25"/>
    <mergeCell ref="B36:B37"/>
    <mergeCell ref="C36:C37"/>
    <mergeCell ref="D36:D37"/>
    <mergeCell ref="B30:AD30"/>
    <mergeCell ref="B35:AD35"/>
    <mergeCell ref="AA36:AA37"/>
    <mergeCell ref="AB36:AB37"/>
    <mergeCell ref="AD36:AD37"/>
    <mergeCell ref="R36:R37"/>
    <mergeCell ref="S36:S37"/>
    <mergeCell ref="T36:T37"/>
    <mergeCell ref="W36:W37"/>
    <mergeCell ref="X36:X37"/>
    <mergeCell ref="B42:AD42"/>
    <mergeCell ref="B77:AA77"/>
    <mergeCell ref="B74:AA74"/>
    <mergeCell ref="B75:AA75"/>
    <mergeCell ref="B76:AA76"/>
    <mergeCell ref="D69:AA69"/>
    <mergeCell ref="B49:AD49"/>
    <mergeCell ref="B56:AD56"/>
    <mergeCell ref="C18:D21"/>
    <mergeCell ref="G23:P23"/>
    <mergeCell ref="U36:U37"/>
    <mergeCell ref="V36:V37"/>
    <mergeCell ref="Y36:Y37"/>
    <mergeCell ref="Z36:Z37"/>
    <mergeCell ref="Q23:AD23"/>
    <mergeCell ref="B23:D23"/>
  </mergeCells>
  <pageMargins left="0.70866141732283505" right="1.71" top="0.74803149606299202" bottom="0.74803149606299202" header="0.31496062992126" footer="0.31496062992126"/>
  <pageSetup paperSize="9" scale="21" orientation="landscape" horizontalDpi="4294967293" verticalDpi="3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6:M49"/>
  <sheetViews>
    <sheetView topLeftCell="A19" zoomScale="85" zoomScaleNormal="85" workbookViewId="0">
      <selection activeCell="G55" sqref="G55"/>
    </sheetView>
  </sheetViews>
  <sheetFormatPr defaultColWidth="9.109375" defaultRowHeight="14.4" x14ac:dyDescent="0.3"/>
  <cols>
    <col min="1" max="1" width="5.33203125" style="135" customWidth="1"/>
    <col min="2" max="2" width="23" style="135" customWidth="1"/>
    <col min="3" max="3" width="50.33203125" style="135" customWidth="1"/>
    <col min="4" max="4" width="8" style="135" customWidth="1"/>
    <col min="5" max="5" width="9.88671875" style="135" bestFit="1" customWidth="1"/>
    <col min="6" max="6" width="10.88671875" style="135" bestFit="1" customWidth="1"/>
    <col min="7" max="7" width="10.88671875" style="135" customWidth="1"/>
    <col min="8" max="8" width="12.5546875" style="135" bestFit="1" customWidth="1"/>
    <col min="9" max="9" width="9.109375" style="135"/>
    <col min="10" max="10" width="10.44140625" style="135" customWidth="1"/>
    <col min="11" max="16384" width="9.109375" style="135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402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308</v>
      </c>
      <c r="E25" s="6">
        <f>Individual!C8*8</f>
        <v>72360</v>
      </c>
      <c r="F25" s="6">
        <f t="shared" ref="F25:F32" si="0">(E25*1.05)*1.12</f>
        <v>85095.360000000015</v>
      </c>
      <c r="G25" s="6">
        <f t="shared" ref="G25:G32" si="1">(E25*1.08)*1.12</f>
        <v>87526.656000000017</v>
      </c>
      <c r="H25" s="6">
        <f>(E25*1.15)*1.12</f>
        <v>93199.680000000008</v>
      </c>
    </row>
    <row r="26" spans="1:8" x14ac:dyDescent="0.3">
      <c r="A26" s="6">
        <v>2</v>
      </c>
      <c r="B26" s="7" t="s">
        <v>19</v>
      </c>
      <c r="C26" s="7" t="s">
        <v>403</v>
      </c>
      <c r="D26" s="6" t="s">
        <v>5</v>
      </c>
      <c r="E26" s="6">
        <f>Individual!C48</f>
        <v>19500</v>
      </c>
      <c r="F26" s="6">
        <f t="shared" si="0"/>
        <v>22932.000000000004</v>
      </c>
      <c r="G26" s="6">
        <f t="shared" si="1"/>
        <v>23587.200000000001</v>
      </c>
      <c r="H26" s="6">
        <f t="shared" ref="H26:H32" si="2">(E26*1.15)*1.12</f>
        <v>25116.000000000004</v>
      </c>
    </row>
    <row r="27" spans="1:8" ht="28.8" x14ac:dyDescent="0.3">
      <c r="A27" s="6">
        <v>3</v>
      </c>
      <c r="B27" s="7" t="s">
        <v>6</v>
      </c>
      <c r="C27" s="7" t="s">
        <v>401</v>
      </c>
      <c r="D27" s="6" t="s">
        <v>5</v>
      </c>
      <c r="E27" s="6">
        <f>Individual!K6</f>
        <v>16850</v>
      </c>
      <c r="F27" s="6">
        <f t="shared" si="0"/>
        <v>19815.600000000002</v>
      </c>
      <c r="G27" s="6">
        <f t="shared" si="1"/>
        <v>20381.760000000002</v>
      </c>
      <c r="H27" s="6">
        <f t="shared" si="2"/>
        <v>21702.800000000003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22</v>
      </c>
      <c r="E28" s="6">
        <f>Individual!C59*30</f>
        <v>1050</v>
      </c>
      <c r="F28" s="6">
        <f t="shared" si="0"/>
        <v>1234.8000000000002</v>
      </c>
      <c r="G28" s="6">
        <f t="shared" si="1"/>
        <v>1270.0800000000002</v>
      </c>
      <c r="H28" s="6">
        <f t="shared" si="2"/>
        <v>1352.4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3812.48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4508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Individual!C139</f>
        <v>7000</v>
      </c>
      <c r="F31" s="6">
        <f t="shared" si="0"/>
        <v>8232</v>
      </c>
      <c r="G31" s="6">
        <f t="shared" si="1"/>
        <v>8467.2000000000025</v>
      </c>
      <c r="H31" s="6">
        <f t="shared" si="2"/>
        <v>9016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Individual!C145</f>
        <v>4000</v>
      </c>
      <c r="F32" s="6">
        <f t="shared" si="0"/>
        <v>4704</v>
      </c>
      <c r="G32" s="6">
        <f t="shared" si="1"/>
        <v>4838.4000000000005</v>
      </c>
      <c r="H32" s="6">
        <f t="shared" si="2"/>
        <v>5152.0000000000009</v>
      </c>
    </row>
    <row r="33" spans="1:13" ht="18" x14ac:dyDescent="0.3">
      <c r="A33" s="6"/>
      <c r="B33" s="6"/>
      <c r="C33" s="6" t="s">
        <v>14</v>
      </c>
      <c r="D33" s="6"/>
      <c r="E33" s="88">
        <f>SUM(E25:E32)</f>
        <v>127220</v>
      </c>
      <c r="F33" s="88">
        <f>SUM(F25:F32)</f>
        <v>149610.72000000003</v>
      </c>
      <c r="G33" s="88">
        <f>SUM(G25:G32)</f>
        <v>153885.31200000001</v>
      </c>
      <c r="H33" s="88">
        <f>SUM(H25:H32)</f>
        <v>163859.36000000002</v>
      </c>
    </row>
    <row r="35" spans="1:13" x14ac:dyDescent="0.3">
      <c r="B35" s="135" t="s">
        <v>23</v>
      </c>
    </row>
    <row r="36" spans="1:13" ht="43.2" x14ac:dyDescent="0.3">
      <c r="A36" s="6">
        <v>9</v>
      </c>
      <c r="B36" s="6" t="s">
        <v>24</v>
      </c>
      <c r="C36" s="7" t="s">
        <v>274</v>
      </c>
      <c r="D36" s="6" t="s">
        <v>266</v>
      </c>
      <c r="E36" s="6">
        <f>Individual!C67</f>
        <v>6975</v>
      </c>
      <c r="F36" s="6">
        <f>(E36*1.05)*1.12</f>
        <v>8202.6</v>
      </c>
      <c r="G36" s="6">
        <f>(E36*1.08)*1.12</f>
        <v>8436.9600000000009</v>
      </c>
      <c r="H36" s="6">
        <f>(E36*1.15)*1.12</f>
        <v>8983.7999999999993</v>
      </c>
    </row>
    <row r="37" spans="1:13" ht="18" x14ac:dyDescent="0.3">
      <c r="C37" s="6" t="s">
        <v>14</v>
      </c>
      <c r="D37" s="6"/>
      <c r="E37" s="88">
        <f>SUM(E35:E36)</f>
        <v>6975</v>
      </c>
      <c r="F37" s="88">
        <f>SUM(F35:F36)</f>
        <v>8202.6</v>
      </c>
      <c r="G37" s="88">
        <f>SUM(G35:G36)</f>
        <v>8436.9600000000009</v>
      </c>
      <c r="H37" s="88">
        <f>SUM(H35:H36)</f>
        <v>8983.7999999999993</v>
      </c>
    </row>
    <row r="38" spans="1:13" ht="18" x14ac:dyDescent="0.3">
      <c r="C38" s="10"/>
      <c r="D38" s="10"/>
      <c r="E38" s="31"/>
      <c r="F38" s="31"/>
      <c r="G38" s="31"/>
      <c r="H38" s="31"/>
    </row>
    <row r="39" spans="1:13" ht="18" x14ac:dyDescent="0.3">
      <c r="C39" s="10"/>
      <c r="D39" s="10"/>
      <c r="E39" s="31">
        <f>E33+E36</f>
        <v>134195</v>
      </c>
      <c r="F39" s="31">
        <f t="shared" ref="F39:H39" si="3">F33+F36</f>
        <v>157813.32000000004</v>
      </c>
      <c r="G39" s="31">
        <f t="shared" si="3"/>
        <v>162322.272</v>
      </c>
      <c r="H39" s="31">
        <f t="shared" si="3"/>
        <v>172843.16</v>
      </c>
    </row>
    <row r="40" spans="1:13" ht="18" x14ac:dyDescent="0.3">
      <c r="C40" s="10"/>
      <c r="D40" s="10"/>
      <c r="E40" s="31"/>
      <c r="F40" s="31"/>
      <c r="G40" s="31"/>
      <c r="H40" s="31"/>
    </row>
    <row r="42" spans="1:13" ht="25.8" x14ac:dyDescent="0.5">
      <c r="A42" s="16" t="s">
        <v>33</v>
      </c>
      <c r="B42"/>
      <c r="C42"/>
      <c r="D42"/>
      <c r="E42"/>
      <c r="F42"/>
      <c r="G42"/>
      <c r="H42"/>
      <c r="I42"/>
      <c r="J42"/>
      <c r="K42"/>
      <c r="L42"/>
      <c r="M42"/>
    </row>
    <row r="43" spans="1:13" x14ac:dyDescent="0.3">
      <c r="A43" s="13"/>
      <c r="B43"/>
      <c r="C43"/>
      <c r="D43"/>
      <c r="E43"/>
      <c r="F43"/>
      <c r="G43"/>
      <c r="H43"/>
      <c r="I43"/>
      <c r="J43"/>
      <c r="K43"/>
      <c r="L43"/>
      <c r="M43"/>
    </row>
    <row r="44" spans="1:13" x14ac:dyDescent="0.3">
      <c r="A44" s="13"/>
      <c r="B44" s="13"/>
      <c r="C44" s="14"/>
      <c r="D44" s="14"/>
      <c r="E44" s="14"/>
      <c r="F44" s="14"/>
      <c r="G44" s="14"/>
      <c r="H44"/>
      <c r="I44"/>
      <c r="J44"/>
      <c r="K44"/>
      <c r="L44"/>
      <c r="M44"/>
    </row>
    <row r="45" spans="1:13" x14ac:dyDescent="0.3">
      <c r="A45" s="15"/>
      <c r="B45" s="15"/>
      <c r="C45" s="14"/>
      <c r="D45" s="14"/>
      <c r="E45" s="14"/>
      <c r="F45" s="14"/>
      <c r="G45" s="14"/>
      <c r="H45"/>
      <c r="I45"/>
      <c r="J45"/>
      <c r="K45"/>
      <c r="L45"/>
      <c r="M45"/>
    </row>
    <row r="46" spans="1:13" ht="22.2" x14ac:dyDescent="0.35">
      <c r="A46" s="182" t="s">
        <v>32</v>
      </c>
      <c r="B46" s="182"/>
      <c r="C46" s="182"/>
      <c r="D46" s="182"/>
      <c r="E46" s="182"/>
      <c r="F46" s="182"/>
      <c r="G46" s="182"/>
      <c r="H46" s="182"/>
      <c r="I46" s="17"/>
      <c r="J46" s="17"/>
      <c r="K46" s="17"/>
      <c r="L46" s="17"/>
      <c r="M46" s="17"/>
    </row>
    <row r="47" spans="1:13" ht="15" customHeight="1" x14ac:dyDescent="0.35">
      <c r="A47" s="183" t="s">
        <v>35</v>
      </c>
      <c r="B47" s="183"/>
      <c r="C47" s="183"/>
      <c r="D47" s="183"/>
      <c r="E47" s="183"/>
      <c r="F47" s="183"/>
      <c r="G47" s="183"/>
      <c r="H47" s="183"/>
      <c r="I47" s="18"/>
      <c r="J47" s="18"/>
      <c r="K47" s="18"/>
      <c r="L47" s="18"/>
      <c r="M47" s="18"/>
    </row>
    <row r="48" spans="1:13" ht="15" customHeight="1" x14ac:dyDescent="0.35">
      <c r="A48" s="183" t="s">
        <v>34</v>
      </c>
      <c r="B48" s="183"/>
      <c r="C48" s="183"/>
      <c r="D48" s="183"/>
      <c r="E48" s="183"/>
      <c r="F48" s="183"/>
      <c r="G48" s="183"/>
      <c r="H48" s="183"/>
      <c r="I48" s="18"/>
      <c r="J48" s="18"/>
      <c r="K48" s="18"/>
      <c r="L48" s="18"/>
      <c r="M48" s="18"/>
    </row>
    <row r="49" spans="1:13" ht="15.6" x14ac:dyDescent="0.3">
      <c r="A49" s="176" t="s">
        <v>36</v>
      </c>
      <c r="B49" s="176"/>
      <c r="C49" s="176"/>
      <c r="D49" s="176"/>
      <c r="E49" s="176"/>
      <c r="F49" s="176"/>
      <c r="G49" s="176"/>
      <c r="H49" s="176"/>
      <c r="I49" s="19"/>
      <c r="J49" s="19"/>
      <c r="K49" s="19"/>
      <c r="L49" s="19"/>
      <c r="M49" s="19"/>
    </row>
  </sheetData>
  <mergeCells count="7">
    <mergeCell ref="A49:H49"/>
    <mergeCell ref="B18:C21"/>
    <mergeCell ref="A22:H22"/>
    <mergeCell ref="A23:H23"/>
    <mergeCell ref="A46:H46"/>
    <mergeCell ref="A47:H47"/>
    <mergeCell ref="A48:H48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147"/>
  <sheetViews>
    <sheetView topLeftCell="I87" workbookViewId="0">
      <selection activeCell="I102" sqref="I102"/>
    </sheetView>
  </sheetViews>
  <sheetFormatPr defaultRowHeight="14.4" x14ac:dyDescent="0.3"/>
  <cols>
    <col min="1" max="1" width="41.109375" customWidth="1"/>
    <col min="2" max="2" width="9" bestFit="1" customWidth="1"/>
    <col min="3" max="3" width="9.109375" style="94"/>
    <col min="4" max="4" width="11.5546875" bestFit="1" customWidth="1"/>
    <col min="5" max="5" width="11" bestFit="1" customWidth="1"/>
    <col min="6" max="7" width="11.5546875" bestFit="1" customWidth="1"/>
    <col min="8" max="8" width="10.88671875" bestFit="1" customWidth="1"/>
    <col min="9" max="9" width="36.6640625" bestFit="1" customWidth="1"/>
    <col min="11" max="11" width="9.109375" style="95"/>
    <col min="12" max="15" width="11.5546875" bestFit="1" customWidth="1"/>
  </cols>
  <sheetData>
    <row r="1" spans="1:15" x14ac:dyDescent="0.3">
      <c r="C1" s="126"/>
      <c r="K1" s="132"/>
    </row>
    <row r="2" spans="1:15" ht="15.6" x14ac:dyDescent="0.3">
      <c r="A2" s="162" t="s">
        <v>263</v>
      </c>
      <c r="B2" s="162"/>
      <c r="C2" s="162"/>
      <c r="D2" s="162"/>
      <c r="E2" s="162"/>
      <c r="F2" s="162"/>
      <c r="G2" s="162"/>
      <c r="H2" s="102"/>
      <c r="I2" s="162" t="s">
        <v>265</v>
      </c>
      <c r="J2" s="162"/>
      <c r="K2" s="162"/>
      <c r="L2" s="162"/>
      <c r="M2" s="162"/>
      <c r="N2" s="162"/>
      <c r="O2" s="162"/>
    </row>
    <row r="3" spans="1:15" ht="15.6" x14ac:dyDescent="0.3">
      <c r="A3" s="144" t="s">
        <v>133</v>
      </c>
      <c r="B3" s="144" t="s">
        <v>134</v>
      </c>
      <c r="C3" s="104" t="s">
        <v>12</v>
      </c>
      <c r="D3" s="144" t="s">
        <v>16</v>
      </c>
      <c r="E3" s="144" t="s">
        <v>135</v>
      </c>
      <c r="F3" s="144" t="s">
        <v>136</v>
      </c>
      <c r="G3" s="144" t="s">
        <v>140</v>
      </c>
      <c r="H3" s="124"/>
      <c r="I3" s="144" t="s">
        <v>133</v>
      </c>
      <c r="J3" s="145" t="s">
        <v>134</v>
      </c>
      <c r="K3" s="106" t="s">
        <v>12</v>
      </c>
      <c r="L3" s="144" t="s">
        <v>16</v>
      </c>
      <c r="M3" s="144" t="s">
        <v>135</v>
      </c>
      <c r="N3" s="144" t="s">
        <v>136</v>
      </c>
      <c r="O3" s="144" t="s">
        <v>140</v>
      </c>
    </row>
    <row r="4" spans="1:15" ht="15.6" x14ac:dyDescent="0.3">
      <c r="A4" s="144" t="s">
        <v>137</v>
      </c>
      <c r="B4" s="144">
        <v>330</v>
      </c>
      <c r="C4" s="104">
        <f>B4*27</f>
        <v>8910</v>
      </c>
      <c r="D4" s="107">
        <f>C4*1.05*1.12</f>
        <v>10478.160000000002</v>
      </c>
      <c r="E4" s="107">
        <f>C4*1.08*1.12</f>
        <v>10777.536000000002</v>
      </c>
      <c r="F4" s="107">
        <f>C4*1.15*1.12</f>
        <v>11476.080000000002</v>
      </c>
      <c r="G4" s="107">
        <f>C4*1.2*1.12</f>
        <v>11975.04</v>
      </c>
      <c r="I4" s="144" t="s">
        <v>162</v>
      </c>
      <c r="J4" s="145">
        <v>1</v>
      </c>
      <c r="K4" s="106">
        <f>(40*145)+(30*130)</f>
        <v>9700</v>
      </c>
      <c r="L4" s="108">
        <f t="shared" ref="L4:L24" si="0">K4*1.1*1.18</f>
        <v>12590.599999999999</v>
      </c>
      <c r="M4" s="108">
        <f>K4*1.15*1.18</f>
        <v>13162.9</v>
      </c>
      <c r="N4" s="108">
        <f t="shared" ref="N4:N24" si="1">K4*1.25*1.18</f>
        <v>14307.5</v>
      </c>
      <c r="O4" s="108">
        <f t="shared" ref="O4:O24" si="2">K4*1.3*1.18</f>
        <v>14879.8</v>
      </c>
    </row>
    <row r="5" spans="1:15" ht="15.6" x14ac:dyDescent="0.3">
      <c r="A5" s="144" t="s">
        <v>139</v>
      </c>
      <c r="B5" s="144">
        <v>340</v>
      </c>
      <c r="C5" s="104">
        <f>B5*28</f>
        <v>9520</v>
      </c>
      <c r="D5" s="107">
        <f t="shared" ref="D5:D7" si="3">C5*1.05*1.12</f>
        <v>11195.52</v>
      </c>
      <c r="E5" s="107">
        <f t="shared" ref="E5:E7" si="4">C5*1.08*1.12</f>
        <v>11515.392000000002</v>
      </c>
      <c r="F5" s="107">
        <f t="shared" ref="F5:F7" si="5">C5*1.15*1.12</f>
        <v>12261.760000000002</v>
      </c>
      <c r="G5" s="107">
        <f t="shared" ref="G5:G7" si="6">C5*1.2*1.12</f>
        <v>12794.880000000001</v>
      </c>
      <c r="H5" s="125"/>
      <c r="I5" s="144" t="s">
        <v>163</v>
      </c>
      <c r="J5" s="145">
        <v>1.3</v>
      </c>
      <c r="K5" s="106">
        <f>(40*145)+(55*130)</f>
        <v>12950</v>
      </c>
      <c r="L5" s="108">
        <f t="shared" si="0"/>
        <v>16809.100000000002</v>
      </c>
      <c r="M5" s="108">
        <f t="shared" ref="M5:M24" si="7">K5*1.15*1.18</f>
        <v>17573.149999999998</v>
      </c>
      <c r="N5" s="108">
        <f t="shared" si="1"/>
        <v>19101.25</v>
      </c>
      <c r="O5" s="108">
        <f t="shared" si="2"/>
        <v>19865.3</v>
      </c>
    </row>
    <row r="6" spans="1:15" ht="15.6" x14ac:dyDescent="0.3">
      <c r="A6" s="144" t="s">
        <v>139</v>
      </c>
      <c r="B6" s="144">
        <v>345</v>
      </c>
      <c r="C6" s="104">
        <f>B6*28</f>
        <v>9660</v>
      </c>
      <c r="D6" s="107">
        <f t="shared" si="3"/>
        <v>11360.160000000002</v>
      </c>
      <c r="E6" s="107">
        <f t="shared" si="4"/>
        <v>11684.736000000003</v>
      </c>
      <c r="F6" s="107">
        <f t="shared" si="5"/>
        <v>12442.080000000002</v>
      </c>
      <c r="G6" s="107">
        <f t="shared" si="6"/>
        <v>12983.04</v>
      </c>
      <c r="H6" s="125"/>
      <c r="I6" s="144" t="s">
        <v>164</v>
      </c>
      <c r="J6" s="145">
        <v>2.7</v>
      </c>
      <c r="K6" s="106">
        <f>(40*145)+(85*130)</f>
        <v>16850</v>
      </c>
      <c r="L6" s="108">
        <f t="shared" si="0"/>
        <v>21871.3</v>
      </c>
      <c r="M6" s="108">
        <f t="shared" si="7"/>
        <v>22865.449999999997</v>
      </c>
      <c r="N6" s="108">
        <f t="shared" si="1"/>
        <v>24853.75</v>
      </c>
      <c r="O6" s="108">
        <f t="shared" si="2"/>
        <v>25847.899999999998</v>
      </c>
    </row>
    <row r="7" spans="1:15" ht="15.6" x14ac:dyDescent="0.3">
      <c r="A7" s="144" t="s">
        <v>138</v>
      </c>
      <c r="B7" s="144">
        <v>335</v>
      </c>
      <c r="C7" s="104">
        <f>B7*27</f>
        <v>9045</v>
      </c>
      <c r="D7" s="107">
        <f t="shared" si="3"/>
        <v>10636.920000000002</v>
      </c>
      <c r="E7" s="107">
        <f t="shared" si="4"/>
        <v>10940.832000000002</v>
      </c>
      <c r="F7" s="107">
        <f t="shared" si="5"/>
        <v>11649.960000000001</v>
      </c>
      <c r="G7" s="107">
        <f t="shared" si="6"/>
        <v>12156.480000000001</v>
      </c>
      <c r="H7" s="125"/>
      <c r="I7" s="144" t="s">
        <v>165</v>
      </c>
      <c r="J7" s="145">
        <v>3.3</v>
      </c>
      <c r="K7" s="106">
        <f>(60*140)+(120*125)</f>
        <v>23400</v>
      </c>
      <c r="L7" s="108">
        <f t="shared" si="0"/>
        <v>30373.200000000004</v>
      </c>
      <c r="M7" s="108">
        <f t="shared" si="7"/>
        <v>31753.799999999996</v>
      </c>
      <c r="N7" s="108">
        <f t="shared" si="1"/>
        <v>34515</v>
      </c>
      <c r="O7" s="108">
        <f t="shared" si="2"/>
        <v>35895.599999999999</v>
      </c>
    </row>
    <row r="8" spans="1:15" ht="15.6" x14ac:dyDescent="0.3">
      <c r="A8" s="162" t="s">
        <v>316</v>
      </c>
      <c r="B8" s="162"/>
      <c r="C8" s="162"/>
      <c r="D8" s="128" t="s">
        <v>312</v>
      </c>
      <c r="E8" s="128" t="s">
        <v>313</v>
      </c>
      <c r="F8" s="129" t="s">
        <v>314</v>
      </c>
      <c r="G8" s="129" t="s">
        <v>315</v>
      </c>
      <c r="H8" s="102"/>
      <c r="I8" s="144" t="s">
        <v>166</v>
      </c>
      <c r="J8" s="145">
        <v>5.4</v>
      </c>
      <c r="K8" s="106">
        <f>(60*140)+(150*125)</f>
        <v>27150</v>
      </c>
      <c r="L8" s="108">
        <f t="shared" si="0"/>
        <v>35240.700000000004</v>
      </c>
      <c r="M8" s="108">
        <f t="shared" si="7"/>
        <v>36842.549999999996</v>
      </c>
      <c r="N8" s="108">
        <f t="shared" si="1"/>
        <v>40046.25</v>
      </c>
      <c r="O8" s="108">
        <f t="shared" si="2"/>
        <v>41648.1</v>
      </c>
    </row>
    <row r="9" spans="1:15" ht="15.6" x14ac:dyDescent="0.3">
      <c r="A9" s="162" t="s">
        <v>264</v>
      </c>
      <c r="B9" s="162"/>
      <c r="C9" s="162"/>
      <c r="D9" s="162"/>
      <c r="E9" s="162"/>
      <c r="F9" s="162"/>
      <c r="G9" s="162"/>
      <c r="H9" s="102"/>
      <c r="I9" s="144" t="s">
        <v>167</v>
      </c>
      <c r="J9" s="110">
        <v>8</v>
      </c>
      <c r="K9" s="106">
        <f>(80*140)+(240*125)</f>
        <v>41200</v>
      </c>
      <c r="L9" s="108">
        <f t="shared" si="0"/>
        <v>53477.600000000006</v>
      </c>
      <c r="M9" s="108">
        <f t="shared" si="7"/>
        <v>55908.399999999987</v>
      </c>
      <c r="N9" s="108">
        <f t="shared" si="1"/>
        <v>60770</v>
      </c>
      <c r="O9" s="108">
        <f t="shared" si="2"/>
        <v>63200.799999999996</v>
      </c>
    </row>
    <row r="10" spans="1:15" ht="15.6" x14ac:dyDescent="0.3">
      <c r="A10" s="144" t="s">
        <v>133</v>
      </c>
      <c r="B10" s="144" t="s">
        <v>134</v>
      </c>
      <c r="C10" s="104" t="s">
        <v>12</v>
      </c>
      <c r="D10" s="144" t="s">
        <v>16</v>
      </c>
      <c r="E10" s="144" t="s">
        <v>135</v>
      </c>
      <c r="F10" s="144" t="s">
        <v>136</v>
      </c>
      <c r="G10" s="144" t="s">
        <v>140</v>
      </c>
      <c r="H10" s="102"/>
      <c r="I10" s="144" t="s">
        <v>168</v>
      </c>
      <c r="J10" s="110">
        <v>10</v>
      </c>
      <c r="K10" s="106">
        <f>(100*140)+(270*125)</f>
        <v>47750</v>
      </c>
      <c r="L10" s="108">
        <f t="shared" si="0"/>
        <v>61979.500000000007</v>
      </c>
      <c r="M10" s="108">
        <f t="shared" si="7"/>
        <v>64796.749999999985</v>
      </c>
      <c r="N10" s="108">
        <f t="shared" si="1"/>
        <v>70431.25</v>
      </c>
      <c r="O10" s="108">
        <f t="shared" si="2"/>
        <v>73248.5</v>
      </c>
    </row>
    <row r="11" spans="1:15" ht="15.6" x14ac:dyDescent="0.3">
      <c r="A11" s="144" t="s">
        <v>141</v>
      </c>
      <c r="B11" s="144">
        <v>1</v>
      </c>
      <c r="C11" s="104">
        <v>16000</v>
      </c>
      <c r="D11" s="107">
        <f>C11*1.15*1.12</f>
        <v>20608.000000000004</v>
      </c>
      <c r="E11" s="107">
        <f>C11*1.2*1.12</f>
        <v>21504.000000000004</v>
      </c>
      <c r="F11" s="107">
        <f>C11*1.3*1.12</f>
        <v>23296.000000000004</v>
      </c>
      <c r="G11" s="107">
        <f>C11*1.35*1.12</f>
        <v>24192.000000000004</v>
      </c>
      <c r="H11" s="102"/>
      <c r="I11" s="144" t="s">
        <v>169</v>
      </c>
      <c r="J11" s="145">
        <v>1</v>
      </c>
      <c r="K11" s="106">
        <f>50*140</f>
        <v>7000</v>
      </c>
      <c r="L11" s="108">
        <f t="shared" si="0"/>
        <v>9086</v>
      </c>
      <c r="M11" s="108">
        <f t="shared" si="7"/>
        <v>9498.9999999999982</v>
      </c>
      <c r="N11" s="108">
        <f t="shared" si="1"/>
        <v>10325</v>
      </c>
      <c r="O11" s="108">
        <f t="shared" si="2"/>
        <v>10738</v>
      </c>
    </row>
    <row r="12" spans="1:15" ht="15.6" x14ac:dyDescent="0.3">
      <c r="A12" s="144" t="s">
        <v>142</v>
      </c>
      <c r="B12" s="144">
        <v>2</v>
      </c>
      <c r="C12" s="104">
        <v>16500</v>
      </c>
      <c r="D12" s="107">
        <f t="shared" ref="D12:D15" si="8">C12*1.15*1.12</f>
        <v>21252.000000000004</v>
      </c>
      <c r="E12" s="107">
        <f t="shared" ref="E12:E15" si="9">C12*1.2*1.12</f>
        <v>22176.000000000004</v>
      </c>
      <c r="F12" s="107">
        <f t="shared" ref="F12:F15" si="10">C12*1.3*1.12</f>
        <v>24024.000000000004</v>
      </c>
      <c r="G12" s="107">
        <f t="shared" ref="G12:G15" si="11">C12*1.35*1.12</f>
        <v>24948.000000000004</v>
      </c>
      <c r="H12" s="102"/>
      <c r="I12" s="144" t="s">
        <v>170</v>
      </c>
      <c r="J12" s="145">
        <v>1.3</v>
      </c>
      <c r="K12" s="106">
        <f>60*140</f>
        <v>8400</v>
      </c>
      <c r="L12" s="108">
        <f t="shared" si="0"/>
        <v>10903.199999999999</v>
      </c>
      <c r="M12" s="108">
        <f t="shared" si="7"/>
        <v>11398.8</v>
      </c>
      <c r="N12" s="108">
        <f t="shared" si="1"/>
        <v>12390</v>
      </c>
      <c r="O12" s="108">
        <f t="shared" si="2"/>
        <v>12885.599999999999</v>
      </c>
    </row>
    <row r="13" spans="1:15" ht="15.6" x14ac:dyDescent="0.3">
      <c r="A13" s="144" t="s">
        <v>143</v>
      </c>
      <c r="B13" s="144">
        <v>3</v>
      </c>
      <c r="C13" s="104">
        <v>17000</v>
      </c>
      <c r="D13" s="107">
        <f t="shared" si="8"/>
        <v>21896.000000000004</v>
      </c>
      <c r="E13" s="107">
        <f t="shared" si="9"/>
        <v>22848.000000000004</v>
      </c>
      <c r="F13" s="107">
        <f t="shared" si="10"/>
        <v>24752.000000000004</v>
      </c>
      <c r="G13" s="107">
        <f t="shared" si="11"/>
        <v>25704.000000000004</v>
      </c>
      <c r="H13" s="102"/>
      <c r="I13" s="144" t="s">
        <v>171</v>
      </c>
      <c r="J13" s="145">
        <v>2.7</v>
      </c>
      <c r="K13" s="106">
        <f>100*140</f>
        <v>14000</v>
      </c>
      <c r="L13" s="108">
        <f t="shared" si="0"/>
        <v>18172</v>
      </c>
      <c r="M13" s="108">
        <f t="shared" si="7"/>
        <v>18997.999999999996</v>
      </c>
      <c r="N13" s="108">
        <f t="shared" si="1"/>
        <v>20650</v>
      </c>
      <c r="O13" s="108">
        <f t="shared" si="2"/>
        <v>21476</v>
      </c>
    </row>
    <row r="14" spans="1:15" ht="15.6" x14ac:dyDescent="0.3">
      <c r="A14" s="144" t="s">
        <v>144</v>
      </c>
      <c r="B14" s="144">
        <v>5</v>
      </c>
      <c r="C14" s="104">
        <v>19000</v>
      </c>
      <c r="D14" s="107">
        <f t="shared" si="8"/>
        <v>24472.000000000004</v>
      </c>
      <c r="E14" s="107">
        <f t="shared" si="9"/>
        <v>25536.000000000004</v>
      </c>
      <c r="F14" s="107">
        <f t="shared" si="10"/>
        <v>27664.000000000004</v>
      </c>
      <c r="G14" s="107">
        <f t="shared" si="11"/>
        <v>28728.000000000004</v>
      </c>
      <c r="H14" s="102"/>
      <c r="I14" s="144" t="s">
        <v>172</v>
      </c>
      <c r="J14" s="145">
        <v>3.3</v>
      </c>
      <c r="K14" s="106">
        <f>105*130</f>
        <v>13650</v>
      </c>
      <c r="L14" s="108">
        <f t="shared" si="0"/>
        <v>17717.7</v>
      </c>
      <c r="M14" s="108">
        <f t="shared" si="7"/>
        <v>18523.049999999996</v>
      </c>
      <c r="N14" s="108">
        <f t="shared" si="1"/>
        <v>20133.75</v>
      </c>
      <c r="O14" s="108">
        <f t="shared" si="2"/>
        <v>20939.099999999999</v>
      </c>
    </row>
    <row r="15" spans="1:15" ht="15.6" x14ac:dyDescent="0.3">
      <c r="A15" s="144" t="s">
        <v>145</v>
      </c>
      <c r="B15" s="144">
        <v>7.5</v>
      </c>
      <c r="C15" s="104">
        <v>24500</v>
      </c>
      <c r="D15" s="107">
        <f t="shared" si="8"/>
        <v>31556</v>
      </c>
      <c r="E15" s="107">
        <f t="shared" si="9"/>
        <v>32928</v>
      </c>
      <c r="F15" s="107">
        <f t="shared" si="10"/>
        <v>35672</v>
      </c>
      <c r="G15" s="107">
        <f t="shared" si="11"/>
        <v>37044</v>
      </c>
      <c r="H15" s="102"/>
      <c r="I15" s="144" t="s">
        <v>173</v>
      </c>
      <c r="J15" s="145">
        <v>5.4</v>
      </c>
      <c r="K15" s="106">
        <f>180*130</f>
        <v>23400</v>
      </c>
      <c r="L15" s="108">
        <f t="shared" si="0"/>
        <v>30373.200000000004</v>
      </c>
      <c r="M15" s="108">
        <f t="shared" si="7"/>
        <v>31753.799999999996</v>
      </c>
      <c r="N15" s="108">
        <f t="shared" si="1"/>
        <v>34515</v>
      </c>
      <c r="O15" s="108">
        <f t="shared" si="2"/>
        <v>35895.599999999999</v>
      </c>
    </row>
    <row r="16" spans="1:15" ht="15.6" x14ac:dyDescent="0.3">
      <c r="A16" s="144" t="s">
        <v>152</v>
      </c>
      <c r="B16" s="144">
        <v>1</v>
      </c>
      <c r="C16" s="104">
        <v>13000</v>
      </c>
      <c r="D16" s="144">
        <f>C16*1.15*1.12</f>
        <v>16744</v>
      </c>
      <c r="E16" s="107">
        <f>C16*1.2*1.12</f>
        <v>17472</v>
      </c>
      <c r="F16" s="144">
        <f>C16*1.3*1.12</f>
        <v>18928</v>
      </c>
      <c r="G16" s="144">
        <f>C16*1.35*1.12</f>
        <v>19656.000000000004</v>
      </c>
      <c r="H16" s="102"/>
      <c r="I16" s="144" t="s">
        <v>174</v>
      </c>
      <c r="J16" s="110">
        <v>8</v>
      </c>
      <c r="K16" s="106">
        <f>225*130</f>
        <v>29250</v>
      </c>
      <c r="L16" s="108">
        <f t="shared" si="0"/>
        <v>37966.5</v>
      </c>
      <c r="M16" s="108">
        <f t="shared" si="7"/>
        <v>39692.25</v>
      </c>
      <c r="N16" s="108">
        <f t="shared" si="1"/>
        <v>43143.75</v>
      </c>
      <c r="O16" s="108">
        <f t="shared" si="2"/>
        <v>44869.5</v>
      </c>
    </row>
    <row r="17" spans="1:15" ht="15.6" x14ac:dyDescent="0.3">
      <c r="A17" s="144" t="s">
        <v>153</v>
      </c>
      <c r="B17" s="144">
        <v>2</v>
      </c>
      <c r="C17" s="104">
        <v>13000</v>
      </c>
      <c r="D17" s="144">
        <f t="shared" ref="D17:D21" si="12">C17*1.15*1.12</f>
        <v>16744</v>
      </c>
      <c r="E17" s="107">
        <f t="shared" ref="E17:E21" si="13">C17*1.2*1.12</f>
        <v>17472</v>
      </c>
      <c r="F17" s="144">
        <f t="shared" ref="F17:F21" si="14">C17*1.3*1.12</f>
        <v>18928</v>
      </c>
      <c r="G17" s="144">
        <f t="shared" ref="G17:G21" si="15">C17*1.35*1.12</f>
        <v>19656.000000000004</v>
      </c>
      <c r="H17" s="102"/>
      <c r="I17" s="144" t="s">
        <v>175</v>
      </c>
      <c r="J17" s="110">
        <v>10</v>
      </c>
      <c r="K17" s="106">
        <f>250*130</f>
        <v>32500</v>
      </c>
      <c r="L17" s="108">
        <f t="shared" si="0"/>
        <v>42185</v>
      </c>
      <c r="M17" s="108">
        <f t="shared" si="7"/>
        <v>44102.5</v>
      </c>
      <c r="N17" s="108">
        <f t="shared" si="1"/>
        <v>47937.5</v>
      </c>
      <c r="O17" s="108">
        <f t="shared" si="2"/>
        <v>49855</v>
      </c>
    </row>
    <row r="18" spans="1:15" ht="15.6" x14ac:dyDescent="0.3">
      <c r="A18" s="144" t="s">
        <v>154</v>
      </c>
      <c r="B18" s="144">
        <v>3</v>
      </c>
      <c r="C18" s="104">
        <v>13000</v>
      </c>
      <c r="D18" s="144">
        <f t="shared" si="12"/>
        <v>16744</v>
      </c>
      <c r="E18" s="107">
        <f t="shared" si="13"/>
        <v>17472</v>
      </c>
      <c r="F18" s="144">
        <f t="shared" si="14"/>
        <v>18928</v>
      </c>
      <c r="G18" s="144">
        <f t="shared" si="15"/>
        <v>19656.000000000004</v>
      </c>
      <c r="H18" s="102"/>
      <c r="I18" s="144" t="s">
        <v>176</v>
      </c>
      <c r="J18" s="145">
        <v>1</v>
      </c>
      <c r="K18" s="106">
        <f>J18*1500</f>
        <v>1500</v>
      </c>
      <c r="L18" s="108">
        <f t="shared" si="0"/>
        <v>1947.0000000000002</v>
      </c>
      <c r="M18" s="108">
        <f t="shared" si="7"/>
        <v>2035.4999999999995</v>
      </c>
      <c r="N18" s="108">
        <f t="shared" si="1"/>
        <v>2212.5</v>
      </c>
      <c r="O18" s="108">
        <f t="shared" si="2"/>
        <v>2301</v>
      </c>
    </row>
    <row r="19" spans="1:15" ht="15.6" x14ac:dyDescent="0.3">
      <c r="A19" s="144" t="s">
        <v>155</v>
      </c>
      <c r="B19" s="144">
        <v>5</v>
      </c>
      <c r="C19" s="104">
        <v>16500</v>
      </c>
      <c r="D19" s="144">
        <f t="shared" si="12"/>
        <v>21252.000000000004</v>
      </c>
      <c r="E19" s="107">
        <f t="shared" si="13"/>
        <v>22176.000000000004</v>
      </c>
      <c r="F19" s="144">
        <f t="shared" si="14"/>
        <v>24024.000000000004</v>
      </c>
      <c r="G19" s="144">
        <f t="shared" si="15"/>
        <v>24948.000000000004</v>
      </c>
      <c r="H19" s="102"/>
      <c r="I19" s="144" t="s">
        <v>177</v>
      </c>
      <c r="J19" s="145">
        <v>1.3</v>
      </c>
      <c r="K19" s="106">
        <f>J19*1500</f>
        <v>1950</v>
      </c>
      <c r="L19" s="108">
        <f t="shared" si="0"/>
        <v>2531.1</v>
      </c>
      <c r="M19" s="108">
        <f t="shared" si="7"/>
        <v>2646.1499999999996</v>
      </c>
      <c r="N19" s="108">
        <f t="shared" si="1"/>
        <v>2876.25</v>
      </c>
      <c r="O19" s="108">
        <f t="shared" si="2"/>
        <v>2991.2999999999997</v>
      </c>
    </row>
    <row r="20" spans="1:15" ht="15.6" x14ac:dyDescent="0.3">
      <c r="A20" s="144" t="s">
        <v>156</v>
      </c>
      <c r="B20" s="144">
        <v>7.5</v>
      </c>
      <c r="C20" s="104">
        <v>18500</v>
      </c>
      <c r="D20" s="144">
        <f t="shared" si="12"/>
        <v>23828.000000000004</v>
      </c>
      <c r="E20" s="107">
        <f t="shared" si="13"/>
        <v>24864.000000000004</v>
      </c>
      <c r="F20" s="144">
        <f t="shared" si="14"/>
        <v>26936.000000000004</v>
      </c>
      <c r="G20" s="144">
        <f t="shared" si="15"/>
        <v>27972.000000000004</v>
      </c>
      <c r="H20" s="102"/>
      <c r="I20" s="144" t="s">
        <v>178</v>
      </c>
      <c r="J20" s="145">
        <v>2.7</v>
      </c>
      <c r="K20" s="106">
        <f>J20*1500</f>
        <v>4050.0000000000005</v>
      </c>
      <c r="L20" s="108">
        <f t="shared" si="0"/>
        <v>5256.9000000000005</v>
      </c>
      <c r="M20" s="108">
        <f t="shared" si="7"/>
        <v>5495.8499999999995</v>
      </c>
      <c r="N20" s="108">
        <f t="shared" si="1"/>
        <v>5973.7500000000009</v>
      </c>
      <c r="O20" s="108">
        <f t="shared" si="2"/>
        <v>6212.7000000000007</v>
      </c>
    </row>
    <row r="21" spans="1:15" ht="15.6" x14ac:dyDescent="0.3">
      <c r="A21" s="144" t="s">
        <v>157</v>
      </c>
      <c r="B21" s="111">
        <v>10</v>
      </c>
      <c r="C21" s="104">
        <v>18500</v>
      </c>
      <c r="D21" s="144">
        <f t="shared" si="12"/>
        <v>23828.000000000004</v>
      </c>
      <c r="E21" s="107">
        <f t="shared" si="13"/>
        <v>24864.000000000004</v>
      </c>
      <c r="F21" s="144">
        <f t="shared" si="14"/>
        <v>26936.000000000004</v>
      </c>
      <c r="G21" s="144">
        <f t="shared" si="15"/>
        <v>27972.000000000004</v>
      </c>
      <c r="H21" s="102"/>
      <c r="I21" s="144" t="s">
        <v>179</v>
      </c>
      <c r="J21" s="145">
        <v>3.3</v>
      </c>
      <c r="K21" s="106">
        <f>J21*1500</f>
        <v>4950</v>
      </c>
      <c r="L21" s="108">
        <f t="shared" si="0"/>
        <v>6425.0999999999995</v>
      </c>
      <c r="M21" s="108">
        <f t="shared" si="7"/>
        <v>6717.15</v>
      </c>
      <c r="N21" s="108">
        <f t="shared" si="1"/>
        <v>7301.25</v>
      </c>
      <c r="O21" s="108">
        <f t="shared" si="2"/>
        <v>7593.2999999999993</v>
      </c>
    </row>
    <row r="22" spans="1:15" ht="15.6" x14ac:dyDescent="0.3">
      <c r="A22" s="144" t="s">
        <v>146</v>
      </c>
      <c r="B22" s="144">
        <v>1</v>
      </c>
      <c r="C22" s="104">
        <v>23000</v>
      </c>
      <c r="D22" s="144">
        <f>C22*1.2*1.12</f>
        <v>30912.000000000004</v>
      </c>
      <c r="E22" s="107">
        <f>C22*1.25*1.12</f>
        <v>32200.000000000004</v>
      </c>
      <c r="F22" s="144">
        <f>C22*1.35*1.12</f>
        <v>34776.000000000007</v>
      </c>
      <c r="G22" s="144">
        <f>C22*1.4*1.12</f>
        <v>36064</v>
      </c>
      <c r="H22" s="102"/>
      <c r="I22" s="144" t="s">
        <v>180</v>
      </c>
      <c r="J22" s="145">
        <v>5.4</v>
      </c>
      <c r="K22" s="106">
        <f>J22*1250</f>
        <v>6750</v>
      </c>
      <c r="L22" s="108">
        <f t="shared" si="0"/>
        <v>8761.5</v>
      </c>
      <c r="M22" s="108">
        <f t="shared" si="7"/>
        <v>9159.7499999999982</v>
      </c>
      <c r="N22" s="108">
        <f t="shared" si="1"/>
        <v>9956.25</v>
      </c>
      <c r="O22" s="108">
        <f t="shared" si="2"/>
        <v>10354.5</v>
      </c>
    </row>
    <row r="23" spans="1:15" ht="15.6" x14ac:dyDescent="0.3">
      <c r="A23" s="144" t="s">
        <v>147</v>
      </c>
      <c r="B23" s="144">
        <v>2</v>
      </c>
      <c r="C23" s="104">
        <v>23500</v>
      </c>
      <c r="D23" s="144">
        <f t="shared" ref="D23:D28" si="16">C23*1.2*1.12</f>
        <v>31584.000000000004</v>
      </c>
      <c r="E23" s="107">
        <f t="shared" ref="E23:E28" si="17">C23*1.25*1.12</f>
        <v>32900</v>
      </c>
      <c r="F23" s="144">
        <f t="shared" ref="F23:F28" si="18">C23*1.35*1.12</f>
        <v>35532.000000000007</v>
      </c>
      <c r="G23" s="144">
        <f t="shared" ref="G23:G28" si="19">C23*1.4*1.12</f>
        <v>36848</v>
      </c>
      <c r="H23" s="102"/>
      <c r="I23" s="144" t="s">
        <v>181</v>
      </c>
      <c r="J23" s="110">
        <v>8</v>
      </c>
      <c r="K23" s="106">
        <f>J23*1250</f>
        <v>10000</v>
      </c>
      <c r="L23" s="108">
        <f t="shared" si="0"/>
        <v>12980</v>
      </c>
      <c r="M23" s="108">
        <f t="shared" si="7"/>
        <v>13570</v>
      </c>
      <c r="N23" s="108">
        <f t="shared" si="1"/>
        <v>14750</v>
      </c>
      <c r="O23" s="108">
        <f t="shared" si="2"/>
        <v>15340</v>
      </c>
    </row>
    <row r="24" spans="1:15" ht="15.6" x14ac:dyDescent="0.3">
      <c r="A24" s="144" t="s">
        <v>148</v>
      </c>
      <c r="B24" s="144">
        <v>3</v>
      </c>
      <c r="C24" s="104">
        <v>24000</v>
      </c>
      <c r="D24" s="144">
        <f t="shared" si="16"/>
        <v>32256.000000000004</v>
      </c>
      <c r="E24" s="107">
        <f t="shared" si="17"/>
        <v>33600</v>
      </c>
      <c r="F24" s="144">
        <f t="shared" si="18"/>
        <v>36288.000000000007</v>
      </c>
      <c r="G24" s="144">
        <f t="shared" si="19"/>
        <v>37632</v>
      </c>
      <c r="H24" s="102"/>
      <c r="I24" s="144" t="s">
        <v>182</v>
      </c>
      <c r="J24" s="110">
        <v>10</v>
      </c>
      <c r="K24" s="106">
        <f>J24*1250</f>
        <v>12500</v>
      </c>
      <c r="L24" s="108">
        <f t="shared" si="0"/>
        <v>16225.000000000002</v>
      </c>
      <c r="M24" s="108">
        <f t="shared" si="7"/>
        <v>16962.499999999996</v>
      </c>
      <c r="N24" s="108">
        <f t="shared" si="1"/>
        <v>18437.5</v>
      </c>
      <c r="O24" s="108">
        <f t="shared" si="2"/>
        <v>19175</v>
      </c>
    </row>
    <row r="25" spans="1:15" ht="15.6" x14ac:dyDescent="0.3">
      <c r="A25" s="144" t="s">
        <v>149</v>
      </c>
      <c r="B25" s="144">
        <v>5</v>
      </c>
      <c r="C25" s="104">
        <v>27500</v>
      </c>
      <c r="D25" s="144">
        <f t="shared" si="16"/>
        <v>36960</v>
      </c>
      <c r="E25" s="107">
        <f t="shared" si="17"/>
        <v>38500.000000000007</v>
      </c>
      <c r="F25" s="144">
        <f t="shared" si="18"/>
        <v>41580.000000000007</v>
      </c>
      <c r="G25" s="144">
        <f t="shared" si="19"/>
        <v>43120.000000000007</v>
      </c>
      <c r="H25" s="102"/>
      <c r="I25" s="102"/>
      <c r="J25" s="102"/>
      <c r="K25" s="133"/>
      <c r="L25" s="102"/>
      <c r="M25" s="102"/>
      <c r="N25" s="102"/>
      <c r="O25" s="102"/>
    </row>
    <row r="26" spans="1:15" ht="15.6" x14ac:dyDescent="0.3">
      <c r="A26" s="144" t="s">
        <v>150</v>
      </c>
      <c r="B26" s="144">
        <v>7.5</v>
      </c>
      <c r="C26" s="104">
        <v>36500</v>
      </c>
      <c r="D26" s="144">
        <f t="shared" si="16"/>
        <v>49056.000000000007</v>
      </c>
      <c r="E26" s="107">
        <f t="shared" si="17"/>
        <v>51100.000000000007</v>
      </c>
      <c r="F26" s="144">
        <f t="shared" si="18"/>
        <v>55188.000000000007</v>
      </c>
      <c r="G26" s="144">
        <f t="shared" si="19"/>
        <v>57232.000000000007</v>
      </c>
      <c r="H26" s="102"/>
      <c r="I26" s="162" t="s">
        <v>276</v>
      </c>
      <c r="J26" s="162"/>
      <c r="K26" s="162"/>
      <c r="L26" s="162"/>
      <c r="M26" s="162"/>
      <c r="N26" s="162"/>
      <c r="O26" s="162"/>
    </row>
    <row r="27" spans="1:15" ht="15.6" x14ac:dyDescent="0.3">
      <c r="A27" s="144" t="s">
        <v>151</v>
      </c>
      <c r="B27" s="111">
        <v>10</v>
      </c>
      <c r="C27" s="104">
        <v>40000</v>
      </c>
      <c r="D27" s="144">
        <f t="shared" si="16"/>
        <v>53760.000000000007</v>
      </c>
      <c r="E27" s="107">
        <f t="shared" si="17"/>
        <v>56000.000000000007</v>
      </c>
      <c r="F27" s="144">
        <f t="shared" si="18"/>
        <v>60480.000000000007</v>
      </c>
      <c r="G27" s="144">
        <f t="shared" si="19"/>
        <v>62720.000000000007</v>
      </c>
      <c r="H27" s="102"/>
      <c r="I27" s="144" t="s">
        <v>133</v>
      </c>
      <c r="J27" s="144" t="s">
        <v>134</v>
      </c>
      <c r="K27" s="106" t="s">
        <v>12</v>
      </c>
      <c r="L27" s="144" t="s">
        <v>16</v>
      </c>
      <c r="M27" s="144" t="s">
        <v>135</v>
      </c>
      <c r="N27" s="144" t="s">
        <v>136</v>
      </c>
      <c r="O27" s="144" t="s">
        <v>140</v>
      </c>
    </row>
    <row r="28" spans="1:15" ht="15.6" x14ac:dyDescent="0.3">
      <c r="A28" s="144" t="s">
        <v>328</v>
      </c>
      <c r="B28" s="111">
        <v>15</v>
      </c>
      <c r="C28" s="104">
        <v>55000</v>
      </c>
      <c r="D28" s="144">
        <f t="shared" si="16"/>
        <v>73920</v>
      </c>
      <c r="E28" s="107">
        <f t="shared" si="17"/>
        <v>77000.000000000015</v>
      </c>
      <c r="F28" s="144">
        <f t="shared" si="18"/>
        <v>83160.000000000015</v>
      </c>
      <c r="G28" s="144">
        <f t="shared" si="19"/>
        <v>86240.000000000015</v>
      </c>
      <c r="H28" s="102"/>
      <c r="I28" s="163" t="s">
        <v>183</v>
      </c>
      <c r="J28" s="164"/>
      <c r="K28" s="164"/>
      <c r="L28" s="164"/>
      <c r="M28" s="164"/>
      <c r="N28" s="164"/>
      <c r="O28" s="165"/>
    </row>
    <row r="29" spans="1:15" ht="15.6" x14ac:dyDescent="0.3">
      <c r="A29" s="144" t="s">
        <v>517</v>
      </c>
      <c r="B29" s="144">
        <v>1</v>
      </c>
      <c r="C29" s="104">
        <v>15000</v>
      </c>
      <c r="D29" s="144">
        <f t="shared" ref="D29:D49" si="20">C29*1.15*1.12</f>
        <v>19320.000000000004</v>
      </c>
      <c r="E29" s="107">
        <f t="shared" ref="E29:E34" si="21">C29*1.2*1.12</f>
        <v>20160.000000000004</v>
      </c>
      <c r="F29" s="144">
        <f>C29*1.25*1.12</f>
        <v>21000.000000000004</v>
      </c>
      <c r="G29" s="144">
        <f t="shared" ref="G29:G47" si="22">C29*1.3*1.12</f>
        <v>21840.000000000004</v>
      </c>
      <c r="H29" s="102"/>
      <c r="I29" s="144" t="s">
        <v>330</v>
      </c>
      <c r="J29" s="144">
        <v>1</v>
      </c>
      <c r="K29" s="106">
        <v>20000</v>
      </c>
      <c r="L29" s="144">
        <f>K29*1.2*1.12</f>
        <v>26880.000000000004</v>
      </c>
      <c r="M29" s="107">
        <f>K29*1.25*1.12</f>
        <v>28000.000000000004</v>
      </c>
      <c r="N29" s="107">
        <f>K29*1.12*1.35</f>
        <v>30240.000000000007</v>
      </c>
      <c r="O29" s="107">
        <f>K29*1.4*1.12</f>
        <v>31360.000000000004</v>
      </c>
    </row>
    <row r="30" spans="1:15" ht="15.6" x14ac:dyDescent="0.3">
      <c r="A30" s="144" t="s">
        <v>527</v>
      </c>
      <c r="B30" s="144">
        <v>1</v>
      </c>
      <c r="C30" s="104">
        <v>7000</v>
      </c>
      <c r="D30" s="144">
        <f t="shared" si="20"/>
        <v>9016</v>
      </c>
      <c r="E30" s="107">
        <f t="shared" si="21"/>
        <v>9408</v>
      </c>
      <c r="F30" s="144">
        <f>C30*1.5*1.12</f>
        <v>11760.000000000002</v>
      </c>
      <c r="G30" s="144">
        <f>C30*1.6*1.12</f>
        <v>12544.000000000002</v>
      </c>
      <c r="H30" s="102"/>
      <c r="I30" s="144" t="s">
        <v>331</v>
      </c>
      <c r="J30" s="144">
        <v>1</v>
      </c>
      <c r="K30" s="106">
        <v>14000</v>
      </c>
      <c r="L30" s="144">
        <f t="shared" ref="L30:L57" si="23">K30*1.2*1.12</f>
        <v>18816</v>
      </c>
      <c r="M30" s="107">
        <f t="shared" ref="M30:M57" si="24">K30*1.25*1.12</f>
        <v>19600.000000000004</v>
      </c>
      <c r="N30" s="107">
        <f>K30*1.12*1.35</f>
        <v>21168.000000000004</v>
      </c>
      <c r="O30" s="107">
        <f>K30*1.4*1.12</f>
        <v>21952.000000000004</v>
      </c>
    </row>
    <row r="31" spans="1:15" ht="15.6" x14ac:dyDescent="0.3">
      <c r="A31" s="144" t="s">
        <v>518</v>
      </c>
      <c r="B31" s="144">
        <v>2</v>
      </c>
      <c r="C31" s="104">
        <v>17000</v>
      </c>
      <c r="D31" s="144">
        <f t="shared" si="20"/>
        <v>21896.000000000004</v>
      </c>
      <c r="E31" s="107">
        <f t="shared" si="21"/>
        <v>22848.000000000004</v>
      </c>
      <c r="F31" s="144">
        <f t="shared" ref="F31:F47" si="25">C31*1.25*1.12</f>
        <v>23800.000000000004</v>
      </c>
      <c r="G31" s="144">
        <f t="shared" si="22"/>
        <v>24752.000000000004</v>
      </c>
      <c r="H31" s="102"/>
      <c r="I31" s="144" t="s">
        <v>332</v>
      </c>
      <c r="J31" s="144">
        <v>1</v>
      </c>
      <c r="K31" s="134">
        <f>12650/1.12</f>
        <v>11294.642857142857</v>
      </c>
      <c r="L31" s="107">
        <f>K31*1.1*1.12</f>
        <v>13915.000000000002</v>
      </c>
      <c r="M31" s="107">
        <f>K31*1.12*1.12</f>
        <v>14168.000000000004</v>
      </c>
      <c r="N31" s="107">
        <f>K31*1.12*1.15</f>
        <v>14547.500000000002</v>
      </c>
      <c r="O31" s="107">
        <f>K31*1.2*1.12</f>
        <v>15180</v>
      </c>
    </row>
    <row r="32" spans="1:15" ht="15.6" x14ac:dyDescent="0.3">
      <c r="A32" s="144" t="s">
        <v>158</v>
      </c>
      <c r="B32" s="144">
        <v>2</v>
      </c>
      <c r="C32" s="104">
        <v>9200</v>
      </c>
      <c r="D32" s="107">
        <f t="shared" si="20"/>
        <v>11849.6</v>
      </c>
      <c r="E32" s="107">
        <f t="shared" si="21"/>
        <v>12364.800000000001</v>
      </c>
      <c r="F32" s="144">
        <f>C32*1.5*1.12</f>
        <v>15456.000000000002</v>
      </c>
      <c r="G32" s="107">
        <f>C32*1.6*1.12</f>
        <v>16486.400000000001</v>
      </c>
      <c r="H32" s="102"/>
      <c r="I32" s="144" t="s">
        <v>333</v>
      </c>
      <c r="J32" s="144">
        <v>1</v>
      </c>
      <c r="K32" s="134">
        <f>16100/1.27</f>
        <v>12677.165354330709</v>
      </c>
      <c r="L32" s="107">
        <f>K32*1.1*1.12</f>
        <v>15618.267716535436</v>
      </c>
      <c r="M32" s="107">
        <f>K32*1.12*1.12</f>
        <v>15902.236220472445</v>
      </c>
      <c r="N32" s="107">
        <f>K32*1.12*1.15</f>
        <v>16328.188976377955</v>
      </c>
      <c r="O32" s="107">
        <f>K32*1.2*1.12</f>
        <v>17038.110236220477</v>
      </c>
    </row>
    <row r="33" spans="1:15" ht="15.6" x14ac:dyDescent="0.3">
      <c r="A33" s="144" t="s">
        <v>519</v>
      </c>
      <c r="B33" s="144">
        <v>3</v>
      </c>
      <c r="C33" s="104">
        <v>19000</v>
      </c>
      <c r="D33" s="144">
        <f t="shared" si="20"/>
        <v>24472.000000000004</v>
      </c>
      <c r="E33" s="107">
        <f t="shared" si="21"/>
        <v>25536.000000000004</v>
      </c>
      <c r="F33" s="144">
        <f t="shared" si="25"/>
        <v>26600.000000000004</v>
      </c>
      <c r="G33" s="144">
        <f t="shared" si="22"/>
        <v>27664.000000000004</v>
      </c>
      <c r="H33" s="102"/>
      <c r="I33" s="144" t="s">
        <v>415</v>
      </c>
      <c r="J33" s="144">
        <v>1</v>
      </c>
      <c r="K33" s="134">
        <v>15000</v>
      </c>
      <c r="L33" s="144">
        <f t="shared" si="23"/>
        <v>20160.000000000004</v>
      </c>
      <c r="M33" s="107">
        <f t="shared" si="24"/>
        <v>21000.000000000004</v>
      </c>
      <c r="N33" s="107">
        <f t="shared" ref="N33:N57" si="26">K33*1.12*1.35</f>
        <v>22680</v>
      </c>
      <c r="O33" s="107">
        <f t="shared" ref="O33:O50" si="27">K33*1.4*1.12</f>
        <v>23520.000000000004</v>
      </c>
    </row>
    <row r="34" spans="1:15" ht="15.6" x14ac:dyDescent="0.3">
      <c r="A34" s="144" t="s">
        <v>159</v>
      </c>
      <c r="B34" s="144">
        <v>3</v>
      </c>
      <c r="C34" s="104">
        <v>10800</v>
      </c>
      <c r="D34" s="107">
        <f t="shared" si="20"/>
        <v>13910.4</v>
      </c>
      <c r="E34" s="107">
        <f t="shared" si="21"/>
        <v>14515.2</v>
      </c>
      <c r="F34" s="144">
        <f>C34*1.5*1.12</f>
        <v>18144</v>
      </c>
      <c r="G34" s="107">
        <f>C34*1.6*1.12</f>
        <v>19353.600000000002</v>
      </c>
      <c r="H34" s="102"/>
      <c r="I34" s="144" t="s">
        <v>334</v>
      </c>
      <c r="J34" s="144">
        <v>1</v>
      </c>
      <c r="K34" s="106">
        <v>19500</v>
      </c>
      <c r="L34" s="144">
        <f t="shared" si="23"/>
        <v>26208.000000000004</v>
      </c>
      <c r="M34" s="107">
        <f t="shared" si="24"/>
        <v>27300.000000000004</v>
      </c>
      <c r="N34" s="107">
        <f t="shared" si="26"/>
        <v>29484.000000000007</v>
      </c>
      <c r="O34" s="107">
        <f t="shared" si="27"/>
        <v>30576.000000000004</v>
      </c>
    </row>
    <row r="35" spans="1:15" ht="15.6" x14ac:dyDescent="0.3">
      <c r="A35" s="144" t="s">
        <v>520</v>
      </c>
      <c r="B35" s="144">
        <v>5</v>
      </c>
      <c r="C35" s="104">
        <v>22000</v>
      </c>
      <c r="D35" s="144">
        <f>C35*1.1*1.12</f>
        <v>27104.000000000007</v>
      </c>
      <c r="E35" s="107">
        <f>C35*1.15*1.12</f>
        <v>28336</v>
      </c>
      <c r="F35" s="144">
        <f>C35*1.2*1.12</f>
        <v>29568.000000000004</v>
      </c>
      <c r="G35" s="144">
        <f>C35*1.25*1.12</f>
        <v>30800.000000000004</v>
      </c>
      <c r="H35" s="102"/>
      <c r="I35" s="144" t="s">
        <v>335</v>
      </c>
      <c r="J35" s="144">
        <v>1</v>
      </c>
      <c r="K35" s="134">
        <f>13700/1.12</f>
        <v>12232.142857142857</v>
      </c>
      <c r="L35" s="107">
        <f>K35*1.1*1.12</f>
        <v>15070.000000000002</v>
      </c>
      <c r="M35" s="107">
        <f>K35*1.12*1.12</f>
        <v>15344.000000000004</v>
      </c>
      <c r="N35" s="107">
        <f>K35*1.12*1.15</f>
        <v>15755</v>
      </c>
      <c r="O35" s="107">
        <f>K35*1.2*1.12</f>
        <v>16440</v>
      </c>
    </row>
    <row r="36" spans="1:15" ht="15.6" x14ac:dyDescent="0.3">
      <c r="A36" s="144" t="s">
        <v>160</v>
      </c>
      <c r="B36" s="144">
        <v>5</v>
      </c>
      <c r="C36" s="104">
        <v>13800</v>
      </c>
      <c r="D36" s="107">
        <f t="shared" ref="D36" si="28">C36*1.15*1.12</f>
        <v>17774.400000000001</v>
      </c>
      <c r="E36" s="107">
        <f t="shared" ref="E36" si="29">C36*1.2*1.12</f>
        <v>18547.2</v>
      </c>
      <c r="F36" s="144">
        <f>C36*1.5*1.12</f>
        <v>23184.000000000004</v>
      </c>
      <c r="G36" s="107">
        <f>C36*1.6*1.12</f>
        <v>24729.600000000002</v>
      </c>
      <c r="H36" s="102"/>
      <c r="I36" s="144" t="s">
        <v>336</v>
      </c>
      <c r="J36" s="144">
        <v>1</v>
      </c>
      <c r="K36" s="134">
        <f>18950/1.27</f>
        <v>14921.259842519685</v>
      </c>
      <c r="L36" s="107">
        <f>K36*1.1*1.12</f>
        <v>18382.992125984252</v>
      </c>
      <c r="M36" s="107">
        <f>K36*1.12*1.12</f>
        <v>18717.228346456697</v>
      </c>
      <c r="N36" s="107">
        <f>K36*1.12*1.15</f>
        <v>19218.582677165356</v>
      </c>
      <c r="O36" s="107">
        <f>K36*1.2*1.12</f>
        <v>20054.173228346459</v>
      </c>
    </row>
    <row r="37" spans="1:15" ht="15.6" x14ac:dyDescent="0.3">
      <c r="A37" s="144" t="s">
        <v>521</v>
      </c>
      <c r="B37" s="144">
        <v>7.5</v>
      </c>
      <c r="C37" s="104">
        <v>27000</v>
      </c>
      <c r="D37" s="144">
        <f t="shared" ref="D37:D41" si="30">C37*1.1*1.12</f>
        <v>33264.000000000007</v>
      </c>
      <c r="E37" s="107">
        <f t="shared" ref="E37:E41" si="31">C37*1.15*1.12</f>
        <v>34776</v>
      </c>
      <c r="F37" s="144">
        <f t="shared" ref="F37:F41" si="32">C37*1.2*1.12</f>
        <v>36288</v>
      </c>
      <c r="G37" s="144">
        <f t="shared" ref="G37:G41" si="33">C37*1.25*1.12</f>
        <v>37800</v>
      </c>
      <c r="H37" s="102"/>
      <c r="I37" s="144" t="s">
        <v>337</v>
      </c>
      <c r="J37" s="144">
        <v>2</v>
      </c>
      <c r="K37" s="106">
        <v>25000</v>
      </c>
      <c r="L37" s="144">
        <f t="shared" si="23"/>
        <v>33600</v>
      </c>
      <c r="M37" s="107">
        <f t="shared" si="24"/>
        <v>35000</v>
      </c>
      <c r="N37" s="107">
        <f t="shared" si="26"/>
        <v>37800.000000000007</v>
      </c>
      <c r="O37" s="107">
        <f t="shared" si="27"/>
        <v>39200.000000000007</v>
      </c>
    </row>
    <row r="38" spans="1:15" ht="15.6" x14ac:dyDescent="0.3">
      <c r="A38" s="144" t="s">
        <v>161</v>
      </c>
      <c r="B38" s="144">
        <v>7.5</v>
      </c>
      <c r="C38" s="104">
        <v>18000</v>
      </c>
      <c r="D38" s="144">
        <f t="shared" ref="D38" si="34">C38*1.15*1.12</f>
        <v>23184.000000000004</v>
      </c>
      <c r="E38" s="107">
        <f t="shared" ref="E38" si="35">C38*1.2*1.12</f>
        <v>24192.000000000004</v>
      </c>
      <c r="F38" s="144">
        <f>C38*1.5*1.12</f>
        <v>30240.000000000004</v>
      </c>
      <c r="G38" s="144">
        <f>C38*1.6*1.12</f>
        <v>32256.000000000004</v>
      </c>
      <c r="H38" s="102"/>
      <c r="I38" s="144" t="s">
        <v>338</v>
      </c>
      <c r="J38" s="144">
        <v>2</v>
      </c>
      <c r="K38" s="106">
        <v>18000</v>
      </c>
      <c r="L38" s="144">
        <f t="shared" si="23"/>
        <v>24192.000000000004</v>
      </c>
      <c r="M38" s="107">
        <f t="shared" si="24"/>
        <v>25200.000000000004</v>
      </c>
      <c r="N38" s="107">
        <f t="shared" si="26"/>
        <v>27216.000000000007</v>
      </c>
      <c r="O38" s="107">
        <f t="shared" si="27"/>
        <v>28224.000000000004</v>
      </c>
    </row>
    <row r="39" spans="1:15" ht="15.6" x14ac:dyDescent="0.3">
      <c r="A39" s="144" t="s">
        <v>522</v>
      </c>
      <c r="B39" s="111">
        <v>10</v>
      </c>
      <c r="C39" s="104">
        <v>31500</v>
      </c>
      <c r="D39" s="144">
        <f t="shared" si="30"/>
        <v>38808.000000000007</v>
      </c>
      <c r="E39" s="107">
        <f t="shared" si="31"/>
        <v>40572.000000000007</v>
      </c>
      <c r="F39" s="144">
        <f t="shared" si="32"/>
        <v>42336.000000000007</v>
      </c>
      <c r="G39" s="144">
        <f t="shared" si="33"/>
        <v>44100.000000000007</v>
      </c>
      <c r="H39" s="102"/>
      <c r="I39" s="144" t="s">
        <v>339</v>
      </c>
      <c r="J39" s="144">
        <v>2</v>
      </c>
      <c r="K39" s="134">
        <f>18600/1.12</f>
        <v>16607.142857142855</v>
      </c>
      <c r="L39" s="107">
        <f>K39*1.1*1.12</f>
        <v>20460</v>
      </c>
      <c r="M39" s="107">
        <f>K39*1.12*1.12</f>
        <v>20832.000000000004</v>
      </c>
      <c r="N39" s="107">
        <f>K39*1.12*1.15</f>
        <v>21390</v>
      </c>
      <c r="O39" s="107">
        <f>K39*1.2*1.12</f>
        <v>22319.999999999996</v>
      </c>
    </row>
    <row r="40" spans="1:15" ht="15.6" x14ac:dyDescent="0.3">
      <c r="A40" s="144" t="s">
        <v>528</v>
      </c>
      <c r="B40" s="113">
        <v>10</v>
      </c>
      <c r="C40" s="104">
        <v>21500</v>
      </c>
      <c r="D40" s="144">
        <f t="shared" ref="D40" si="36">C40*1.15*1.12</f>
        <v>27692</v>
      </c>
      <c r="E40" s="107">
        <f t="shared" ref="E40" si="37">C40*1.2*1.12</f>
        <v>28896.000000000004</v>
      </c>
      <c r="F40" s="144">
        <f>C40*1.5*1.12</f>
        <v>36120</v>
      </c>
      <c r="G40" s="144">
        <f>C40*1.6*1.12</f>
        <v>38528.000000000007</v>
      </c>
      <c r="H40" s="102"/>
      <c r="I40" s="144" t="s">
        <v>340</v>
      </c>
      <c r="J40" s="144">
        <v>2</v>
      </c>
      <c r="K40" s="106">
        <f>20800/1.27</f>
        <v>16377.952755905511</v>
      </c>
      <c r="L40" s="107">
        <f>K40*1.1*1.12</f>
        <v>20177.637795275594</v>
      </c>
      <c r="M40" s="107">
        <f>K40*1.12*1.12</f>
        <v>20544.503937007878</v>
      </c>
      <c r="N40" s="107">
        <f>K40*1.12*1.15</f>
        <v>21094.803149606301</v>
      </c>
      <c r="O40" s="107">
        <f>K40*1.2*1.12</f>
        <v>22011.968503937009</v>
      </c>
    </row>
    <row r="41" spans="1:15" ht="15.6" x14ac:dyDescent="0.3">
      <c r="A41" s="144" t="s">
        <v>523</v>
      </c>
      <c r="B41" s="113">
        <v>15</v>
      </c>
      <c r="C41" s="104">
        <v>37500</v>
      </c>
      <c r="D41" s="144">
        <f t="shared" si="30"/>
        <v>46200.000000000007</v>
      </c>
      <c r="E41" s="107">
        <f t="shared" si="31"/>
        <v>48300.000000000007</v>
      </c>
      <c r="F41" s="144">
        <f t="shared" si="32"/>
        <v>50400.000000000007</v>
      </c>
      <c r="G41" s="144">
        <f t="shared" si="33"/>
        <v>52500.000000000007</v>
      </c>
      <c r="H41" s="102"/>
      <c r="I41" s="144" t="s">
        <v>341</v>
      </c>
      <c r="J41" s="144">
        <v>2</v>
      </c>
      <c r="K41" s="106">
        <v>20500</v>
      </c>
      <c r="L41" s="144">
        <f t="shared" si="23"/>
        <v>27552.000000000004</v>
      </c>
      <c r="M41" s="107">
        <f t="shared" si="24"/>
        <v>28700.000000000004</v>
      </c>
      <c r="N41" s="107">
        <f t="shared" si="26"/>
        <v>30996.000000000007</v>
      </c>
      <c r="O41" s="107">
        <f t="shared" si="27"/>
        <v>32144</v>
      </c>
    </row>
    <row r="42" spans="1:15" ht="15.6" x14ac:dyDescent="0.3">
      <c r="A42" s="144" t="s">
        <v>281</v>
      </c>
      <c r="B42" s="113">
        <v>15</v>
      </c>
      <c r="C42" s="104">
        <v>27500</v>
      </c>
      <c r="D42" s="144">
        <f t="shared" ref="D42" si="38">C42*1.15*1.12</f>
        <v>35420</v>
      </c>
      <c r="E42" s="107">
        <f t="shared" ref="E42" si="39">C42*1.2*1.12</f>
        <v>36960</v>
      </c>
      <c r="F42" s="144">
        <f>C42*1.5*1.12</f>
        <v>46200.000000000007</v>
      </c>
      <c r="G42" s="144">
        <f>C42*1.6*1.12</f>
        <v>49280.000000000007</v>
      </c>
      <c r="H42" s="102"/>
      <c r="I42" s="144" t="s">
        <v>342</v>
      </c>
      <c r="J42" s="144">
        <v>2</v>
      </c>
      <c r="K42" s="134">
        <f>20100/1.12</f>
        <v>17946.428571428569</v>
      </c>
      <c r="L42" s="107">
        <f>K42*1.1*1.12</f>
        <v>22110</v>
      </c>
      <c r="M42" s="107">
        <f>K42*1.12*1.12</f>
        <v>22512.000000000004</v>
      </c>
      <c r="N42" s="107">
        <f>K42*1.12*1.15</f>
        <v>23115</v>
      </c>
      <c r="O42" s="107">
        <f>K42*1.2*1.12</f>
        <v>24120</v>
      </c>
    </row>
    <row r="43" spans="1:15" ht="15.6" x14ac:dyDescent="0.3">
      <c r="A43" s="144" t="s">
        <v>524</v>
      </c>
      <c r="B43" s="144">
        <v>1</v>
      </c>
      <c r="C43" s="104">
        <v>15500</v>
      </c>
      <c r="D43" s="144">
        <f t="shared" si="20"/>
        <v>19964.000000000004</v>
      </c>
      <c r="E43" s="107">
        <f>C43*1.2*1.12</f>
        <v>20832.000000000004</v>
      </c>
      <c r="F43" s="144">
        <f t="shared" si="25"/>
        <v>21700.000000000004</v>
      </c>
      <c r="G43" s="144">
        <f t="shared" si="22"/>
        <v>22568.000000000004</v>
      </c>
      <c r="H43" s="102"/>
      <c r="I43" s="144" t="s">
        <v>343</v>
      </c>
      <c r="J43" s="144">
        <v>2</v>
      </c>
      <c r="K43" s="134">
        <f>21700/1.27</f>
        <v>17086.614173228347</v>
      </c>
      <c r="L43" s="107">
        <f>K43*1.1*1.12</f>
        <v>21050.708661417328</v>
      </c>
      <c r="M43" s="107">
        <f>K43*1.12*1.12</f>
        <v>21433.448818897643</v>
      </c>
      <c r="N43" s="107">
        <f>K43*1.12*1.15</f>
        <v>22007.559055118112</v>
      </c>
      <c r="O43" s="107">
        <f>K43*1.2*1.12</f>
        <v>22964.409448818897</v>
      </c>
    </row>
    <row r="44" spans="1:15" ht="15.6" x14ac:dyDescent="0.3">
      <c r="A44" s="144" t="s">
        <v>529</v>
      </c>
      <c r="B44" s="144">
        <v>1</v>
      </c>
      <c r="C44" s="104">
        <v>9000</v>
      </c>
      <c r="D44" s="144">
        <f t="shared" si="20"/>
        <v>11592.000000000002</v>
      </c>
      <c r="E44" s="107">
        <f t="shared" ref="E44" si="40">C44*1.2*1.12</f>
        <v>12096.000000000002</v>
      </c>
      <c r="F44" s="144">
        <f>C44*1.5*1.12</f>
        <v>15120.000000000002</v>
      </c>
      <c r="G44" s="144">
        <f>C44*1.6*1.12</f>
        <v>16128.000000000002</v>
      </c>
      <c r="H44" s="102"/>
      <c r="I44" s="144" t="s">
        <v>346</v>
      </c>
      <c r="J44" s="111">
        <v>2</v>
      </c>
      <c r="K44" s="106">
        <v>22000</v>
      </c>
      <c r="L44" s="144">
        <f t="shared" si="23"/>
        <v>29568.000000000004</v>
      </c>
      <c r="M44" s="107">
        <f t="shared" si="24"/>
        <v>30800.000000000004</v>
      </c>
      <c r="N44" s="107">
        <f t="shared" si="26"/>
        <v>33264.000000000007</v>
      </c>
      <c r="O44" s="107">
        <f t="shared" si="27"/>
        <v>34496</v>
      </c>
    </row>
    <row r="45" spans="1:15" ht="15.6" x14ac:dyDescent="0.3">
      <c r="A45" s="144" t="s">
        <v>525</v>
      </c>
      <c r="B45" s="144">
        <v>2</v>
      </c>
      <c r="C45" s="104">
        <v>17500</v>
      </c>
      <c r="D45" s="144">
        <f t="shared" si="20"/>
        <v>22540.000000000004</v>
      </c>
      <c r="E45" s="107">
        <f>C45*1.2*1.12</f>
        <v>23520.000000000004</v>
      </c>
      <c r="F45" s="144">
        <f t="shared" si="25"/>
        <v>24500.000000000004</v>
      </c>
      <c r="G45" s="144">
        <f t="shared" si="22"/>
        <v>25480.000000000004</v>
      </c>
      <c r="H45" s="102"/>
      <c r="I45" s="144" t="s">
        <v>345</v>
      </c>
      <c r="J45" s="144">
        <v>2</v>
      </c>
      <c r="K45" s="106">
        <v>25500</v>
      </c>
      <c r="L45" s="144">
        <f t="shared" si="23"/>
        <v>34272</v>
      </c>
      <c r="M45" s="107">
        <f t="shared" si="24"/>
        <v>35700</v>
      </c>
      <c r="N45" s="107">
        <f t="shared" si="26"/>
        <v>38556.000000000007</v>
      </c>
      <c r="O45" s="107">
        <f t="shared" si="27"/>
        <v>39984.000000000007</v>
      </c>
    </row>
    <row r="46" spans="1:15" ht="15.6" x14ac:dyDescent="0.3">
      <c r="A46" s="144" t="s">
        <v>530</v>
      </c>
      <c r="B46" s="144">
        <v>2</v>
      </c>
      <c r="C46" s="104">
        <v>10500</v>
      </c>
      <c r="D46" s="144">
        <f t="shared" si="20"/>
        <v>13524</v>
      </c>
      <c r="E46" s="107">
        <f t="shared" ref="E46" si="41">C46*1.2*1.12</f>
        <v>14112.000000000002</v>
      </c>
      <c r="F46" s="144">
        <f>C46*1.5*1.12</f>
        <v>17640</v>
      </c>
      <c r="G46" s="144">
        <f>C46*1.6*1.12</f>
        <v>18816</v>
      </c>
      <c r="H46" s="102"/>
      <c r="I46" s="144" t="s">
        <v>344</v>
      </c>
      <c r="J46" s="144">
        <v>2</v>
      </c>
      <c r="K46" s="106">
        <v>31500</v>
      </c>
      <c r="L46" s="144">
        <f t="shared" si="23"/>
        <v>42336.000000000007</v>
      </c>
      <c r="M46" s="107">
        <f t="shared" si="24"/>
        <v>44100.000000000007</v>
      </c>
      <c r="N46" s="107">
        <f t="shared" si="26"/>
        <v>47628</v>
      </c>
      <c r="O46" s="107">
        <f t="shared" si="27"/>
        <v>49392.000000000007</v>
      </c>
    </row>
    <row r="47" spans="1:15" ht="15.6" x14ac:dyDescent="0.3">
      <c r="A47" s="144" t="s">
        <v>526</v>
      </c>
      <c r="B47" s="144">
        <v>3</v>
      </c>
      <c r="C47" s="104">
        <v>19500</v>
      </c>
      <c r="D47" s="144">
        <f t="shared" si="20"/>
        <v>25116.000000000004</v>
      </c>
      <c r="E47" s="107">
        <f>C47*1.2*1.12</f>
        <v>26208.000000000004</v>
      </c>
      <c r="F47" s="144">
        <f t="shared" si="25"/>
        <v>27300.000000000004</v>
      </c>
      <c r="G47" s="144">
        <f t="shared" si="22"/>
        <v>28392.000000000004</v>
      </c>
      <c r="H47" s="102"/>
      <c r="I47" s="144" t="s">
        <v>347</v>
      </c>
      <c r="J47" s="144">
        <v>2</v>
      </c>
      <c r="K47" s="134">
        <f>22000/1.12</f>
        <v>19642.857142857141</v>
      </c>
      <c r="L47" s="107">
        <f>K47*1.1*1.12</f>
        <v>24200.000000000004</v>
      </c>
      <c r="M47" s="107">
        <f>K47*1.12*1.12</f>
        <v>24640.000000000004</v>
      </c>
      <c r="N47" s="107">
        <f>K47*1.12*1.15</f>
        <v>25299.999999999996</v>
      </c>
      <c r="O47" s="107">
        <f>K47*1.2*1.12</f>
        <v>26400</v>
      </c>
    </row>
    <row r="48" spans="1:15" ht="15.6" x14ac:dyDescent="0.3">
      <c r="A48" s="144" t="s">
        <v>531</v>
      </c>
      <c r="B48" s="144">
        <v>3</v>
      </c>
      <c r="C48" s="104">
        <v>12500</v>
      </c>
      <c r="D48" s="144">
        <f t="shared" si="20"/>
        <v>16100</v>
      </c>
      <c r="E48" s="107">
        <f t="shared" ref="E48:E49" si="42">C48*1.2*1.12</f>
        <v>16800</v>
      </c>
      <c r="F48" s="144">
        <f>C48*1.5*1.12</f>
        <v>21000.000000000004</v>
      </c>
      <c r="G48" s="144">
        <f>C48*1.6*1.12</f>
        <v>22400.000000000004</v>
      </c>
      <c r="H48" s="102"/>
      <c r="I48" s="144" t="s">
        <v>348</v>
      </c>
      <c r="J48" s="144">
        <v>2</v>
      </c>
      <c r="K48" s="134">
        <f>22500/1.27</f>
        <v>17716.535433070865</v>
      </c>
      <c r="L48" s="107">
        <f>K48*1.1*1.12</f>
        <v>21826.77165354331</v>
      </c>
      <c r="M48" s="107">
        <f>K48*1.12*1.12</f>
        <v>22223.622047244095</v>
      </c>
      <c r="N48" s="107">
        <f>K48*1.12*1.15</f>
        <v>22818.897637795275</v>
      </c>
      <c r="O48" s="107">
        <f>K48*1.2*1.12</f>
        <v>23811.023622047243</v>
      </c>
    </row>
    <row r="49" spans="1:15" ht="15.6" x14ac:dyDescent="0.3">
      <c r="A49" s="144" t="s">
        <v>532</v>
      </c>
      <c r="B49" s="144" t="s">
        <v>533</v>
      </c>
      <c r="C49" s="104">
        <v>9500</v>
      </c>
      <c r="D49" s="144">
        <f t="shared" si="20"/>
        <v>12236.000000000002</v>
      </c>
      <c r="E49" s="107">
        <f t="shared" si="42"/>
        <v>12768.000000000002</v>
      </c>
      <c r="F49" s="144">
        <f>C49*1.5*1.12</f>
        <v>15960.000000000002</v>
      </c>
      <c r="G49" s="144">
        <f>C49*1.6*1.12</f>
        <v>17024</v>
      </c>
      <c r="H49" s="102"/>
      <c r="I49" s="144" t="s">
        <v>349</v>
      </c>
      <c r="J49" s="144">
        <v>3</v>
      </c>
      <c r="K49" s="106">
        <v>26000</v>
      </c>
      <c r="L49" s="144">
        <f t="shared" si="23"/>
        <v>34944</v>
      </c>
      <c r="M49" s="107">
        <f t="shared" si="24"/>
        <v>36400</v>
      </c>
      <c r="N49" s="107">
        <f t="shared" si="26"/>
        <v>39312.000000000007</v>
      </c>
      <c r="O49" s="107">
        <f t="shared" si="27"/>
        <v>40768.000000000007</v>
      </c>
    </row>
    <row r="50" spans="1:15" ht="15.6" x14ac:dyDescent="0.3">
      <c r="A50" s="162" t="s">
        <v>317</v>
      </c>
      <c r="B50" s="162"/>
      <c r="C50" s="162"/>
      <c r="D50" s="131">
        <v>0.15</v>
      </c>
      <c r="E50" s="131">
        <v>0.2</v>
      </c>
      <c r="F50" s="131">
        <v>0.3</v>
      </c>
      <c r="G50" s="131">
        <v>0.35</v>
      </c>
      <c r="H50" s="102"/>
      <c r="I50" s="144" t="s">
        <v>350</v>
      </c>
      <c r="J50" s="144">
        <v>3</v>
      </c>
      <c r="K50" s="106">
        <v>19000</v>
      </c>
      <c r="L50" s="144">
        <f t="shared" si="23"/>
        <v>25536.000000000004</v>
      </c>
      <c r="M50" s="107">
        <f t="shared" si="24"/>
        <v>26600.000000000004</v>
      </c>
      <c r="N50" s="107">
        <f t="shared" si="26"/>
        <v>28728.000000000007</v>
      </c>
      <c r="O50" s="107">
        <f t="shared" si="27"/>
        <v>29792.000000000004</v>
      </c>
    </row>
    <row r="51" spans="1:15" ht="15.6" x14ac:dyDescent="0.3">
      <c r="A51" s="162" t="s">
        <v>318</v>
      </c>
      <c r="B51" s="162"/>
      <c r="C51" s="162"/>
      <c r="D51" s="131">
        <v>0.2</v>
      </c>
      <c r="E51" s="131">
        <v>0.25</v>
      </c>
      <c r="F51" s="131">
        <v>0.35</v>
      </c>
      <c r="G51" s="131">
        <v>0.4</v>
      </c>
      <c r="H51" s="102"/>
      <c r="I51" s="144" t="s">
        <v>367</v>
      </c>
      <c r="J51" s="144">
        <v>3</v>
      </c>
      <c r="K51" s="134">
        <f>26100/1.12</f>
        <v>23303.571428571428</v>
      </c>
      <c r="L51" s="107">
        <f>K51*1.1*1.12</f>
        <v>28710.000000000004</v>
      </c>
      <c r="M51" s="107">
        <f>K51*1.12*1.12</f>
        <v>29232.000000000004</v>
      </c>
      <c r="N51" s="107">
        <f>K51*1.12*1.15</f>
        <v>30014.999999999996</v>
      </c>
      <c r="O51" s="107">
        <f>K51*1.2*1.12</f>
        <v>31320.000000000004</v>
      </c>
    </row>
    <row r="52" spans="1:15" ht="15.6" x14ac:dyDescent="0.3">
      <c r="A52" s="162" t="s">
        <v>319</v>
      </c>
      <c r="B52" s="162"/>
      <c r="C52" s="162"/>
      <c r="D52" s="130">
        <v>0.15</v>
      </c>
      <c r="E52" s="130">
        <v>0.2</v>
      </c>
      <c r="F52" s="131">
        <v>0.3</v>
      </c>
      <c r="G52" s="131">
        <v>0.35</v>
      </c>
      <c r="H52" s="102"/>
      <c r="I52" s="144" t="s">
        <v>351</v>
      </c>
      <c r="J52" s="144">
        <v>3</v>
      </c>
      <c r="K52" s="106">
        <v>23000</v>
      </c>
      <c r="L52" s="144">
        <f t="shared" si="23"/>
        <v>30912.000000000004</v>
      </c>
      <c r="M52" s="107">
        <f t="shared" si="24"/>
        <v>32200.000000000004</v>
      </c>
      <c r="N52" s="107">
        <f t="shared" si="26"/>
        <v>34776.000000000007</v>
      </c>
      <c r="O52" s="144">
        <f>K52*1.4*1.12</f>
        <v>36064</v>
      </c>
    </row>
    <row r="53" spans="1:15" ht="15.6" x14ac:dyDescent="0.3">
      <c r="A53" s="162" t="s">
        <v>320</v>
      </c>
      <c r="B53" s="162"/>
      <c r="C53" s="162"/>
      <c r="D53" s="128" t="s">
        <v>314</v>
      </c>
      <c r="E53" s="128" t="s">
        <v>315</v>
      </c>
      <c r="F53" s="129" t="s">
        <v>321</v>
      </c>
      <c r="G53" s="129" t="s">
        <v>322</v>
      </c>
      <c r="H53" s="102"/>
      <c r="I53" s="144" t="s">
        <v>355</v>
      </c>
      <c r="J53" s="144">
        <v>3</v>
      </c>
      <c r="K53" s="134">
        <f>27900/1.12</f>
        <v>24910.714285714283</v>
      </c>
      <c r="L53" s="107">
        <f>K53*1.1*1.12</f>
        <v>30690.000000000004</v>
      </c>
      <c r="M53" s="107">
        <f>K53*1.12*1.12</f>
        <v>31248.000000000004</v>
      </c>
      <c r="N53" s="107">
        <f>K53*1.12*1.15</f>
        <v>32084.999999999996</v>
      </c>
      <c r="O53" s="107">
        <f>K53*1.2*1.12</f>
        <v>33480</v>
      </c>
    </row>
    <row r="54" spans="1:15" ht="15.6" x14ac:dyDescent="0.3">
      <c r="A54" s="102"/>
      <c r="B54" s="102"/>
      <c r="C54" s="127"/>
      <c r="D54" s="102"/>
      <c r="E54" s="102"/>
      <c r="F54" s="102"/>
      <c r="G54" s="102"/>
      <c r="H54" s="102"/>
      <c r="I54" s="144" t="s">
        <v>358</v>
      </c>
      <c r="J54" s="144">
        <v>3</v>
      </c>
      <c r="K54" s="134">
        <f>37500/1.27</f>
        <v>29527.559055118109</v>
      </c>
      <c r="L54" s="107">
        <f>K54*1.1*1.12</f>
        <v>36377.95275590552</v>
      </c>
      <c r="M54" s="107">
        <f>K54*1.12*1.12</f>
        <v>37039.370078740169</v>
      </c>
      <c r="N54" s="107">
        <f>K54*1.12*1.15</f>
        <v>38031.496062992126</v>
      </c>
      <c r="O54" s="107">
        <f>K54*1.2*1.12</f>
        <v>39685.039370078739</v>
      </c>
    </row>
    <row r="55" spans="1:15" ht="15.6" x14ac:dyDescent="0.3">
      <c r="A55" s="166" t="s">
        <v>194</v>
      </c>
      <c r="B55" s="166"/>
      <c r="C55" s="166"/>
      <c r="D55" s="166"/>
      <c r="E55" s="166"/>
      <c r="F55" s="166"/>
      <c r="G55" s="166"/>
      <c r="H55" s="102"/>
      <c r="I55" s="144" t="s">
        <v>352</v>
      </c>
      <c r="J55" s="144">
        <v>3</v>
      </c>
      <c r="K55" s="106">
        <v>25000</v>
      </c>
      <c r="L55" s="144">
        <f t="shared" si="23"/>
        <v>33600</v>
      </c>
      <c r="M55" s="107">
        <f t="shared" si="24"/>
        <v>35000</v>
      </c>
      <c r="N55" s="107">
        <f t="shared" si="26"/>
        <v>37800.000000000007</v>
      </c>
      <c r="O55" s="144">
        <f>K55*1.4*1.12</f>
        <v>39200.000000000007</v>
      </c>
    </row>
    <row r="56" spans="1:15" ht="15.6" x14ac:dyDescent="0.3">
      <c r="A56" s="146" t="s">
        <v>133</v>
      </c>
      <c r="B56" s="146" t="s">
        <v>134</v>
      </c>
      <c r="C56" s="115" t="s">
        <v>12</v>
      </c>
      <c r="D56" s="146" t="s">
        <v>16</v>
      </c>
      <c r="E56" s="146" t="s">
        <v>135</v>
      </c>
      <c r="F56" s="146" t="s">
        <v>136</v>
      </c>
      <c r="G56" s="146" t="s">
        <v>140</v>
      </c>
      <c r="H56" s="102"/>
      <c r="I56" s="144" t="s">
        <v>359</v>
      </c>
      <c r="J56" s="144">
        <v>3</v>
      </c>
      <c r="K56" s="134">
        <f>32200/1.27</f>
        <v>25354.330708661419</v>
      </c>
      <c r="L56" s="107">
        <f>K56*1.1*1.12</f>
        <v>31236.535433070872</v>
      </c>
      <c r="M56" s="107">
        <f>K56*1.12*1.12</f>
        <v>31804.47244094489</v>
      </c>
      <c r="N56" s="107">
        <f>K56*1.12*1.15</f>
        <v>32656.377952755909</v>
      </c>
      <c r="O56" s="107">
        <f>K56*1.2*1.12</f>
        <v>34076.220472440953</v>
      </c>
    </row>
    <row r="57" spans="1:15" ht="15.6" x14ac:dyDescent="0.3">
      <c r="A57" s="168" t="s">
        <v>271</v>
      </c>
      <c r="B57" s="169"/>
      <c r="C57" s="169"/>
      <c r="D57" s="169"/>
      <c r="E57" s="169"/>
      <c r="F57" s="169"/>
      <c r="G57" s="170"/>
      <c r="H57" s="102"/>
      <c r="I57" s="144" t="s">
        <v>353</v>
      </c>
      <c r="J57" s="144">
        <v>3</v>
      </c>
      <c r="K57" s="106">
        <v>29000</v>
      </c>
      <c r="L57" s="144">
        <f t="shared" si="23"/>
        <v>38976.000000000007</v>
      </c>
      <c r="M57" s="107">
        <f t="shared" si="24"/>
        <v>40600.000000000007</v>
      </c>
      <c r="N57" s="107">
        <f t="shared" si="26"/>
        <v>43848.000000000007</v>
      </c>
      <c r="O57" s="144">
        <f>K57*1.4*1.12</f>
        <v>45472.000000000007</v>
      </c>
    </row>
    <row r="58" spans="1:15" ht="15.6" x14ac:dyDescent="0.3">
      <c r="A58" s="146" t="s">
        <v>191</v>
      </c>
      <c r="B58" s="146" t="s">
        <v>193</v>
      </c>
      <c r="C58" s="115">
        <v>35</v>
      </c>
      <c r="D58" s="108">
        <f>C58*1.1*1.18</f>
        <v>45.43</v>
      </c>
      <c r="E58" s="108">
        <f>C58*1.15*1.18</f>
        <v>47.494999999999997</v>
      </c>
      <c r="F58" s="108">
        <f>C58*1.25*1.18</f>
        <v>51.625</v>
      </c>
      <c r="G58" s="108">
        <f>C58*1.3*1.18</f>
        <v>53.69</v>
      </c>
      <c r="H58" s="102"/>
      <c r="I58" s="144" t="s">
        <v>356</v>
      </c>
      <c r="J58" s="144">
        <v>3</v>
      </c>
      <c r="K58" s="134">
        <f>26100/1.12</f>
        <v>23303.571428571428</v>
      </c>
      <c r="L58" s="107">
        <f>K58*1.1*1.12</f>
        <v>28710.000000000004</v>
      </c>
      <c r="M58" s="107">
        <f>K58*1.12*1.12</f>
        <v>29232.000000000004</v>
      </c>
      <c r="N58" s="107">
        <f>K58*1.12*1.15</f>
        <v>30014.999999999996</v>
      </c>
      <c r="O58" s="107">
        <f>K58*1.2*1.12</f>
        <v>31320.000000000004</v>
      </c>
    </row>
    <row r="59" spans="1:15" ht="15.6" x14ac:dyDescent="0.3">
      <c r="A59" s="146" t="s">
        <v>192</v>
      </c>
      <c r="B59" s="146" t="s">
        <v>193</v>
      </c>
      <c r="C59" s="115">
        <v>57</v>
      </c>
      <c r="D59" s="108">
        <f>C59*1.1*1.18</f>
        <v>73.986000000000004</v>
      </c>
      <c r="E59" s="108">
        <f>C59*1.15*1.18</f>
        <v>77.34899999999999</v>
      </c>
      <c r="F59" s="108">
        <f>C59*1.25*1.18</f>
        <v>84.074999999999989</v>
      </c>
      <c r="G59" s="108">
        <f>C59*1.3*1.18</f>
        <v>87.438000000000002</v>
      </c>
      <c r="H59" s="102"/>
      <c r="I59" s="144" t="s">
        <v>354</v>
      </c>
      <c r="J59" s="144">
        <v>3</v>
      </c>
      <c r="K59" s="106">
        <v>32000</v>
      </c>
      <c r="L59" s="144">
        <f t="shared" ref="L59" si="43">K59*1.2*1.12</f>
        <v>43008.000000000007</v>
      </c>
      <c r="M59" s="107">
        <f t="shared" ref="M59" si="44">K59*1.25*1.12</f>
        <v>44800.000000000007</v>
      </c>
      <c r="N59" s="107">
        <f t="shared" ref="N59" si="45">K59*1.12*1.35</f>
        <v>48384</v>
      </c>
      <c r="O59" s="144">
        <f>K59*1.4*1.12</f>
        <v>50176.000000000007</v>
      </c>
    </row>
    <row r="60" spans="1:15" ht="15.6" x14ac:dyDescent="0.3">
      <c r="A60" s="168" t="s">
        <v>272</v>
      </c>
      <c r="B60" s="169"/>
      <c r="C60" s="169"/>
      <c r="D60" s="169"/>
      <c r="E60" s="169"/>
      <c r="F60" s="169"/>
      <c r="G60" s="170"/>
      <c r="H60" s="102"/>
      <c r="I60" s="144" t="s">
        <v>357</v>
      </c>
      <c r="J60" s="144">
        <v>3</v>
      </c>
      <c r="K60" s="134">
        <f>30200/1.12</f>
        <v>26964.28571428571</v>
      </c>
      <c r="L60" s="107">
        <f>K60*1.1*1.12</f>
        <v>33220</v>
      </c>
      <c r="M60" s="107">
        <f>K60*1.12*1.12</f>
        <v>33824</v>
      </c>
      <c r="N60" s="107">
        <f>K60*1.12*1.15</f>
        <v>34730</v>
      </c>
      <c r="O60" s="107">
        <f>K60*1.2*1.12</f>
        <v>36240</v>
      </c>
    </row>
    <row r="61" spans="1:15" ht="46.8" x14ac:dyDescent="0.3">
      <c r="A61" s="116" t="s">
        <v>270</v>
      </c>
      <c r="B61" s="146" t="s">
        <v>269</v>
      </c>
      <c r="C61" s="115">
        <v>2960</v>
      </c>
      <c r="D61" s="108">
        <f>C61*1.1*1.18</f>
        <v>3842.0800000000004</v>
      </c>
      <c r="E61" s="108">
        <f>C61*1.15*1.18</f>
        <v>4016.7199999999993</v>
      </c>
      <c r="F61" s="108">
        <f>C61*1.25*1.18</f>
        <v>4366</v>
      </c>
      <c r="G61" s="108">
        <f>C61*1.3*1.18</f>
        <v>4540.6399999999994</v>
      </c>
      <c r="H61" s="102"/>
      <c r="I61" s="144" t="s">
        <v>360</v>
      </c>
      <c r="J61" s="144">
        <v>3</v>
      </c>
      <c r="K61" s="134">
        <f>37200/1.27</f>
        <v>29291.338582677166</v>
      </c>
      <c r="L61" s="107">
        <f>K61*1.1*1.12</f>
        <v>36086.929133858277</v>
      </c>
      <c r="M61" s="107">
        <f>K61*1.12*1.12</f>
        <v>36743.055118110249</v>
      </c>
      <c r="N61" s="107">
        <f>K61*1.12*1.15</f>
        <v>37727.244094488189</v>
      </c>
      <c r="O61" s="107">
        <f>K61*1.2*1.12</f>
        <v>39367.559055118109</v>
      </c>
    </row>
    <row r="62" spans="1:15" ht="15.6" x14ac:dyDescent="0.3">
      <c r="A62" s="171" t="s">
        <v>273</v>
      </c>
      <c r="B62" s="172"/>
      <c r="C62" s="172"/>
      <c r="D62" s="172"/>
      <c r="E62" s="172"/>
      <c r="F62" s="172"/>
      <c r="G62" s="173"/>
      <c r="H62" s="102"/>
      <c r="I62" s="144" t="s">
        <v>361</v>
      </c>
      <c r="J62" s="144">
        <v>5</v>
      </c>
      <c r="K62" s="106">
        <v>36000</v>
      </c>
      <c r="L62" s="144">
        <f>K62*1.15*1.12</f>
        <v>46368.000000000007</v>
      </c>
      <c r="M62" s="107">
        <f>K62*1.2*1.12</f>
        <v>48384.000000000007</v>
      </c>
      <c r="N62" s="107">
        <f>K62*1.12*1.3</f>
        <v>52416.000000000015</v>
      </c>
      <c r="O62" s="144">
        <f>K62*1.35*1.12</f>
        <v>54432.000000000007</v>
      </c>
    </row>
    <row r="63" spans="1:15" ht="15.6" x14ac:dyDescent="0.3">
      <c r="A63" s="116" t="s">
        <v>261</v>
      </c>
      <c r="B63" s="117" t="s">
        <v>10</v>
      </c>
      <c r="C63" s="115">
        <v>3500</v>
      </c>
      <c r="D63" s="108">
        <f>C63*1.1*1.18</f>
        <v>4543</v>
      </c>
      <c r="E63" s="108">
        <f t="shared" ref="E63:E64" si="46">C63*1.15*1.18</f>
        <v>4749.4999999999991</v>
      </c>
      <c r="F63" s="108">
        <f>C63*1.25*1.18</f>
        <v>5162.5</v>
      </c>
      <c r="G63" s="108">
        <f>C63*1.3*1.18</f>
        <v>5369</v>
      </c>
      <c r="H63" s="102"/>
      <c r="I63" s="144" t="s">
        <v>362</v>
      </c>
      <c r="J63" s="144">
        <v>5</v>
      </c>
      <c r="K63" s="106">
        <v>38000</v>
      </c>
      <c r="L63" s="144">
        <f t="shared" ref="L63:L68" si="47">K63*1.15*1.12</f>
        <v>48944.000000000007</v>
      </c>
      <c r="M63" s="107">
        <f>K63*1.2*1.12</f>
        <v>51072.000000000007</v>
      </c>
      <c r="N63" s="144">
        <f>K63*1.12*1.3</f>
        <v>55328.000000000015</v>
      </c>
      <c r="O63" s="144">
        <f>K63*1.35*1.12</f>
        <v>57456.000000000007</v>
      </c>
    </row>
    <row r="64" spans="1:15" ht="15.6" x14ac:dyDescent="0.3">
      <c r="A64" s="116" t="s">
        <v>262</v>
      </c>
      <c r="B64" s="117" t="s">
        <v>10</v>
      </c>
      <c r="C64" s="115">
        <v>6000</v>
      </c>
      <c r="D64" s="108">
        <f>C64*1.1*1.18</f>
        <v>7788.0000000000009</v>
      </c>
      <c r="E64" s="108">
        <f t="shared" si="46"/>
        <v>8141.9999999999982</v>
      </c>
      <c r="F64" s="108">
        <f>C64*1.25*1.18</f>
        <v>8850</v>
      </c>
      <c r="G64" s="108">
        <f>C64*1.3*1.18</f>
        <v>9204</v>
      </c>
      <c r="H64" s="102"/>
      <c r="I64" s="144" t="s">
        <v>372</v>
      </c>
      <c r="J64" s="144">
        <v>5</v>
      </c>
      <c r="K64" s="106">
        <f>28000/1.12</f>
        <v>24999.999999999996</v>
      </c>
      <c r="L64" s="107">
        <f>K64*1.1*1.12</f>
        <v>30800.000000000004</v>
      </c>
      <c r="M64" s="107">
        <f>K64*1.12*1.12</f>
        <v>31360.000000000004</v>
      </c>
      <c r="N64" s="107">
        <f>K64*1.12*1.15</f>
        <v>32199.999999999996</v>
      </c>
      <c r="O64" s="107">
        <f>K64*1.2*1.12</f>
        <v>33599.999999999993</v>
      </c>
    </row>
    <row r="65" spans="1:15" ht="15.6" x14ac:dyDescent="0.3">
      <c r="A65" s="171" t="s">
        <v>275</v>
      </c>
      <c r="B65" s="172"/>
      <c r="C65" s="172"/>
      <c r="D65" s="172"/>
      <c r="E65" s="172"/>
      <c r="F65" s="172"/>
      <c r="G65" s="173"/>
      <c r="H65" s="102"/>
      <c r="I65" s="144" t="s">
        <v>373</v>
      </c>
      <c r="J65" s="144">
        <v>5</v>
      </c>
      <c r="K65" s="134">
        <f>38400/1.27</f>
        <v>30236.220472440946</v>
      </c>
      <c r="L65" s="107">
        <f>K65*1.1*1.12</f>
        <v>37251.023622047251</v>
      </c>
      <c r="M65" s="107">
        <f>K65*1.12*1.12</f>
        <v>37928.314960629934</v>
      </c>
      <c r="N65" s="107">
        <f>K65*1.12*1.15</f>
        <v>38944.251968503937</v>
      </c>
      <c r="O65" s="107">
        <f>K65*1.2*1.12</f>
        <v>40637.480314960638</v>
      </c>
    </row>
    <row r="66" spans="1:15" ht="78" x14ac:dyDescent="0.3">
      <c r="A66" s="116" t="s">
        <v>288</v>
      </c>
      <c r="B66" s="146" t="s">
        <v>195</v>
      </c>
      <c r="C66" s="115">
        <v>6975</v>
      </c>
      <c r="D66" s="108">
        <f>C66*1.1*1.18</f>
        <v>9053.5500000000011</v>
      </c>
      <c r="E66" s="108">
        <f>C66*1.15*1.18</f>
        <v>9465.0749999999989</v>
      </c>
      <c r="F66" s="108">
        <f>C66*1.25*1.18</f>
        <v>10288.125</v>
      </c>
      <c r="G66" s="108">
        <f>C66*1.3*1.18</f>
        <v>10699.65</v>
      </c>
      <c r="H66" s="102"/>
      <c r="I66" s="144" t="s">
        <v>374</v>
      </c>
      <c r="J66" s="144">
        <v>5</v>
      </c>
      <c r="K66" s="134">
        <f>39000/1.27</f>
        <v>30708.661417322834</v>
      </c>
      <c r="L66" s="107">
        <f>K66*1.1*1.12</f>
        <v>37833.070866141737</v>
      </c>
      <c r="M66" s="107">
        <f>K66*1.12*1.12</f>
        <v>38520.944881889773</v>
      </c>
      <c r="N66" s="107">
        <f>K66*1.12*1.15</f>
        <v>39552.755905511811</v>
      </c>
      <c r="O66" s="107">
        <f>K66*1.2*1.12</f>
        <v>41272.440944881891</v>
      </c>
    </row>
    <row r="67" spans="1:15" ht="15.6" x14ac:dyDescent="0.3">
      <c r="A67" s="164" t="s">
        <v>277</v>
      </c>
      <c r="B67" s="164"/>
      <c r="C67" s="164"/>
      <c r="D67" s="164"/>
      <c r="E67" s="164"/>
      <c r="F67" s="164"/>
      <c r="G67" s="164"/>
      <c r="H67" s="102"/>
      <c r="I67" s="144" t="s">
        <v>375</v>
      </c>
      <c r="J67" s="144">
        <v>5</v>
      </c>
      <c r="K67" s="134">
        <f>42200/1.27</f>
        <v>33228.346456692911</v>
      </c>
      <c r="L67" s="107">
        <f>K67*1.1*1.12</f>
        <v>40937.322834645674</v>
      </c>
      <c r="M67" s="107">
        <f>K67*1.12*1.12</f>
        <v>41681.637795275594</v>
      </c>
      <c r="N67" s="107">
        <f>K67*1.12*1.15</f>
        <v>42798.110236220469</v>
      </c>
      <c r="O67" s="107">
        <f>K67*1.2*1.12</f>
        <v>44658.897637795271</v>
      </c>
    </row>
    <row r="68" spans="1:15" ht="15.6" x14ac:dyDescent="0.3">
      <c r="A68" s="146" t="s">
        <v>202</v>
      </c>
      <c r="B68" s="146" t="s">
        <v>193</v>
      </c>
      <c r="C68" s="115">
        <v>78</v>
      </c>
      <c r="D68" s="108">
        <f>C68*1.05*1.18</f>
        <v>96.641999999999996</v>
      </c>
      <c r="E68" s="108">
        <f>C68*1.1*1.18</f>
        <v>101.24400000000001</v>
      </c>
      <c r="F68" s="108">
        <f>C68*1.15*1.18</f>
        <v>105.84599999999998</v>
      </c>
      <c r="G68" s="108">
        <f>C68*1.2*1.18</f>
        <v>110.44799999999999</v>
      </c>
      <c r="H68" s="102"/>
      <c r="I68" s="144" t="s">
        <v>363</v>
      </c>
      <c r="J68" s="144">
        <v>5</v>
      </c>
      <c r="K68" s="106">
        <v>40000</v>
      </c>
      <c r="L68" s="144">
        <f t="shared" si="47"/>
        <v>51520.000000000007</v>
      </c>
      <c r="M68" s="107">
        <f>K68*1.2*1.12</f>
        <v>53760.000000000007</v>
      </c>
      <c r="N68" s="144">
        <f>K68*1.12*1.3</f>
        <v>58240.000000000015</v>
      </c>
      <c r="O68" s="144">
        <f>K68*1.35*1.12</f>
        <v>60480.000000000007</v>
      </c>
    </row>
    <row r="69" spans="1:15" ht="15.6" x14ac:dyDescent="0.3">
      <c r="A69" s="146" t="s">
        <v>196</v>
      </c>
      <c r="B69" s="146" t="s">
        <v>193</v>
      </c>
      <c r="C69" s="115">
        <v>104</v>
      </c>
      <c r="D69" s="108">
        <f>C69*1.05*1.18</f>
        <v>128.85599999999999</v>
      </c>
      <c r="E69" s="108">
        <f>C69*1.1*1.18</f>
        <v>134.99199999999999</v>
      </c>
      <c r="F69" s="108">
        <f>C69*1.15*1.18</f>
        <v>141.12799999999999</v>
      </c>
      <c r="G69" s="108">
        <f>C69*1.2*1.18</f>
        <v>147.26399999999998</v>
      </c>
      <c r="H69" s="102"/>
      <c r="I69" s="144" t="s">
        <v>368</v>
      </c>
      <c r="J69" s="144">
        <v>5</v>
      </c>
      <c r="K69" s="134">
        <f>28400/1.12</f>
        <v>25357.142857142855</v>
      </c>
      <c r="L69" s="107">
        <f>K69*1.1*1.12</f>
        <v>31240</v>
      </c>
      <c r="M69" s="107">
        <f>K69*1.12*1.12</f>
        <v>31808.000000000004</v>
      </c>
      <c r="N69" s="107">
        <f>K69*1.12*1.15</f>
        <v>32659.999999999996</v>
      </c>
      <c r="O69" s="107">
        <f>K69*1.2*1.12</f>
        <v>34080</v>
      </c>
    </row>
    <row r="70" spans="1:15" ht="15.6" x14ac:dyDescent="0.3">
      <c r="A70" s="116" t="s">
        <v>197</v>
      </c>
      <c r="B70" s="146" t="s">
        <v>193</v>
      </c>
      <c r="C70" s="115">
        <v>160</v>
      </c>
      <c r="D70" s="108">
        <f>C70*1.05*1.18</f>
        <v>198.23999999999998</v>
      </c>
      <c r="E70" s="108">
        <f>C70*1.1*1.18</f>
        <v>207.67999999999998</v>
      </c>
      <c r="F70" s="108">
        <f>C70*1.15*1.18</f>
        <v>217.11999999999998</v>
      </c>
      <c r="G70" s="108">
        <f>C70*1.2*1.18</f>
        <v>226.56</v>
      </c>
      <c r="H70" s="102"/>
      <c r="I70" s="144" t="s">
        <v>376</v>
      </c>
      <c r="J70" s="144">
        <v>5</v>
      </c>
      <c r="K70" s="134">
        <f>52300/1.27</f>
        <v>41181.102362204721</v>
      </c>
      <c r="L70" s="107">
        <f>K70*1.1*1.12</f>
        <v>50735.118110236224</v>
      </c>
      <c r="M70" s="107">
        <f>K70*1.12*1.12</f>
        <v>51657.574803149611</v>
      </c>
      <c r="N70" s="107">
        <f>K70*1.12*1.15</f>
        <v>53041.259842519677</v>
      </c>
      <c r="O70" s="107">
        <f>K70*1.2*1.12</f>
        <v>55347.401574803152</v>
      </c>
    </row>
    <row r="71" spans="1:15" ht="15.6" x14ac:dyDescent="0.3">
      <c r="A71" s="164" t="s">
        <v>278</v>
      </c>
      <c r="B71" s="164"/>
      <c r="C71" s="164"/>
      <c r="D71" s="164"/>
      <c r="E71" s="164"/>
      <c r="F71" s="164"/>
      <c r="G71" s="164"/>
      <c r="H71" s="102"/>
      <c r="I71" s="144" t="s">
        <v>364</v>
      </c>
      <c r="J71" s="144">
        <v>5</v>
      </c>
      <c r="K71" s="106">
        <v>33000</v>
      </c>
      <c r="L71" s="144">
        <f t="shared" ref="L71:L74" si="48">K71*1.15*1.12</f>
        <v>42504.000000000007</v>
      </c>
      <c r="M71" s="107">
        <f t="shared" ref="M71:M73" si="49">K71*1.2*1.12</f>
        <v>44352.000000000007</v>
      </c>
      <c r="N71" s="144">
        <f t="shared" ref="N71:N74" si="50">K71*1.12*1.3</f>
        <v>48048</v>
      </c>
      <c r="O71" s="144">
        <f t="shared" ref="O71:O74" si="51">K71*1.35*1.12</f>
        <v>49896.000000000007</v>
      </c>
    </row>
    <row r="72" spans="1:15" ht="15.6" x14ac:dyDescent="0.3">
      <c r="A72" s="116" t="s">
        <v>198</v>
      </c>
      <c r="B72" s="117" t="s">
        <v>193</v>
      </c>
      <c r="C72" s="115">
        <v>20</v>
      </c>
      <c r="D72" s="108">
        <f>C72*1.05*1.18</f>
        <v>24.779999999999998</v>
      </c>
      <c r="E72" s="108">
        <f>C72*1.1*1.18</f>
        <v>25.959999999999997</v>
      </c>
      <c r="F72" s="108">
        <f>C72*1.15*1.18</f>
        <v>27.139999999999997</v>
      </c>
      <c r="G72" s="108">
        <f>C72*1.2*1.18</f>
        <v>28.32</v>
      </c>
      <c r="H72" s="102"/>
      <c r="I72" s="144" t="s">
        <v>369</v>
      </c>
      <c r="J72" s="144">
        <v>5</v>
      </c>
      <c r="K72" s="134">
        <f>35850/1.12</f>
        <v>32008.928571428569</v>
      </c>
      <c r="L72" s="107">
        <f>K72*1.1*1.12</f>
        <v>39435</v>
      </c>
      <c r="M72" s="107">
        <f>K72*1.12*1.12</f>
        <v>40152.000000000007</v>
      </c>
      <c r="N72" s="107">
        <f>K72*1.12*1.15</f>
        <v>41227.5</v>
      </c>
      <c r="O72" s="107">
        <f>K72*1.2*1.12</f>
        <v>43020</v>
      </c>
    </row>
    <row r="73" spans="1:15" ht="15.6" x14ac:dyDescent="0.3">
      <c r="A73" s="146" t="s">
        <v>199</v>
      </c>
      <c r="B73" s="146" t="s">
        <v>193</v>
      </c>
      <c r="C73" s="115">
        <v>22</v>
      </c>
      <c r="D73" s="108">
        <f>C73*1.05*1.18</f>
        <v>27.257999999999999</v>
      </c>
      <c r="E73" s="108">
        <f>C73*1.1*1.18</f>
        <v>28.556000000000001</v>
      </c>
      <c r="F73" s="108">
        <f>C73*1.15*1.18</f>
        <v>29.853999999999996</v>
      </c>
      <c r="G73" s="108">
        <f>C73*1.2*1.18</f>
        <v>31.151999999999997</v>
      </c>
      <c r="H73" s="102"/>
      <c r="I73" s="144" t="s">
        <v>365</v>
      </c>
      <c r="J73" s="144">
        <v>5</v>
      </c>
      <c r="K73" s="106">
        <v>36000</v>
      </c>
      <c r="L73" s="144">
        <f t="shared" si="48"/>
        <v>46368.000000000007</v>
      </c>
      <c r="M73" s="107">
        <f t="shared" si="49"/>
        <v>48384.000000000007</v>
      </c>
      <c r="N73" s="144">
        <f t="shared" si="50"/>
        <v>52416.000000000015</v>
      </c>
      <c r="O73" s="144">
        <f t="shared" si="51"/>
        <v>54432.000000000007</v>
      </c>
    </row>
    <row r="74" spans="1:15" ht="15.6" x14ac:dyDescent="0.3">
      <c r="A74" s="146" t="s">
        <v>200</v>
      </c>
      <c r="B74" s="146" t="s">
        <v>193</v>
      </c>
      <c r="C74" s="115">
        <v>25</v>
      </c>
      <c r="D74" s="108">
        <f>C74*1.05*1.18</f>
        <v>30.974999999999998</v>
      </c>
      <c r="E74" s="108">
        <f>C74*1.1*1.18</f>
        <v>32.450000000000003</v>
      </c>
      <c r="F74" s="108">
        <f>C74*1.15*1.18</f>
        <v>33.924999999999997</v>
      </c>
      <c r="G74" s="108">
        <f>C74*1.2*1.18</f>
        <v>35.4</v>
      </c>
      <c r="H74" s="102"/>
      <c r="I74" s="144" t="s">
        <v>366</v>
      </c>
      <c r="J74" s="144">
        <v>5</v>
      </c>
      <c r="K74" s="106">
        <v>38000</v>
      </c>
      <c r="L74" s="144">
        <f t="shared" si="48"/>
        <v>48944.000000000007</v>
      </c>
      <c r="M74" s="107">
        <f>K74*1.2*1.12</f>
        <v>51072.000000000007</v>
      </c>
      <c r="N74" s="144">
        <f t="shared" si="50"/>
        <v>55328.000000000015</v>
      </c>
      <c r="O74" s="144">
        <f t="shared" si="51"/>
        <v>57456.000000000007</v>
      </c>
    </row>
    <row r="75" spans="1:15" ht="15.6" x14ac:dyDescent="0.3">
      <c r="A75" s="168" t="s">
        <v>279</v>
      </c>
      <c r="B75" s="169"/>
      <c r="C75" s="169"/>
      <c r="D75" s="169"/>
      <c r="E75" s="169"/>
      <c r="F75" s="169"/>
      <c r="G75" s="170"/>
      <c r="H75" s="102"/>
      <c r="I75" s="144" t="s">
        <v>377</v>
      </c>
      <c r="J75" s="144">
        <v>5</v>
      </c>
      <c r="K75" s="134">
        <f>40500/1.27</f>
        <v>31889.763779527559</v>
      </c>
      <c r="L75" s="107">
        <f>K75*1.1*1.12</f>
        <v>39288.188976377955</v>
      </c>
      <c r="M75" s="107">
        <f>K75*1.12*1.12</f>
        <v>40002.519685039384</v>
      </c>
      <c r="N75" s="107">
        <f>K75*1.12*1.15</f>
        <v>41074.015748031503</v>
      </c>
      <c r="O75" s="107">
        <f>K75*1.2*1.12</f>
        <v>42859.842519685044</v>
      </c>
    </row>
    <row r="76" spans="1:15" ht="46.8" x14ac:dyDescent="0.3">
      <c r="A76" s="116" t="s">
        <v>201</v>
      </c>
      <c r="B76" s="146" t="s">
        <v>10</v>
      </c>
      <c r="C76" s="115">
        <f>570+175+240+185+265+67+63</f>
        <v>1565</v>
      </c>
      <c r="D76" s="108">
        <f t="shared" ref="D76:D81" si="52">C76*1.1*1.18</f>
        <v>2031.3700000000001</v>
      </c>
      <c r="E76" s="108">
        <f t="shared" ref="E76:E81" si="53">C76*1.15*1.18</f>
        <v>2123.7049999999995</v>
      </c>
      <c r="F76" s="108">
        <f t="shared" ref="F76:F81" si="54">C76*1.25*1.18</f>
        <v>2308.375</v>
      </c>
      <c r="G76" s="108">
        <f t="shared" ref="G76:G81" si="55">C76*1.3*1.18</f>
        <v>2400.71</v>
      </c>
      <c r="H76" s="102"/>
      <c r="I76" s="144" t="s">
        <v>370</v>
      </c>
      <c r="J76" s="144">
        <v>5</v>
      </c>
      <c r="K76" s="134">
        <f>39000/1.12</f>
        <v>34821.428571428565</v>
      </c>
      <c r="L76" s="107">
        <f>K76*1.1*1.12</f>
        <v>42900</v>
      </c>
      <c r="M76" s="107">
        <f>K76*1.12*1.12</f>
        <v>43680.000000000007</v>
      </c>
      <c r="N76" s="107">
        <f>K76*1.12*1.15</f>
        <v>44850</v>
      </c>
      <c r="O76" s="107">
        <f>K76*1.2*1.12</f>
        <v>46799.999999999993</v>
      </c>
    </row>
    <row r="77" spans="1:15" ht="46.8" x14ac:dyDescent="0.3">
      <c r="A77" s="116" t="s">
        <v>204</v>
      </c>
      <c r="B77" s="117" t="s">
        <v>10</v>
      </c>
      <c r="C77" s="115">
        <f>680+240+240+185+415+97+95</f>
        <v>1952</v>
      </c>
      <c r="D77" s="108">
        <f t="shared" si="52"/>
        <v>2533.6960000000004</v>
      </c>
      <c r="E77" s="108">
        <f t="shared" si="53"/>
        <v>2648.8639999999996</v>
      </c>
      <c r="F77" s="108">
        <f t="shared" si="54"/>
        <v>2879.2</v>
      </c>
      <c r="G77" s="108">
        <f t="shared" si="55"/>
        <v>2994.3679999999999</v>
      </c>
      <c r="H77" s="102"/>
      <c r="I77" s="144" t="s">
        <v>371</v>
      </c>
      <c r="J77" s="144">
        <v>5</v>
      </c>
      <c r="K77" s="134">
        <f>50100/1.12</f>
        <v>44732.142857142855</v>
      </c>
      <c r="L77" s="107">
        <f>K77*1.1*1.12</f>
        <v>55110.000000000007</v>
      </c>
      <c r="M77" s="107">
        <f>K77*1.12*1.12</f>
        <v>56112.000000000007</v>
      </c>
      <c r="N77" s="107">
        <f>K77*1.12*1.15</f>
        <v>57614.999999999993</v>
      </c>
      <c r="O77" s="107">
        <f>K77*1.2*1.12</f>
        <v>60120.000000000007</v>
      </c>
    </row>
    <row r="78" spans="1:15" ht="46.8" x14ac:dyDescent="0.3">
      <c r="A78" s="118" t="s">
        <v>205</v>
      </c>
      <c r="B78" s="146" t="s">
        <v>10</v>
      </c>
      <c r="C78" s="115">
        <f>915+290+240+185+425+110+115</f>
        <v>2280</v>
      </c>
      <c r="D78" s="108">
        <f t="shared" si="52"/>
        <v>2959.44</v>
      </c>
      <c r="E78" s="108">
        <f t="shared" si="53"/>
        <v>3093.96</v>
      </c>
      <c r="F78" s="108">
        <f t="shared" si="54"/>
        <v>3363</v>
      </c>
      <c r="G78" s="108">
        <f t="shared" si="55"/>
        <v>3497.52</v>
      </c>
      <c r="H78" s="102"/>
      <c r="I78" s="144" t="s">
        <v>378</v>
      </c>
      <c r="J78" s="144">
        <v>5</v>
      </c>
      <c r="K78" s="134">
        <f>49300/1.27</f>
        <v>38818.897637795279</v>
      </c>
      <c r="L78" s="107">
        <f>K78*1.1*1.12</f>
        <v>47824.88188976379</v>
      </c>
      <c r="M78" s="107">
        <f>K78*1.12*1.12</f>
        <v>48694.42519685041</v>
      </c>
      <c r="N78" s="107">
        <f>K78*1.12*1.15</f>
        <v>49998.740157480323</v>
      </c>
      <c r="O78" s="107">
        <f>K78*1.2*1.12</f>
        <v>52172.598425196855</v>
      </c>
    </row>
    <row r="79" spans="1:15" ht="46.8" x14ac:dyDescent="0.3">
      <c r="A79" s="118" t="s">
        <v>206</v>
      </c>
      <c r="B79" s="146" t="s">
        <v>10</v>
      </c>
      <c r="C79" s="115">
        <f>1425+380+240+185+600+180+195</f>
        <v>3205</v>
      </c>
      <c r="D79" s="108">
        <f t="shared" si="52"/>
        <v>4160.09</v>
      </c>
      <c r="E79" s="108">
        <f t="shared" si="53"/>
        <v>4349.1849999999995</v>
      </c>
      <c r="F79" s="108">
        <f t="shared" si="54"/>
        <v>4727.375</v>
      </c>
      <c r="G79" s="108">
        <f t="shared" si="55"/>
        <v>4916.4699999999993</v>
      </c>
      <c r="H79" s="102"/>
      <c r="I79" s="144" t="s">
        <v>388</v>
      </c>
      <c r="J79" s="144">
        <v>7.5</v>
      </c>
      <c r="K79" s="134">
        <f>50300/1.27</f>
        <v>39606.299212598424</v>
      </c>
      <c r="L79" s="107">
        <f>K79*1.1*1.12</f>
        <v>48794.960629921268</v>
      </c>
      <c r="M79" s="107">
        <f>K79*1.12*1.12</f>
        <v>49682.141732283475</v>
      </c>
      <c r="N79" s="107">
        <f>K79*1.12*1.15</f>
        <v>51012.913385826774</v>
      </c>
      <c r="O79" s="107">
        <f>K79*1.2*1.12</f>
        <v>53230.866141732287</v>
      </c>
    </row>
    <row r="80" spans="1:15" ht="46.8" x14ac:dyDescent="0.3">
      <c r="A80" s="116" t="s">
        <v>207</v>
      </c>
      <c r="B80" s="146" t="s">
        <v>10</v>
      </c>
      <c r="C80" s="115">
        <f>850+340+380+360+930+300+350</f>
        <v>3510</v>
      </c>
      <c r="D80" s="108">
        <f t="shared" si="52"/>
        <v>4555.9800000000005</v>
      </c>
      <c r="E80" s="108">
        <f t="shared" si="53"/>
        <v>4763.0699999999988</v>
      </c>
      <c r="F80" s="108">
        <f t="shared" si="54"/>
        <v>5177.25</v>
      </c>
      <c r="G80" s="108">
        <f t="shared" si="55"/>
        <v>5384.34</v>
      </c>
      <c r="H80" s="102"/>
      <c r="I80" s="144" t="s">
        <v>379</v>
      </c>
      <c r="J80" s="111">
        <v>7.5</v>
      </c>
      <c r="K80" s="106">
        <v>36500</v>
      </c>
      <c r="L80" s="144">
        <f t="shared" ref="L80:L87" si="56">K80*1.15*1.12</f>
        <v>47012.000000000007</v>
      </c>
      <c r="M80" s="107">
        <f>K80*1.2*1.12</f>
        <v>49056.000000000007</v>
      </c>
      <c r="N80" s="144">
        <f>K80*1.12*1.3</f>
        <v>53144.000000000015</v>
      </c>
      <c r="O80" s="144">
        <f>K80*1.35*1.12</f>
        <v>55188.000000000007</v>
      </c>
    </row>
    <row r="81" spans="1:15" ht="46.8" x14ac:dyDescent="0.3">
      <c r="A81" s="116" t="s">
        <v>208</v>
      </c>
      <c r="B81" s="117" t="s">
        <v>10</v>
      </c>
      <c r="C81" s="115">
        <f>1050+385+380+360+1420+350+400</f>
        <v>4345</v>
      </c>
      <c r="D81" s="108">
        <f t="shared" si="52"/>
        <v>5639.8099999999995</v>
      </c>
      <c r="E81" s="108">
        <f t="shared" si="53"/>
        <v>5896.165</v>
      </c>
      <c r="F81" s="108">
        <f t="shared" si="54"/>
        <v>6408.875</v>
      </c>
      <c r="G81" s="108">
        <f t="shared" si="55"/>
        <v>6665.23</v>
      </c>
      <c r="H81" s="102"/>
      <c r="I81" s="144" t="s">
        <v>389</v>
      </c>
      <c r="J81" s="144">
        <v>7.5</v>
      </c>
      <c r="K81" s="134">
        <f>49400/1.27</f>
        <v>38897.637795275587</v>
      </c>
      <c r="L81" s="107">
        <f>K81*1.1*1.12</f>
        <v>47921.889763779531</v>
      </c>
      <c r="M81" s="107">
        <f>K81*1.12*1.12</f>
        <v>48793.196850393702</v>
      </c>
      <c r="N81" s="107">
        <f>K81*1.12*1.15</f>
        <v>50100.157480314956</v>
      </c>
      <c r="O81" s="107">
        <f>K81*1.2*1.12</f>
        <v>52278.425196850396</v>
      </c>
    </row>
    <row r="82" spans="1:15" ht="15.6" x14ac:dyDescent="0.3">
      <c r="A82" s="168" t="s">
        <v>280</v>
      </c>
      <c r="B82" s="169"/>
      <c r="C82" s="169"/>
      <c r="D82" s="169"/>
      <c r="E82" s="169"/>
      <c r="F82" s="169"/>
      <c r="G82" s="170"/>
      <c r="H82" s="102"/>
      <c r="I82" s="144" t="s">
        <v>380</v>
      </c>
      <c r="J82" s="111">
        <v>7.5</v>
      </c>
      <c r="K82" s="106">
        <v>38500</v>
      </c>
      <c r="L82" s="144">
        <f t="shared" si="56"/>
        <v>49588.000000000007</v>
      </c>
      <c r="M82" s="107">
        <f>K82*1.2*1.12</f>
        <v>51744.000000000007</v>
      </c>
      <c r="N82" s="144">
        <f>K82*1.12*1.3</f>
        <v>56056.000000000015</v>
      </c>
      <c r="O82" s="144">
        <f>K82*1.35*1.12</f>
        <v>58212.000000000007</v>
      </c>
    </row>
    <row r="83" spans="1:15" ht="15.6" x14ac:dyDescent="0.3">
      <c r="A83" s="147" t="s">
        <v>203</v>
      </c>
      <c r="B83" s="117" t="s">
        <v>193</v>
      </c>
      <c r="C83" s="120">
        <f>55/1.2</f>
        <v>45.833333333333336</v>
      </c>
      <c r="D83" s="108">
        <f t="shared" ref="D83:D100" si="57">C83*1.05*1.18</f>
        <v>56.787500000000009</v>
      </c>
      <c r="E83" s="108">
        <f t="shared" ref="E83:E100" si="58">C83*1.1*1.18</f>
        <v>59.491666666666667</v>
      </c>
      <c r="F83" s="108">
        <f t="shared" ref="F83:F100" si="59">C83*1.15*1.18</f>
        <v>62.195833333333326</v>
      </c>
      <c r="G83" s="108">
        <f t="shared" ref="G83:G100" si="60">C83*1.2*1.18</f>
        <v>64.899999999999991</v>
      </c>
      <c r="H83" s="102"/>
      <c r="I83" s="144" t="s">
        <v>390</v>
      </c>
      <c r="J83" s="144">
        <v>7.5</v>
      </c>
      <c r="K83" s="134">
        <f>57000/1.27</f>
        <v>44881.889763779523</v>
      </c>
      <c r="L83" s="107">
        <f>K83*1.1*1.12</f>
        <v>55294.488188976378</v>
      </c>
      <c r="M83" s="107">
        <f>K83*1.12*1.12</f>
        <v>56299.842519685044</v>
      </c>
      <c r="N83" s="107">
        <f>K83*1.12*1.15</f>
        <v>57807.874015748028</v>
      </c>
      <c r="O83" s="107">
        <f>K83*1.2*1.12</f>
        <v>60321.259842519685</v>
      </c>
    </row>
    <row r="84" spans="1:15" ht="15.6" x14ac:dyDescent="0.3">
      <c r="A84" s="147" t="s">
        <v>210</v>
      </c>
      <c r="B84" s="117" t="s">
        <v>193</v>
      </c>
      <c r="C84" s="120">
        <f>63/1.2</f>
        <v>52.5</v>
      </c>
      <c r="D84" s="108">
        <f t="shared" si="57"/>
        <v>65.047499999999999</v>
      </c>
      <c r="E84" s="108">
        <f t="shared" si="58"/>
        <v>68.14500000000001</v>
      </c>
      <c r="F84" s="108">
        <f t="shared" si="59"/>
        <v>71.242499999999993</v>
      </c>
      <c r="G84" s="108">
        <f t="shared" si="60"/>
        <v>74.339999999999989</v>
      </c>
      <c r="H84" s="102"/>
      <c r="I84" s="144" t="s">
        <v>381</v>
      </c>
      <c r="J84" s="111">
        <v>7.5</v>
      </c>
      <c r="K84" s="106">
        <v>40500</v>
      </c>
      <c r="L84" s="144">
        <f t="shared" si="56"/>
        <v>52164.000000000007</v>
      </c>
      <c r="M84" s="107">
        <f t="shared" ref="M84:M85" si="61">K84*1.2*1.12</f>
        <v>54432.000000000007</v>
      </c>
      <c r="N84" s="144">
        <f t="shared" ref="N84:N85" si="62">K84*1.12*1.3</f>
        <v>58968.000000000015</v>
      </c>
      <c r="O84" s="144">
        <f>K84*1.35*1.12</f>
        <v>61236.000000000007</v>
      </c>
    </row>
    <row r="85" spans="1:15" ht="15.6" x14ac:dyDescent="0.3">
      <c r="A85" s="147" t="s">
        <v>209</v>
      </c>
      <c r="B85" s="117" t="s">
        <v>193</v>
      </c>
      <c r="C85" s="120">
        <f>73/1.2</f>
        <v>60.833333333333336</v>
      </c>
      <c r="D85" s="108">
        <f t="shared" si="57"/>
        <v>75.372500000000002</v>
      </c>
      <c r="E85" s="108">
        <f t="shared" si="58"/>
        <v>78.961666666666673</v>
      </c>
      <c r="F85" s="108">
        <f t="shared" si="59"/>
        <v>82.55083333333333</v>
      </c>
      <c r="G85" s="108">
        <f t="shared" si="60"/>
        <v>86.14</v>
      </c>
      <c r="H85" s="102"/>
      <c r="I85" s="144" t="s">
        <v>382</v>
      </c>
      <c r="J85" s="111">
        <v>7.5</v>
      </c>
      <c r="K85" s="106">
        <v>32500</v>
      </c>
      <c r="L85" s="144">
        <f t="shared" si="56"/>
        <v>41860.000000000007</v>
      </c>
      <c r="M85" s="107">
        <f t="shared" si="61"/>
        <v>43680.000000000007</v>
      </c>
      <c r="N85" s="144">
        <f t="shared" si="62"/>
        <v>47320</v>
      </c>
      <c r="O85" s="144">
        <f>K85*1.35*1.12</f>
        <v>49140.000000000007</v>
      </c>
    </row>
    <row r="86" spans="1:15" ht="15.6" x14ac:dyDescent="0.3">
      <c r="A86" s="147" t="s">
        <v>211</v>
      </c>
      <c r="B86" s="117" t="s">
        <v>193</v>
      </c>
      <c r="C86" s="120">
        <f>67/1.2</f>
        <v>55.833333333333336</v>
      </c>
      <c r="D86" s="108">
        <f t="shared" si="57"/>
        <v>69.177500000000009</v>
      </c>
      <c r="E86" s="108">
        <f t="shared" si="58"/>
        <v>72.471666666666664</v>
      </c>
      <c r="F86" s="108">
        <f t="shared" si="59"/>
        <v>75.765833333333319</v>
      </c>
      <c r="G86" s="108">
        <f t="shared" si="60"/>
        <v>79.06</v>
      </c>
      <c r="H86" s="102"/>
      <c r="I86" s="144" t="s">
        <v>385</v>
      </c>
      <c r="J86" s="111">
        <v>7.5</v>
      </c>
      <c r="K86" s="134">
        <f>42850/1.12</f>
        <v>38258.928571428565</v>
      </c>
      <c r="L86" s="107">
        <f>K86*1.1*1.12</f>
        <v>47135</v>
      </c>
      <c r="M86" s="107">
        <f>K86*1.12*1.12</f>
        <v>47992.000000000007</v>
      </c>
      <c r="N86" s="107">
        <f>K86*1.12*1.15</f>
        <v>49277.499999999993</v>
      </c>
      <c r="O86" s="107">
        <f>K86*1.2*1.12</f>
        <v>51419.999999999993</v>
      </c>
    </row>
    <row r="87" spans="1:15" ht="15.6" x14ac:dyDescent="0.3">
      <c r="A87" s="147" t="s">
        <v>212</v>
      </c>
      <c r="B87" s="117" t="s">
        <v>193</v>
      </c>
      <c r="C87" s="120">
        <f>74/1.2</f>
        <v>61.666666666666671</v>
      </c>
      <c r="D87" s="108">
        <f t="shared" si="57"/>
        <v>76.405000000000015</v>
      </c>
      <c r="E87" s="108">
        <f t="shared" si="58"/>
        <v>80.043333333333337</v>
      </c>
      <c r="F87" s="108">
        <f t="shared" si="59"/>
        <v>83.681666666666672</v>
      </c>
      <c r="G87" s="108">
        <f t="shared" si="60"/>
        <v>87.32</v>
      </c>
      <c r="H87" s="102"/>
      <c r="I87" s="144" t="s">
        <v>383</v>
      </c>
      <c r="J87" s="111">
        <v>7.5</v>
      </c>
      <c r="K87" s="106">
        <v>37500</v>
      </c>
      <c r="L87" s="144">
        <f t="shared" si="56"/>
        <v>48300.000000000007</v>
      </c>
      <c r="M87" s="107">
        <f>K87*1.2*1.12</f>
        <v>50400.000000000007</v>
      </c>
      <c r="N87" s="144">
        <f>K87*1.12*1.3</f>
        <v>54600.000000000015</v>
      </c>
      <c r="O87" s="144">
        <f>K87*1.35*1.12</f>
        <v>56700.000000000007</v>
      </c>
    </row>
    <row r="88" spans="1:15" ht="15.6" x14ac:dyDescent="0.3">
      <c r="A88" s="147" t="s">
        <v>213</v>
      </c>
      <c r="B88" s="117" t="s">
        <v>193</v>
      </c>
      <c r="C88" s="120">
        <f>93/1.05</f>
        <v>88.571428571428569</v>
      </c>
      <c r="D88" s="108">
        <f t="shared" si="57"/>
        <v>109.74</v>
      </c>
      <c r="E88" s="108">
        <f t="shared" si="58"/>
        <v>114.96571428571428</v>
      </c>
      <c r="F88" s="108">
        <f t="shared" si="59"/>
        <v>120.19142857142856</v>
      </c>
      <c r="G88" s="108">
        <f t="shared" si="60"/>
        <v>125.41714285714284</v>
      </c>
      <c r="H88" s="102"/>
      <c r="I88" s="144" t="s">
        <v>384</v>
      </c>
      <c r="J88" s="111">
        <v>7.5</v>
      </c>
      <c r="K88" s="134">
        <f>49500/1.12</f>
        <v>44196.428571428565</v>
      </c>
      <c r="L88" s="107">
        <f t="shared" ref="L88:L93" si="63">K88*1.1*1.12</f>
        <v>54450.000000000007</v>
      </c>
      <c r="M88" s="107">
        <f t="shared" ref="M88:M93" si="64">K88*1.12*1.12</f>
        <v>55440.000000000007</v>
      </c>
      <c r="N88" s="107">
        <f t="shared" ref="N88:N93" si="65">K88*1.12*1.15</f>
        <v>56924.999999999993</v>
      </c>
      <c r="O88" s="107">
        <f t="shared" ref="O88:O93" si="66">K88*1.2*1.12</f>
        <v>59399.999999999993</v>
      </c>
    </row>
    <row r="89" spans="1:15" ht="15.6" x14ac:dyDescent="0.3">
      <c r="A89" s="147" t="s">
        <v>214</v>
      </c>
      <c r="B89" s="117" t="s">
        <v>193</v>
      </c>
      <c r="C89" s="120">
        <f>110/1.2</f>
        <v>91.666666666666671</v>
      </c>
      <c r="D89" s="108">
        <f t="shared" si="57"/>
        <v>113.57500000000002</v>
      </c>
      <c r="E89" s="108">
        <f t="shared" si="58"/>
        <v>118.98333333333333</v>
      </c>
      <c r="F89" s="108">
        <f t="shared" si="59"/>
        <v>124.39166666666665</v>
      </c>
      <c r="G89" s="108">
        <f t="shared" si="60"/>
        <v>129.79999999999998</v>
      </c>
      <c r="H89" s="102"/>
      <c r="I89" s="144" t="s">
        <v>391</v>
      </c>
      <c r="J89" s="111">
        <v>7.5</v>
      </c>
      <c r="K89" s="134">
        <f>53600/1.27</f>
        <v>42204.72440944882</v>
      </c>
      <c r="L89" s="107">
        <f t="shared" si="63"/>
        <v>51996.220472440953</v>
      </c>
      <c r="M89" s="107">
        <f t="shared" si="64"/>
        <v>52941.60629921261</v>
      </c>
      <c r="N89" s="107">
        <f t="shared" si="65"/>
        <v>54359.685039370081</v>
      </c>
      <c r="O89" s="107">
        <f t="shared" si="66"/>
        <v>56723.149606299223</v>
      </c>
    </row>
    <row r="90" spans="1:15" ht="15.6" x14ac:dyDescent="0.3">
      <c r="A90" s="147" t="s">
        <v>215</v>
      </c>
      <c r="B90" s="117" t="s">
        <v>193</v>
      </c>
      <c r="C90" s="120">
        <f>94/1.2</f>
        <v>78.333333333333343</v>
      </c>
      <c r="D90" s="108">
        <f t="shared" si="57"/>
        <v>97.055000000000007</v>
      </c>
      <c r="E90" s="108">
        <f t="shared" si="58"/>
        <v>101.67666666666669</v>
      </c>
      <c r="F90" s="108">
        <f t="shared" si="59"/>
        <v>106.29833333333333</v>
      </c>
      <c r="G90" s="108">
        <f t="shared" si="60"/>
        <v>110.92000000000002</v>
      </c>
      <c r="H90" s="102"/>
      <c r="I90" s="144" t="s">
        <v>386</v>
      </c>
      <c r="J90" s="111">
        <v>7.5</v>
      </c>
      <c r="K90" s="134">
        <f>55650/1.12</f>
        <v>49687.499999999993</v>
      </c>
      <c r="L90" s="107">
        <f t="shared" si="63"/>
        <v>61215.000000000007</v>
      </c>
      <c r="M90" s="107">
        <f t="shared" si="64"/>
        <v>62328.000000000007</v>
      </c>
      <c r="N90" s="107">
        <f t="shared" si="65"/>
        <v>63997.499999999993</v>
      </c>
      <c r="O90" s="107">
        <f t="shared" si="66"/>
        <v>66779.999999999985</v>
      </c>
    </row>
    <row r="91" spans="1:15" ht="15.6" x14ac:dyDescent="0.3">
      <c r="A91" s="147" t="s">
        <v>216</v>
      </c>
      <c r="B91" s="117" t="s">
        <v>193</v>
      </c>
      <c r="C91" s="120">
        <f>110/1.2</f>
        <v>91.666666666666671</v>
      </c>
      <c r="D91" s="108">
        <f t="shared" si="57"/>
        <v>113.57500000000002</v>
      </c>
      <c r="E91" s="108">
        <f t="shared" si="58"/>
        <v>118.98333333333333</v>
      </c>
      <c r="F91" s="108">
        <f t="shared" si="59"/>
        <v>124.39166666666665</v>
      </c>
      <c r="G91" s="108">
        <f t="shared" si="60"/>
        <v>129.79999999999998</v>
      </c>
      <c r="H91" s="102"/>
      <c r="I91" s="144" t="s">
        <v>392</v>
      </c>
      <c r="J91" s="111">
        <v>7.5</v>
      </c>
      <c r="K91" s="134">
        <f>53600/1.27</f>
        <v>42204.72440944882</v>
      </c>
      <c r="L91" s="107">
        <f t="shared" si="63"/>
        <v>51996.220472440953</v>
      </c>
      <c r="M91" s="107">
        <f t="shared" si="64"/>
        <v>52941.60629921261</v>
      </c>
      <c r="N91" s="107">
        <f t="shared" si="65"/>
        <v>54359.685039370081</v>
      </c>
      <c r="O91" s="107">
        <f t="shared" si="66"/>
        <v>56723.149606299223</v>
      </c>
    </row>
    <row r="92" spans="1:15" ht="15.6" x14ac:dyDescent="0.3">
      <c r="A92" s="147" t="s">
        <v>217</v>
      </c>
      <c r="B92" s="117" t="s">
        <v>193</v>
      </c>
      <c r="C92" s="120">
        <f>145/1.2</f>
        <v>120.83333333333334</v>
      </c>
      <c r="D92" s="108">
        <f t="shared" si="57"/>
        <v>149.71250000000001</v>
      </c>
      <c r="E92" s="108">
        <f t="shared" si="58"/>
        <v>156.84166666666667</v>
      </c>
      <c r="F92" s="108">
        <f t="shared" si="59"/>
        <v>163.97083333333333</v>
      </c>
      <c r="G92" s="108">
        <f t="shared" si="60"/>
        <v>171.1</v>
      </c>
      <c r="H92" s="102"/>
      <c r="I92" s="144" t="s">
        <v>387</v>
      </c>
      <c r="J92" s="111">
        <v>7.5</v>
      </c>
      <c r="K92" s="134">
        <f>74450/1.12</f>
        <v>66473.214285714275</v>
      </c>
      <c r="L92" s="107">
        <f t="shared" si="63"/>
        <v>81895</v>
      </c>
      <c r="M92" s="107">
        <f t="shared" si="64"/>
        <v>83384.000000000015</v>
      </c>
      <c r="N92" s="107">
        <f t="shared" si="65"/>
        <v>85617.5</v>
      </c>
      <c r="O92" s="107">
        <f t="shared" si="66"/>
        <v>89340</v>
      </c>
    </row>
    <row r="93" spans="1:15" ht="15.6" x14ac:dyDescent="0.3">
      <c r="A93" s="147" t="s">
        <v>218</v>
      </c>
      <c r="B93" s="117" t="s">
        <v>193</v>
      </c>
      <c r="C93" s="120">
        <f>173/1.2</f>
        <v>144.16666666666669</v>
      </c>
      <c r="D93" s="108">
        <f t="shared" si="57"/>
        <v>178.62250000000003</v>
      </c>
      <c r="E93" s="108">
        <f t="shared" si="58"/>
        <v>187.12833333333336</v>
      </c>
      <c r="F93" s="108">
        <f t="shared" si="59"/>
        <v>195.63416666666669</v>
      </c>
      <c r="G93" s="108">
        <f t="shared" si="60"/>
        <v>204.14000000000001</v>
      </c>
      <c r="H93" s="102"/>
      <c r="I93" s="144" t="s">
        <v>503</v>
      </c>
      <c r="J93" s="111">
        <v>10</v>
      </c>
      <c r="K93" s="106">
        <v>44015</v>
      </c>
      <c r="L93" s="107">
        <f t="shared" si="63"/>
        <v>54226.48000000001</v>
      </c>
      <c r="M93" s="107">
        <f t="shared" si="64"/>
        <v>55212.416000000012</v>
      </c>
      <c r="N93" s="107">
        <f t="shared" si="65"/>
        <v>56691.32</v>
      </c>
      <c r="O93" s="107">
        <f t="shared" si="66"/>
        <v>59156.160000000003</v>
      </c>
    </row>
    <row r="94" spans="1:15" ht="15.6" x14ac:dyDescent="0.3">
      <c r="A94" s="147" t="s">
        <v>219</v>
      </c>
      <c r="B94" s="117" t="s">
        <v>193</v>
      </c>
      <c r="C94" s="120">
        <f>146/1.2</f>
        <v>121.66666666666667</v>
      </c>
      <c r="D94" s="108">
        <f t="shared" si="57"/>
        <v>150.745</v>
      </c>
      <c r="E94" s="108">
        <f t="shared" si="58"/>
        <v>157.92333333333335</v>
      </c>
      <c r="F94" s="108">
        <f t="shared" si="59"/>
        <v>165.10166666666666</v>
      </c>
      <c r="G94" s="108">
        <f t="shared" si="60"/>
        <v>172.28</v>
      </c>
      <c r="H94" s="102"/>
      <c r="I94" s="144" t="s">
        <v>499</v>
      </c>
      <c r="J94" s="111">
        <v>10</v>
      </c>
      <c r="K94" s="106">
        <v>48000</v>
      </c>
      <c r="L94" s="144">
        <f>K94*1.15*1.12</f>
        <v>61824</v>
      </c>
      <c r="M94" s="107">
        <f>K94*1.2*1.12</f>
        <v>64512.000000000007</v>
      </c>
      <c r="N94" s="144">
        <f>K94*1.12*1.3</f>
        <v>69888.000000000015</v>
      </c>
      <c r="O94" s="144">
        <f>K94*1.35*1.12</f>
        <v>72576.000000000015</v>
      </c>
    </row>
    <row r="95" spans="1:15" ht="15.6" x14ac:dyDescent="0.3">
      <c r="A95" s="147" t="s">
        <v>220</v>
      </c>
      <c r="B95" s="117" t="s">
        <v>193</v>
      </c>
      <c r="C95" s="120">
        <f>168/1.2</f>
        <v>140</v>
      </c>
      <c r="D95" s="108">
        <f t="shared" si="57"/>
        <v>173.45999999999998</v>
      </c>
      <c r="E95" s="108">
        <f t="shared" si="58"/>
        <v>181.72</v>
      </c>
      <c r="F95" s="108">
        <f t="shared" si="59"/>
        <v>189.98</v>
      </c>
      <c r="G95" s="108">
        <f t="shared" si="60"/>
        <v>198.23999999999998</v>
      </c>
      <c r="H95" s="102"/>
      <c r="I95" s="144" t="s">
        <v>500</v>
      </c>
      <c r="J95" s="111">
        <v>10</v>
      </c>
      <c r="K95" s="106">
        <v>51500</v>
      </c>
      <c r="L95" s="144">
        <f>K95*1.15*1.12</f>
        <v>66332</v>
      </c>
      <c r="M95" s="107">
        <f>K95*1.2*1.12</f>
        <v>69216</v>
      </c>
      <c r="N95" s="144">
        <f>K95*1.12*1.3</f>
        <v>74984.000000000015</v>
      </c>
      <c r="O95" s="144">
        <f>K95*1.35*1.12</f>
        <v>77868.000000000015</v>
      </c>
    </row>
    <row r="96" spans="1:15" ht="15.6" x14ac:dyDescent="0.3">
      <c r="A96" s="147" t="s">
        <v>221</v>
      </c>
      <c r="B96" s="117" t="s">
        <v>193</v>
      </c>
      <c r="C96" s="120">
        <f>223/1.2</f>
        <v>185.83333333333334</v>
      </c>
      <c r="D96" s="108">
        <f t="shared" si="57"/>
        <v>230.24750000000003</v>
      </c>
      <c r="E96" s="108">
        <f t="shared" si="58"/>
        <v>241.21166666666667</v>
      </c>
      <c r="F96" s="108">
        <f t="shared" si="59"/>
        <v>252.17583333333329</v>
      </c>
      <c r="G96" s="108">
        <f t="shared" si="60"/>
        <v>263.14</v>
      </c>
      <c r="H96" s="102"/>
      <c r="I96" s="144" t="s">
        <v>504</v>
      </c>
      <c r="J96" s="111">
        <v>10</v>
      </c>
      <c r="K96" s="106">
        <v>40150</v>
      </c>
      <c r="L96" s="107">
        <f>K96*1.1*1.12</f>
        <v>49464.800000000003</v>
      </c>
      <c r="M96" s="107">
        <f>K96*1.12*1.12</f>
        <v>50364.160000000011</v>
      </c>
      <c r="N96" s="107">
        <f>K96*1.12*1.15</f>
        <v>51713.200000000004</v>
      </c>
      <c r="O96" s="107">
        <f>K96*1.2*1.12</f>
        <v>53961.600000000006</v>
      </c>
    </row>
    <row r="97" spans="1:15" ht="15.6" x14ac:dyDescent="0.3">
      <c r="A97" s="147" t="s">
        <v>222</v>
      </c>
      <c r="B97" s="117" t="s">
        <v>193</v>
      </c>
      <c r="C97" s="120">
        <f>263/1.2</f>
        <v>219.16666666666669</v>
      </c>
      <c r="D97" s="108">
        <f t="shared" si="57"/>
        <v>271.54750000000001</v>
      </c>
      <c r="E97" s="108">
        <f t="shared" si="58"/>
        <v>284.47833333333335</v>
      </c>
      <c r="F97" s="108">
        <f t="shared" si="59"/>
        <v>297.40916666666664</v>
      </c>
      <c r="G97" s="108">
        <f t="shared" si="60"/>
        <v>310.33999999999997</v>
      </c>
      <c r="H97" s="102"/>
      <c r="I97" s="144" t="s">
        <v>505</v>
      </c>
      <c r="J97" s="111">
        <v>10</v>
      </c>
      <c r="K97" s="106">
        <v>48545</v>
      </c>
      <c r="L97" s="107">
        <f>K97*1.1*1.12</f>
        <v>59807.440000000017</v>
      </c>
      <c r="M97" s="107">
        <f>K97*1.12*1.12</f>
        <v>60894.848000000013</v>
      </c>
      <c r="N97" s="107">
        <f>K97*1.12*1.15</f>
        <v>62525.960000000006</v>
      </c>
      <c r="O97" s="107">
        <f>K97*1.2*1.12</f>
        <v>65244.480000000003</v>
      </c>
    </row>
    <row r="98" spans="1:15" ht="15.6" x14ac:dyDescent="0.3">
      <c r="A98" s="147" t="s">
        <v>223</v>
      </c>
      <c r="B98" s="117" t="s">
        <v>193</v>
      </c>
      <c r="C98" s="120">
        <f>213/1.2</f>
        <v>177.5</v>
      </c>
      <c r="D98" s="108">
        <f t="shared" si="57"/>
        <v>219.92249999999999</v>
      </c>
      <c r="E98" s="108">
        <f t="shared" si="58"/>
        <v>230.39500000000001</v>
      </c>
      <c r="F98" s="108">
        <f t="shared" si="59"/>
        <v>240.86749999999995</v>
      </c>
      <c r="G98" s="108">
        <f t="shared" si="60"/>
        <v>251.33999999999997</v>
      </c>
      <c r="H98" s="102"/>
      <c r="I98" s="144" t="s">
        <v>496</v>
      </c>
      <c r="J98" s="111">
        <v>10</v>
      </c>
      <c r="K98" s="106">
        <v>54000</v>
      </c>
      <c r="L98" s="107">
        <f>K98*1.1*1.12</f>
        <v>66528.000000000015</v>
      </c>
      <c r="M98" s="107">
        <f>K98*1.12*1.12</f>
        <v>67737.60000000002</v>
      </c>
      <c r="N98" s="107">
        <f>K98*1.12*1.15</f>
        <v>69552</v>
      </c>
      <c r="O98" s="107">
        <f>K98*1.2*1.12</f>
        <v>72576</v>
      </c>
    </row>
    <row r="99" spans="1:15" ht="15.6" x14ac:dyDescent="0.3">
      <c r="A99" s="147" t="s">
        <v>224</v>
      </c>
      <c r="B99" s="117" t="s">
        <v>193</v>
      </c>
      <c r="C99" s="120">
        <f>245/1.2</f>
        <v>204.16666666666669</v>
      </c>
      <c r="D99" s="108">
        <f t="shared" si="57"/>
        <v>252.96250000000003</v>
      </c>
      <c r="E99" s="108">
        <f t="shared" si="58"/>
        <v>265.00833333333338</v>
      </c>
      <c r="F99" s="108">
        <f t="shared" si="59"/>
        <v>277.05416666666662</v>
      </c>
      <c r="G99" s="108">
        <f t="shared" si="60"/>
        <v>289.09999999999997</v>
      </c>
      <c r="H99" s="102"/>
      <c r="I99" s="144" t="s">
        <v>501</v>
      </c>
      <c r="J99" s="111">
        <v>10</v>
      </c>
      <c r="K99" s="106">
        <v>53500</v>
      </c>
      <c r="L99" s="144">
        <f t="shared" ref="L99:L100" si="67">K99*1.15*1.12</f>
        <v>68908</v>
      </c>
      <c r="M99" s="107">
        <f t="shared" ref="M99:M100" si="68">K99*1.2*1.12</f>
        <v>71904</v>
      </c>
      <c r="N99" s="144">
        <f t="shared" ref="N99:N100" si="69">K99*1.12*1.3</f>
        <v>77896.000000000015</v>
      </c>
      <c r="O99" s="144">
        <f>K99*1.35*1.12</f>
        <v>80892.000000000015</v>
      </c>
    </row>
    <row r="100" spans="1:15" ht="15.6" x14ac:dyDescent="0.3">
      <c r="A100" s="147" t="s">
        <v>225</v>
      </c>
      <c r="B100" s="117" t="s">
        <v>193</v>
      </c>
      <c r="C100" s="120">
        <f>345/1.2</f>
        <v>287.5</v>
      </c>
      <c r="D100" s="108">
        <f t="shared" si="57"/>
        <v>356.21249999999998</v>
      </c>
      <c r="E100" s="108">
        <f t="shared" si="58"/>
        <v>373.17499999999995</v>
      </c>
      <c r="F100" s="108">
        <f t="shared" si="59"/>
        <v>390.13749999999999</v>
      </c>
      <c r="G100" s="108">
        <f t="shared" si="60"/>
        <v>407.09999999999997</v>
      </c>
      <c r="H100" s="102"/>
      <c r="I100" s="144" t="s">
        <v>502</v>
      </c>
      <c r="J100" s="111">
        <v>10</v>
      </c>
      <c r="K100" s="106">
        <v>55500</v>
      </c>
      <c r="L100" s="144">
        <f t="shared" si="67"/>
        <v>71484</v>
      </c>
      <c r="M100" s="107">
        <f t="shared" si="68"/>
        <v>74592</v>
      </c>
      <c r="N100" s="144">
        <f t="shared" si="69"/>
        <v>80808.000000000015</v>
      </c>
      <c r="O100" s="144">
        <f>K100*1.35*1.12</f>
        <v>83916.000000000015</v>
      </c>
    </row>
    <row r="101" spans="1:15" ht="15.6" x14ac:dyDescent="0.3">
      <c r="A101" s="167" t="s">
        <v>329</v>
      </c>
      <c r="B101" s="167"/>
      <c r="C101" s="167"/>
      <c r="D101" s="167"/>
      <c r="E101" s="167"/>
      <c r="F101" s="167"/>
      <c r="G101" s="167"/>
      <c r="H101" s="102"/>
      <c r="I101" s="144" t="s">
        <v>545</v>
      </c>
      <c r="J101" s="111">
        <v>10</v>
      </c>
      <c r="K101" s="106">
        <v>56064</v>
      </c>
      <c r="L101" s="107">
        <f>K101*1.1*1.12</f>
        <v>69070.848000000013</v>
      </c>
      <c r="M101" s="107">
        <f>K101*1.12*1.12</f>
        <v>70326.681600000011</v>
      </c>
      <c r="N101" s="107">
        <f>K101*1.12*1.15</f>
        <v>72210.432000000001</v>
      </c>
      <c r="O101" s="107">
        <f>K101*1.2*1.12</f>
        <v>75350.016000000003</v>
      </c>
    </row>
    <row r="102" spans="1:15" ht="15.6" x14ac:dyDescent="0.3">
      <c r="A102" s="147" t="s">
        <v>228</v>
      </c>
      <c r="B102" s="117" t="s">
        <v>226</v>
      </c>
      <c r="C102" s="120">
        <f>282/1.35</f>
        <v>208.88888888888889</v>
      </c>
      <c r="D102" s="108">
        <f t="shared" ref="D102:D135" si="70">C102*1.05*1.18</f>
        <v>258.81333333333333</v>
      </c>
      <c r="E102" s="108">
        <f t="shared" ref="E102:E135" si="71">C102*1.1*1.18</f>
        <v>271.13777777777779</v>
      </c>
      <c r="F102" s="108">
        <f t="shared" ref="F102:F135" si="72">C102*1.15*1.18</f>
        <v>283.46222222222218</v>
      </c>
      <c r="G102" s="108">
        <f t="shared" ref="G102:G135" si="73">C102*1.2*1.18</f>
        <v>295.78666666666663</v>
      </c>
      <c r="H102" s="102"/>
      <c r="I102" s="144" t="s">
        <v>546</v>
      </c>
      <c r="J102" s="111">
        <v>10</v>
      </c>
      <c r="K102" s="106">
        <v>65481</v>
      </c>
      <c r="L102" s="107">
        <f>K102*1.1*1.12</f>
        <v>80672.592000000019</v>
      </c>
      <c r="M102" s="107">
        <f>K102*1.12*1.12</f>
        <v>82139.366400000014</v>
      </c>
      <c r="N102" s="107">
        <f>K102*1.12*1.15</f>
        <v>84339.527999999991</v>
      </c>
      <c r="O102" s="107">
        <f>K102*1.2*1.12</f>
        <v>88006.464000000007</v>
      </c>
    </row>
    <row r="103" spans="1:15" ht="15.6" x14ac:dyDescent="0.3">
      <c r="A103" s="147" t="s">
        <v>229</v>
      </c>
      <c r="B103" s="117" t="s">
        <v>226</v>
      </c>
      <c r="C103" s="120">
        <f>320/1.35</f>
        <v>237.03703703703701</v>
      </c>
      <c r="D103" s="108">
        <f t="shared" si="70"/>
        <v>293.68888888888881</v>
      </c>
      <c r="E103" s="108">
        <f t="shared" si="71"/>
        <v>307.67407407407404</v>
      </c>
      <c r="F103" s="108">
        <f t="shared" si="72"/>
        <v>321.65925925925922</v>
      </c>
      <c r="G103" s="108">
        <f t="shared" si="73"/>
        <v>335.64444444444439</v>
      </c>
      <c r="H103" s="102"/>
      <c r="I103" s="163" t="s">
        <v>184</v>
      </c>
      <c r="J103" s="164"/>
      <c r="K103" s="164"/>
      <c r="L103" s="164"/>
      <c r="M103" s="164"/>
      <c r="N103" s="164"/>
      <c r="O103" s="165"/>
    </row>
    <row r="104" spans="1:15" ht="15.6" x14ac:dyDescent="0.3">
      <c r="A104" s="147" t="s">
        <v>230</v>
      </c>
      <c r="B104" s="117" t="s">
        <v>226</v>
      </c>
      <c r="C104" s="120">
        <f>338/1.35</f>
        <v>250.37037037037035</v>
      </c>
      <c r="D104" s="108">
        <f t="shared" si="70"/>
        <v>310.20888888888885</v>
      </c>
      <c r="E104" s="108">
        <f t="shared" si="71"/>
        <v>324.98074074074071</v>
      </c>
      <c r="F104" s="108">
        <f t="shared" si="72"/>
        <v>339.75259259259252</v>
      </c>
      <c r="G104" s="108">
        <f t="shared" si="73"/>
        <v>354.52444444444438</v>
      </c>
      <c r="H104" s="102"/>
      <c r="I104" s="144" t="s">
        <v>185</v>
      </c>
      <c r="J104" s="144">
        <v>2</v>
      </c>
      <c r="K104" s="106">
        <v>13359</v>
      </c>
      <c r="L104" s="107">
        <f t="shared" ref="L104:L112" si="74">K104*1.1*1.12</f>
        <v>16458.288000000004</v>
      </c>
      <c r="M104" s="107">
        <f t="shared" ref="M104:M112" si="75">K104*1.12*1.12</f>
        <v>16757.529600000005</v>
      </c>
      <c r="N104" s="107">
        <f t="shared" ref="N104:N112" si="76">K104*1.12*1.15</f>
        <v>17206.392</v>
      </c>
      <c r="O104" s="107">
        <f t="shared" ref="O104:O112" si="77">K104*1.2*1.12</f>
        <v>17954.495999999999</v>
      </c>
    </row>
    <row r="105" spans="1:15" ht="15.6" x14ac:dyDescent="0.3">
      <c r="A105" s="147" t="s">
        <v>231</v>
      </c>
      <c r="B105" s="117" t="s">
        <v>226</v>
      </c>
      <c r="C105" s="120">
        <f>452/1.35</f>
        <v>334.81481481481478</v>
      </c>
      <c r="D105" s="108">
        <f t="shared" si="70"/>
        <v>414.83555555555552</v>
      </c>
      <c r="E105" s="108">
        <f t="shared" si="71"/>
        <v>434.5896296296296</v>
      </c>
      <c r="F105" s="108">
        <f t="shared" si="72"/>
        <v>454.34370370370357</v>
      </c>
      <c r="G105" s="108">
        <f t="shared" si="73"/>
        <v>474.09777777777765</v>
      </c>
      <c r="H105" s="102"/>
      <c r="I105" s="144" t="s">
        <v>186</v>
      </c>
      <c r="J105" s="144">
        <v>3</v>
      </c>
      <c r="K105" s="106">
        <v>17739</v>
      </c>
      <c r="L105" s="107">
        <f t="shared" si="74"/>
        <v>21854.448000000004</v>
      </c>
      <c r="M105" s="107">
        <f t="shared" si="75"/>
        <v>22251.801600000003</v>
      </c>
      <c r="N105" s="107">
        <f t="shared" si="76"/>
        <v>22847.831999999999</v>
      </c>
      <c r="O105" s="107">
        <f t="shared" si="77"/>
        <v>23841.216</v>
      </c>
    </row>
    <row r="106" spans="1:15" ht="15.6" x14ac:dyDescent="0.3">
      <c r="A106" s="147" t="s">
        <v>232</v>
      </c>
      <c r="B106" s="117" t="s">
        <v>226</v>
      </c>
      <c r="C106" s="120">
        <f>452/1.35</f>
        <v>334.81481481481478</v>
      </c>
      <c r="D106" s="108">
        <f t="shared" si="70"/>
        <v>414.83555555555552</v>
      </c>
      <c r="E106" s="108">
        <f t="shared" si="71"/>
        <v>434.5896296296296</v>
      </c>
      <c r="F106" s="108">
        <f t="shared" si="72"/>
        <v>454.34370370370357</v>
      </c>
      <c r="G106" s="108">
        <f t="shared" si="73"/>
        <v>474.09777777777765</v>
      </c>
      <c r="H106" s="102"/>
      <c r="I106" s="144" t="s">
        <v>187</v>
      </c>
      <c r="J106" s="144">
        <v>3</v>
      </c>
      <c r="K106" s="106">
        <v>22557</v>
      </c>
      <c r="L106" s="107">
        <f t="shared" si="74"/>
        <v>27790.224000000002</v>
      </c>
      <c r="M106" s="107">
        <f t="shared" si="75"/>
        <v>28295.500800000005</v>
      </c>
      <c r="N106" s="107">
        <f t="shared" si="76"/>
        <v>29053.416000000001</v>
      </c>
      <c r="O106" s="107">
        <f t="shared" si="77"/>
        <v>30316.608</v>
      </c>
    </row>
    <row r="107" spans="1:15" ht="15.6" x14ac:dyDescent="0.3">
      <c r="A107" s="147" t="s">
        <v>233</v>
      </c>
      <c r="B107" s="117" t="s">
        <v>226</v>
      </c>
      <c r="C107" s="120">
        <f>502/1.35</f>
        <v>371.85185185185185</v>
      </c>
      <c r="D107" s="108">
        <f t="shared" si="70"/>
        <v>460.72444444444443</v>
      </c>
      <c r="E107" s="108">
        <f t="shared" si="71"/>
        <v>482.66370370370373</v>
      </c>
      <c r="F107" s="108">
        <f t="shared" si="72"/>
        <v>504.60296296296292</v>
      </c>
      <c r="G107" s="108">
        <f t="shared" si="73"/>
        <v>526.54222222222222</v>
      </c>
      <c r="H107" s="102"/>
      <c r="I107" s="144" t="s">
        <v>188</v>
      </c>
      <c r="J107" s="144">
        <v>5</v>
      </c>
      <c r="K107" s="106">
        <v>19637</v>
      </c>
      <c r="L107" s="107">
        <f t="shared" si="74"/>
        <v>24192.784000000003</v>
      </c>
      <c r="M107" s="107">
        <f t="shared" si="75"/>
        <v>24632.652800000003</v>
      </c>
      <c r="N107" s="107">
        <f t="shared" si="76"/>
        <v>25292.456000000002</v>
      </c>
      <c r="O107" s="107">
        <f t="shared" si="77"/>
        <v>26392.128000000001</v>
      </c>
    </row>
    <row r="108" spans="1:15" ht="15.6" x14ac:dyDescent="0.3">
      <c r="A108" s="147" t="s">
        <v>234</v>
      </c>
      <c r="B108" s="117" t="s">
        <v>226</v>
      </c>
      <c r="C108" s="120">
        <f>633/1.35</f>
        <v>468.88888888888886</v>
      </c>
      <c r="D108" s="108">
        <f t="shared" si="70"/>
        <v>580.95333333333326</v>
      </c>
      <c r="E108" s="108">
        <f t="shared" si="71"/>
        <v>608.61777777777786</v>
      </c>
      <c r="F108" s="108">
        <f t="shared" si="72"/>
        <v>636.28222222222212</v>
      </c>
      <c r="G108" s="108">
        <f t="shared" si="73"/>
        <v>663.9466666666666</v>
      </c>
      <c r="H108" s="102"/>
      <c r="I108" s="144" t="s">
        <v>509</v>
      </c>
      <c r="J108" s="144">
        <v>5</v>
      </c>
      <c r="K108" s="106">
        <v>29273</v>
      </c>
      <c r="L108" s="107">
        <f t="shared" si="74"/>
        <v>36064.33600000001</v>
      </c>
      <c r="M108" s="107">
        <f t="shared" si="75"/>
        <v>36720.051200000009</v>
      </c>
      <c r="N108" s="107">
        <f t="shared" si="76"/>
        <v>37703.623999999996</v>
      </c>
      <c r="O108" s="107">
        <f t="shared" si="77"/>
        <v>39342.912000000004</v>
      </c>
    </row>
    <row r="109" spans="1:15" ht="15.6" x14ac:dyDescent="0.3">
      <c r="A109" s="147" t="s">
        <v>235</v>
      </c>
      <c r="B109" s="117" t="s">
        <v>226</v>
      </c>
      <c r="C109" s="120">
        <f>737/1.35</f>
        <v>545.92592592592587</v>
      </c>
      <c r="D109" s="108">
        <f t="shared" si="70"/>
        <v>676.40222222222212</v>
      </c>
      <c r="E109" s="108">
        <f t="shared" si="71"/>
        <v>708.61185185185172</v>
      </c>
      <c r="F109" s="108">
        <f t="shared" si="72"/>
        <v>740.82148148148121</v>
      </c>
      <c r="G109" s="108">
        <f t="shared" si="73"/>
        <v>773.03111111111093</v>
      </c>
      <c r="H109" s="102"/>
      <c r="I109" s="144" t="s">
        <v>506</v>
      </c>
      <c r="J109" s="111">
        <v>7.5</v>
      </c>
      <c r="K109" s="106">
        <v>24455</v>
      </c>
      <c r="L109" s="107">
        <f t="shared" si="74"/>
        <v>30128.560000000009</v>
      </c>
      <c r="M109" s="107">
        <f t="shared" si="75"/>
        <v>30676.352000000006</v>
      </c>
      <c r="N109" s="107">
        <f t="shared" si="76"/>
        <v>31498.04</v>
      </c>
      <c r="O109" s="107">
        <f t="shared" si="77"/>
        <v>32867.520000000004</v>
      </c>
    </row>
    <row r="110" spans="1:15" ht="15.6" x14ac:dyDescent="0.3">
      <c r="A110" s="147" t="s">
        <v>236</v>
      </c>
      <c r="B110" s="117" t="s">
        <v>226</v>
      </c>
      <c r="C110" s="120">
        <f>488/1.35</f>
        <v>361.48148148148147</v>
      </c>
      <c r="D110" s="108">
        <f t="shared" si="70"/>
        <v>447.87555555555554</v>
      </c>
      <c r="E110" s="108">
        <f t="shared" si="71"/>
        <v>469.20296296296294</v>
      </c>
      <c r="F110" s="108">
        <f t="shared" si="72"/>
        <v>490.53037037037029</v>
      </c>
      <c r="G110" s="108">
        <f t="shared" si="73"/>
        <v>511.85777777777776</v>
      </c>
      <c r="H110" s="102"/>
      <c r="I110" s="144" t="s">
        <v>508</v>
      </c>
      <c r="J110" s="144">
        <v>7.5</v>
      </c>
      <c r="K110" s="106">
        <v>30076</v>
      </c>
      <c r="L110" s="107">
        <f t="shared" si="74"/>
        <v>37053.632000000012</v>
      </c>
      <c r="M110" s="107">
        <f t="shared" si="75"/>
        <v>37727.334400000007</v>
      </c>
      <c r="N110" s="107">
        <f t="shared" si="76"/>
        <v>38737.887999999999</v>
      </c>
      <c r="O110" s="107">
        <f t="shared" si="77"/>
        <v>40422.144</v>
      </c>
    </row>
    <row r="111" spans="1:15" ht="15.6" x14ac:dyDescent="0.3">
      <c r="A111" s="147" t="s">
        <v>237</v>
      </c>
      <c r="B111" s="117" t="s">
        <v>226</v>
      </c>
      <c r="C111" s="120">
        <f>491/1.35</f>
        <v>363.7037037037037</v>
      </c>
      <c r="D111" s="108">
        <f t="shared" si="70"/>
        <v>450.62888888888892</v>
      </c>
      <c r="E111" s="108">
        <f t="shared" si="71"/>
        <v>472.0874074074074</v>
      </c>
      <c r="F111" s="108">
        <f t="shared" si="72"/>
        <v>493.54592592592587</v>
      </c>
      <c r="G111" s="108">
        <f t="shared" si="73"/>
        <v>515.0044444444444</v>
      </c>
      <c r="H111" s="102"/>
      <c r="I111" s="144" t="s">
        <v>510</v>
      </c>
      <c r="J111" s="144">
        <v>10</v>
      </c>
      <c r="K111" s="106">
        <v>37011</v>
      </c>
      <c r="L111" s="107">
        <f t="shared" si="74"/>
        <v>45597.552000000011</v>
      </c>
      <c r="M111" s="107">
        <f t="shared" si="75"/>
        <v>46426.59840000001</v>
      </c>
      <c r="N111" s="107">
        <f t="shared" si="76"/>
        <v>47670.168000000005</v>
      </c>
      <c r="O111" s="107">
        <f t="shared" si="77"/>
        <v>49742.784</v>
      </c>
    </row>
    <row r="112" spans="1:15" ht="15.6" x14ac:dyDescent="0.3">
      <c r="A112" s="147" t="s">
        <v>238</v>
      </c>
      <c r="B112" s="117" t="s">
        <v>226</v>
      </c>
      <c r="C112" s="120">
        <f>564/1.35</f>
        <v>417.77777777777777</v>
      </c>
      <c r="D112" s="108">
        <f t="shared" si="70"/>
        <v>517.62666666666667</v>
      </c>
      <c r="E112" s="108">
        <f t="shared" si="71"/>
        <v>542.27555555555557</v>
      </c>
      <c r="F112" s="108">
        <f t="shared" si="72"/>
        <v>566.92444444444436</v>
      </c>
      <c r="G112" s="108">
        <f t="shared" si="73"/>
        <v>591.57333333333327</v>
      </c>
      <c r="H112" s="102"/>
      <c r="I112" s="144" t="s">
        <v>507</v>
      </c>
      <c r="J112" s="144">
        <v>10</v>
      </c>
      <c r="K112" s="106">
        <v>44676</v>
      </c>
      <c r="L112" s="107">
        <f t="shared" si="74"/>
        <v>55040.832000000009</v>
      </c>
      <c r="M112" s="107">
        <f t="shared" si="75"/>
        <v>56041.574400000005</v>
      </c>
      <c r="N112" s="107">
        <f t="shared" si="76"/>
        <v>57542.688000000002</v>
      </c>
      <c r="O112" s="107">
        <f t="shared" si="77"/>
        <v>60044.544000000002</v>
      </c>
    </row>
    <row r="113" spans="1:15" ht="15.6" x14ac:dyDescent="0.3">
      <c r="A113" s="147" t="s">
        <v>239</v>
      </c>
      <c r="B113" s="117" t="s">
        <v>226</v>
      </c>
      <c r="C113" s="120">
        <f>605/1.35</f>
        <v>448.1481481481481</v>
      </c>
      <c r="D113" s="108">
        <f t="shared" si="70"/>
        <v>555.25555555555547</v>
      </c>
      <c r="E113" s="108">
        <f t="shared" si="71"/>
        <v>581.69629629629628</v>
      </c>
      <c r="F113" s="108">
        <f t="shared" si="72"/>
        <v>608.13703703703698</v>
      </c>
      <c r="G113" s="108">
        <f t="shared" si="73"/>
        <v>634.57777777777767</v>
      </c>
      <c r="H113" s="102"/>
      <c r="I113" s="163" t="s">
        <v>189</v>
      </c>
      <c r="J113" s="164"/>
      <c r="K113" s="164"/>
      <c r="L113" s="164"/>
      <c r="M113" s="164"/>
      <c r="N113" s="164"/>
      <c r="O113" s="165"/>
    </row>
    <row r="114" spans="1:15" ht="15.6" x14ac:dyDescent="0.3">
      <c r="A114" s="147" t="s">
        <v>240</v>
      </c>
      <c r="B114" s="117" t="s">
        <v>226</v>
      </c>
      <c r="C114" s="120">
        <f>704/1.35</f>
        <v>521.48148148148141</v>
      </c>
      <c r="D114" s="108">
        <f t="shared" si="70"/>
        <v>646.11555555555549</v>
      </c>
      <c r="E114" s="108">
        <f t="shared" si="71"/>
        <v>676.88296296296289</v>
      </c>
      <c r="F114" s="108">
        <f t="shared" si="72"/>
        <v>707.65037037037018</v>
      </c>
      <c r="G114" s="108">
        <f t="shared" si="73"/>
        <v>738.4177777777777</v>
      </c>
      <c r="H114" s="102"/>
      <c r="I114" s="144" t="s">
        <v>511</v>
      </c>
      <c r="J114" s="144">
        <v>1</v>
      </c>
      <c r="K114" s="106">
        <v>11000</v>
      </c>
      <c r="L114" s="144">
        <f t="shared" ref="L114:L116" si="78">K114*1.2*1.12</f>
        <v>14784.000000000002</v>
      </c>
      <c r="M114" s="107">
        <f t="shared" ref="M114:M116" si="79">K114*1.25*1.12</f>
        <v>15400.000000000002</v>
      </c>
      <c r="N114" s="107">
        <f t="shared" ref="N114:N116" si="80">K114*1.12*1.35</f>
        <v>16632.000000000004</v>
      </c>
      <c r="O114" s="107">
        <f t="shared" ref="O114:O116" si="81">K114*1.4*1.12</f>
        <v>17248</v>
      </c>
    </row>
    <row r="115" spans="1:15" ht="15.6" x14ac:dyDescent="0.3">
      <c r="A115" s="147" t="s">
        <v>241</v>
      </c>
      <c r="B115" s="117" t="s">
        <v>226</v>
      </c>
      <c r="C115" s="120">
        <f>762/1.35</f>
        <v>564.44444444444446</v>
      </c>
      <c r="D115" s="108">
        <f t="shared" si="70"/>
        <v>699.34666666666669</v>
      </c>
      <c r="E115" s="108">
        <f t="shared" si="71"/>
        <v>732.64888888888891</v>
      </c>
      <c r="F115" s="108">
        <f t="shared" si="72"/>
        <v>765.951111111111</v>
      </c>
      <c r="G115" s="108">
        <f t="shared" si="73"/>
        <v>799.25333333333333</v>
      </c>
      <c r="H115" s="102"/>
      <c r="I115" s="144" t="s">
        <v>512</v>
      </c>
      <c r="J115" s="144">
        <v>2</v>
      </c>
      <c r="K115" s="106">
        <v>20500</v>
      </c>
      <c r="L115" s="107">
        <f t="shared" si="78"/>
        <v>27552.000000000004</v>
      </c>
      <c r="M115" s="107">
        <f t="shared" si="79"/>
        <v>28700.000000000004</v>
      </c>
      <c r="N115" s="107">
        <f t="shared" si="80"/>
        <v>30996.000000000007</v>
      </c>
      <c r="O115" s="107">
        <f t="shared" si="81"/>
        <v>32144</v>
      </c>
    </row>
    <row r="116" spans="1:15" ht="15.6" x14ac:dyDescent="0.3">
      <c r="A116" s="147" t="s">
        <v>242</v>
      </c>
      <c r="B116" s="117" t="s">
        <v>226</v>
      </c>
      <c r="C116" s="120">
        <f>789/1.35</f>
        <v>584.44444444444446</v>
      </c>
      <c r="D116" s="108">
        <f t="shared" si="70"/>
        <v>724.12666666666667</v>
      </c>
      <c r="E116" s="108">
        <f t="shared" si="71"/>
        <v>758.60888888888883</v>
      </c>
      <c r="F116" s="108">
        <f t="shared" si="72"/>
        <v>793.09111111111099</v>
      </c>
      <c r="G116" s="108">
        <f t="shared" si="73"/>
        <v>827.57333333333338</v>
      </c>
      <c r="H116" s="102"/>
      <c r="I116" s="144" t="s">
        <v>513</v>
      </c>
      <c r="J116" s="144">
        <v>3</v>
      </c>
      <c r="K116" s="106">
        <v>23000</v>
      </c>
      <c r="L116" s="107">
        <f t="shared" si="78"/>
        <v>30912.000000000004</v>
      </c>
      <c r="M116" s="107">
        <f t="shared" si="79"/>
        <v>32200.000000000004</v>
      </c>
      <c r="N116" s="107">
        <f t="shared" si="80"/>
        <v>34776.000000000007</v>
      </c>
      <c r="O116" s="107">
        <f t="shared" si="81"/>
        <v>36064</v>
      </c>
    </row>
    <row r="117" spans="1:15" ht="15.6" x14ac:dyDescent="0.3">
      <c r="A117" s="147" t="s">
        <v>243</v>
      </c>
      <c r="B117" s="117" t="s">
        <v>226</v>
      </c>
      <c r="C117" s="120">
        <f>913/1.35</f>
        <v>676.2962962962963</v>
      </c>
      <c r="D117" s="108">
        <f t="shared" si="70"/>
        <v>837.93111111111114</v>
      </c>
      <c r="E117" s="108">
        <f t="shared" si="71"/>
        <v>877.83259259259262</v>
      </c>
      <c r="F117" s="108">
        <f t="shared" si="72"/>
        <v>917.73407407407387</v>
      </c>
      <c r="G117" s="108">
        <f t="shared" si="73"/>
        <v>957.63555555555547</v>
      </c>
      <c r="H117" s="102"/>
      <c r="I117" s="144" t="s">
        <v>514</v>
      </c>
      <c r="J117" s="144">
        <v>5</v>
      </c>
      <c r="K117" s="106">
        <v>36000</v>
      </c>
      <c r="L117" s="144">
        <f t="shared" ref="L117:L119" si="82">K117*1.15*1.12</f>
        <v>46368.000000000007</v>
      </c>
      <c r="M117" s="107">
        <f t="shared" ref="M117:M119" si="83">K117*1.2*1.12</f>
        <v>48384.000000000007</v>
      </c>
      <c r="N117" s="144">
        <f t="shared" ref="N117:N119" si="84">K117*1.12*1.3</f>
        <v>52416.000000000015</v>
      </c>
      <c r="O117" s="144">
        <f>K117*1.35*1.12</f>
        <v>54432.000000000007</v>
      </c>
    </row>
    <row r="118" spans="1:15" ht="15.6" x14ac:dyDescent="0.3">
      <c r="A118" s="147" t="s">
        <v>244</v>
      </c>
      <c r="B118" s="117" t="s">
        <v>226</v>
      </c>
      <c r="C118" s="120">
        <f>1165/1.35</f>
        <v>862.96296296296293</v>
      </c>
      <c r="D118" s="108">
        <f t="shared" si="70"/>
        <v>1069.211111111111</v>
      </c>
      <c r="E118" s="108">
        <f t="shared" si="71"/>
        <v>1120.1259259259259</v>
      </c>
      <c r="F118" s="108">
        <f t="shared" si="72"/>
        <v>1171.0407407407406</v>
      </c>
      <c r="G118" s="108">
        <f t="shared" si="73"/>
        <v>1221.9555555555553</v>
      </c>
      <c r="H118" s="102"/>
      <c r="I118" s="144" t="s">
        <v>515</v>
      </c>
      <c r="J118" s="144">
        <v>7.5</v>
      </c>
      <c r="K118" s="106">
        <v>35500</v>
      </c>
      <c r="L118" s="144">
        <f t="shared" si="82"/>
        <v>45724.000000000007</v>
      </c>
      <c r="M118" s="107">
        <f t="shared" si="83"/>
        <v>47712.000000000007</v>
      </c>
      <c r="N118" s="144">
        <f t="shared" si="84"/>
        <v>51688.000000000015</v>
      </c>
      <c r="O118" s="144">
        <f>K118*1.35*1.12</f>
        <v>53676.000000000007</v>
      </c>
    </row>
    <row r="119" spans="1:15" ht="15.6" x14ac:dyDescent="0.3">
      <c r="A119" s="147" t="s">
        <v>245</v>
      </c>
      <c r="B119" s="117" t="s">
        <v>226</v>
      </c>
      <c r="C119" s="120">
        <f>714/1.35</f>
        <v>528.8888888888888</v>
      </c>
      <c r="D119" s="108">
        <f t="shared" si="70"/>
        <v>655.29333333333318</v>
      </c>
      <c r="E119" s="108">
        <f t="shared" si="71"/>
        <v>686.49777777777763</v>
      </c>
      <c r="F119" s="108">
        <f t="shared" si="72"/>
        <v>717.70222222222196</v>
      </c>
      <c r="G119" s="108">
        <f t="shared" si="73"/>
        <v>748.90666666666641</v>
      </c>
      <c r="H119" s="102"/>
      <c r="I119" s="144" t="s">
        <v>516</v>
      </c>
      <c r="J119" s="111">
        <v>10</v>
      </c>
      <c r="K119" s="106">
        <v>40500</v>
      </c>
      <c r="L119" s="144">
        <f t="shared" si="82"/>
        <v>52164.000000000007</v>
      </c>
      <c r="M119" s="107">
        <f t="shared" si="83"/>
        <v>54432.000000000007</v>
      </c>
      <c r="N119" s="144">
        <f t="shared" si="84"/>
        <v>58968.000000000015</v>
      </c>
      <c r="O119" s="144">
        <f>K119*1.35*1.12</f>
        <v>61236.000000000007</v>
      </c>
    </row>
    <row r="120" spans="1:15" ht="15.6" x14ac:dyDescent="0.3">
      <c r="A120" s="147" t="s">
        <v>246</v>
      </c>
      <c r="B120" s="117" t="s">
        <v>226</v>
      </c>
      <c r="C120" s="120">
        <f>779/1.35</f>
        <v>577.03703703703695</v>
      </c>
      <c r="D120" s="108">
        <f t="shared" si="70"/>
        <v>714.94888888888875</v>
      </c>
      <c r="E120" s="108">
        <f t="shared" si="71"/>
        <v>748.99407407407398</v>
      </c>
      <c r="F120" s="108">
        <f t="shared" si="72"/>
        <v>783.0392592592591</v>
      </c>
      <c r="G120" s="108">
        <f t="shared" si="73"/>
        <v>817.08444444444433</v>
      </c>
      <c r="H120" s="102"/>
      <c r="I120" s="162" t="s">
        <v>323</v>
      </c>
      <c r="J120" s="162"/>
      <c r="K120" s="162"/>
      <c r="L120" s="131" t="s">
        <v>315</v>
      </c>
      <c r="M120" s="131" t="s">
        <v>321</v>
      </c>
      <c r="N120" s="131" t="s">
        <v>326</v>
      </c>
      <c r="O120" s="131" t="s">
        <v>327</v>
      </c>
    </row>
    <row r="121" spans="1:15" ht="15.6" x14ac:dyDescent="0.3">
      <c r="A121" s="147" t="s">
        <v>247</v>
      </c>
      <c r="B121" s="117" t="s">
        <v>226</v>
      </c>
      <c r="C121" s="120">
        <f>717/1.35</f>
        <v>531.11111111111109</v>
      </c>
      <c r="D121" s="108">
        <f t="shared" si="70"/>
        <v>658.04666666666662</v>
      </c>
      <c r="E121" s="108">
        <f t="shared" si="71"/>
        <v>689.38222222222225</v>
      </c>
      <c r="F121" s="108">
        <f t="shared" si="72"/>
        <v>720.71777777777766</v>
      </c>
      <c r="G121" s="108">
        <f t="shared" si="73"/>
        <v>752.05333333333317</v>
      </c>
      <c r="H121" s="102"/>
      <c r="I121" s="162" t="s">
        <v>324</v>
      </c>
      <c r="J121" s="162"/>
      <c r="K121" s="162"/>
      <c r="L121" s="131">
        <v>0.1</v>
      </c>
      <c r="M121" s="131">
        <v>0.12</v>
      </c>
      <c r="N121" s="131">
        <v>0.15</v>
      </c>
      <c r="O121" s="131">
        <v>0.2</v>
      </c>
    </row>
    <row r="122" spans="1:15" ht="15.6" x14ac:dyDescent="0.3">
      <c r="A122" s="147" t="s">
        <v>248</v>
      </c>
      <c r="B122" s="117" t="s">
        <v>226</v>
      </c>
      <c r="C122" s="120">
        <f>828/1.35</f>
        <v>613.33333333333326</v>
      </c>
      <c r="D122" s="108">
        <f t="shared" si="70"/>
        <v>759.92</v>
      </c>
      <c r="E122" s="108">
        <f t="shared" si="71"/>
        <v>796.10666666666657</v>
      </c>
      <c r="F122" s="108">
        <f t="shared" si="72"/>
        <v>832.29333333333307</v>
      </c>
      <c r="G122" s="108">
        <f t="shared" si="73"/>
        <v>868.47999999999979</v>
      </c>
      <c r="H122" s="102"/>
      <c r="I122" s="162" t="s">
        <v>325</v>
      </c>
      <c r="J122" s="162"/>
      <c r="K122" s="162"/>
      <c r="L122" s="130">
        <v>0.1</v>
      </c>
      <c r="M122" s="130">
        <v>0.12</v>
      </c>
      <c r="N122" s="131">
        <v>0.15</v>
      </c>
      <c r="O122" s="131">
        <v>0.2</v>
      </c>
    </row>
    <row r="123" spans="1:15" ht="15.6" x14ac:dyDescent="0.3">
      <c r="A123" s="147" t="s">
        <v>249</v>
      </c>
      <c r="B123" s="117" t="s">
        <v>226</v>
      </c>
      <c r="C123" s="120">
        <f>897/1.35</f>
        <v>664.44444444444446</v>
      </c>
      <c r="D123" s="108">
        <f t="shared" si="70"/>
        <v>823.24666666666667</v>
      </c>
      <c r="E123" s="108">
        <f t="shared" si="71"/>
        <v>862.44888888888886</v>
      </c>
      <c r="F123" s="108">
        <f t="shared" si="72"/>
        <v>901.65111111111105</v>
      </c>
      <c r="G123" s="108">
        <f t="shared" si="73"/>
        <v>940.85333333333335</v>
      </c>
      <c r="I123" s="102"/>
      <c r="J123" s="102"/>
      <c r="K123" s="112"/>
      <c r="L123" s="102"/>
      <c r="M123" s="102"/>
      <c r="N123" s="102"/>
      <c r="O123" s="102"/>
    </row>
    <row r="124" spans="1:15" ht="15.6" x14ac:dyDescent="0.3">
      <c r="A124" s="147" t="s">
        <v>251</v>
      </c>
      <c r="B124" s="117" t="s">
        <v>226</v>
      </c>
      <c r="C124" s="120">
        <f>972/1.35</f>
        <v>720</v>
      </c>
      <c r="D124" s="108">
        <f t="shared" si="70"/>
        <v>892.07999999999993</v>
      </c>
      <c r="E124" s="108">
        <f t="shared" si="71"/>
        <v>934.56000000000006</v>
      </c>
      <c r="F124" s="108">
        <f t="shared" si="72"/>
        <v>977.03999999999985</v>
      </c>
      <c r="G124" s="108">
        <f t="shared" si="73"/>
        <v>1019.52</v>
      </c>
      <c r="I124" s="102"/>
      <c r="J124" s="102"/>
      <c r="K124" s="112"/>
      <c r="L124" s="102"/>
      <c r="M124" s="102"/>
      <c r="N124" s="102"/>
      <c r="O124" s="102"/>
    </row>
    <row r="125" spans="1:15" ht="15.6" x14ac:dyDescent="0.3">
      <c r="A125" s="147" t="s">
        <v>250</v>
      </c>
      <c r="B125" s="117" t="s">
        <v>226</v>
      </c>
      <c r="C125" s="120">
        <f>1162/1.35</f>
        <v>860.74074074074065</v>
      </c>
      <c r="D125" s="108">
        <f t="shared" si="70"/>
        <v>1066.4577777777777</v>
      </c>
      <c r="E125" s="108">
        <f t="shared" si="71"/>
        <v>1117.2414814814813</v>
      </c>
      <c r="F125" s="108">
        <f t="shared" si="72"/>
        <v>1168.0251851851849</v>
      </c>
      <c r="G125" s="108">
        <f t="shared" si="73"/>
        <v>1218.8088888888885</v>
      </c>
      <c r="I125" s="102"/>
      <c r="J125" s="102"/>
      <c r="K125" s="112"/>
      <c r="L125" s="102"/>
      <c r="M125" s="102"/>
      <c r="N125" s="102"/>
      <c r="O125" s="102"/>
    </row>
    <row r="126" spans="1:15" ht="15.6" x14ac:dyDescent="0.3">
      <c r="A126" s="147" t="s">
        <v>252</v>
      </c>
      <c r="B126" s="117" t="s">
        <v>226</v>
      </c>
      <c r="C126" s="120">
        <f>1289/1.35</f>
        <v>954.81481481481478</v>
      </c>
      <c r="D126" s="108">
        <f t="shared" si="70"/>
        <v>1183.0155555555555</v>
      </c>
      <c r="E126" s="108">
        <f t="shared" si="71"/>
        <v>1239.3496296296296</v>
      </c>
      <c r="F126" s="108">
        <f t="shared" si="72"/>
        <v>1295.6837037037035</v>
      </c>
      <c r="G126" s="108">
        <f t="shared" si="73"/>
        <v>1352.0177777777776</v>
      </c>
      <c r="I126" s="102"/>
      <c r="J126" s="102"/>
      <c r="K126" s="112"/>
      <c r="L126" s="102"/>
      <c r="M126" s="102"/>
      <c r="N126" s="102"/>
      <c r="O126" s="102"/>
    </row>
    <row r="127" spans="1:15" ht="31.2" x14ac:dyDescent="0.3">
      <c r="A127" s="147" t="s">
        <v>253</v>
      </c>
      <c r="B127" s="117" t="s">
        <v>226</v>
      </c>
      <c r="C127" s="120">
        <f>1019/1.35</f>
        <v>754.81481481481478</v>
      </c>
      <c r="D127" s="108">
        <f t="shared" si="70"/>
        <v>935.21555555555551</v>
      </c>
      <c r="E127" s="108">
        <f t="shared" si="71"/>
        <v>979.74962962962957</v>
      </c>
      <c r="F127" s="108">
        <f t="shared" si="72"/>
        <v>1024.2837037037036</v>
      </c>
      <c r="G127" s="108">
        <f t="shared" si="73"/>
        <v>1068.8177777777776</v>
      </c>
      <c r="I127" s="102"/>
      <c r="J127" s="102"/>
      <c r="K127" s="112"/>
      <c r="L127" s="102"/>
      <c r="M127" s="102"/>
      <c r="N127" s="102"/>
      <c r="O127" s="102"/>
    </row>
    <row r="128" spans="1:15" ht="15.6" x14ac:dyDescent="0.3">
      <c r="A128" s="147" t="s">
        <v>254</v>
      </c>
      <c r="B128" s="117" t="s">
        <v>226</v>
      </c>
      <c r="C128" s="120">
        <f>1078/1.35</f>
        <v>798.51851851851848</v>
      </c>
      <c r="D128" s="108">
        <f t="shared" si="70"/>
        <v>989.36444444444442</v>
      </c>
      <c r="E128" s="108">
        <f t="shared" si="71"/>
        <v>1036.477037037037</v>
      </c>
      <c r="F128" s="108">
        <f t="shared" si="72"/>
        <v>1083.5896296296294</v>
      </c>
      <c r="G128" s="108">
        <f t="shared" si="73"/>
        <v>1130.7022222222222</v>
      </c>
      <c r="I128" s="102"/>
      <c r="J128" s="102"/>
      <c r="K128" s="112"/>
      <c r="L128" s="102"/>
      <c r="M128" s="102"/>
      <c r="N128" s="102"/>
      <c r="O128" s="102"/>
    </row>
    <row r="129" spans="1:15" ht="15.6" x14ac:dyDescent="0.3">
      <c r="A129" s="147" t="s">
        <v>255</v>
      </c>
      <c r="B129" s="117" t="s">
        <v>226</v>
      </c>
      <c r="C129" s="120">
        <f>1447/1.35</f>
        <v>1071.8518518518517</v>
      </c>
      <c r="D129" s="108">
        <f t="shared" si="70"/>
        <v>1328.0244444444443</v>
      </c>
      <c r="E129" s="108">
        <f t="shared" si="71"/>
        <v>1391.2637037037036</v>
      </c>
      <c r="F129" s="108">
        <f t="shared" si="72"/>
        <v>1454.5029629629626</v>
      </c>
      <c r="G129" s="108">
        <f t="shared" si="73"/>
        <v>1517.7422222222219</v>
      </c>
      <c r="I129" s="102"/>
      <c r="J129" s="102"/>
      <c r="K129" s="112"/>
      <c r="L129" s="102"/>
      <c r="M129" s="102"/>
      <c r="N129" s="102"/>
      <c r="O129" s="102"/>
    </row>
    <row r="130" spans="1:15" ht="15.6" x14ac:dyDescent="0.3">
      <c r="A130" s="147" t="s">
        <v>256</v>
      </c>
      <c r="B130" s="117" t="s">
        <v>226</v>
      </c>
      <c r="C130" s="120">
        <f>1541/1.35</f>
        <v>1141.4814814814813</v>
      </c>
      <c r="D130" s="108">
        <f t="shared" si="70"/>
        <v>1414.2955555555554</v>
      </c>
      <c r="E130" s="108">
        <f t="shared" si="71"/>
        <v>1481.6429629629629</v>
      </c>
      <c r="F130" s="108">
        <f t="shared" si="72"/>
        <v>1548.9903703703701</v>
      </c>
      <c r="G130" s="108">
        <f t="shared" si="73"/>
        <v>1616.3377777777775</v>
      </c>
      <c r="I130" s="102"/>
      <c r="J130" s="102"/>
      <c r="K130" s="112"/>
      <c r="L130" s="102"/>
      <c r="M130" s="102"/>
      <c r="N130" s="102"/>
      <c r="O130" s="102"/>
    </row>
    <row r="131" spans="1:15" ht="15.6" x14ac:dyDescent="0.3">
      <c r="A131" s="147" t="s">
        <v>257</v>
      </c>
      <c r="B131" s="117" t="s">
        <v>226</v>
      </c>
      <c r="C131" s="120">
        <f>1915/1.35</f>
        <v>1418.5185185185185</v>
      </c>
      <c r="D131" s="108">
        <f t="shared" si="70"/>
        <v>1757.5444444444445</v>
      </c>
      <c r="E131" s="108">
        <f t="shared" si="71"/>
        <v>1841.237037037037</v>
      </c>
      <c r="F131" s="108">
        <f t="shared" si="72"/>
        <v>1924.9296296296293</v>
      </c>
      <c r="G131" s="108">
        <f t="shared" si="73"/>
        <v>2008.622222222222</v>
      </c>
      <c r="I131" s="102"/>
      <c r="J131" s="102"/>
      <c r="K131" s="112"/>
      <c r="L131" s="102"/>
      <c r="M131" s="102"/>
      <c r="N131" s="102"/>
      <c r="O131" s="102"/>
    </row>
    <row r="132" spans="1:15" ht="15.6" x14ac:dyDescent="0.3">
      <c r="A132" s="147" t="s">
        <v>227</v>
      </c>
      <c r="B132" s="117" t="s">
        <v>226</v>
      </c>
      <c r="C132" s="120">
        <f>2420/1.35</f>
        <v>1792.5925925925924</v>
      </c>
      <c r="D132" s="108">
        <f t="shared" si="70"/>
        <v>2221.0222222222219</v>
      </c>
      <c r="E132" s="108">
        <f t="shared" si="71"/>
        <v>2326.7851851851851</v>
      </c>
      <c r="F132" s="108">
        <f t="shared" si="72"/>
        <v>2432.5481481481479</v>
      </c>
      <c r="G132" s="108">
        <f t="shared" si="73"/>
        <v>2538.3111111111107</v>
      </c>
      <c r="I132" s="102"/>
      <c r="J132" s="102"/>
      <c r="K132" s="112"/>
      <c r="L132" s="102"/>
      <c r="M132" s="102"/>
      <c r="N132" s="102"/>
      <c r="O132" s="102"/>
    </row>
    <row r="133" spans="1:15" ht="15.6" x14ac:dyDescent="0.3">
      <c r="A133" s="147" t="s">
        <v>258</v>
      </c>
      <c r="B133" s="117" t="s">
        <v>226</v>
      </c>
      <c r="C133" s="120">
        <f>1624/1.35</f>
        <v>1202.9629629629628</v>
      </c>
      <c r="D133" s="108">
        <f t="shared" si="70"/>
        <v>1490.471111111111</v>
      </c>
      <c r="E133" s="108">
        <f t="shared" si="71"/>
        <v>1561.4459259259256</v>
      </c>
      <c r="F133" s="108">
        <f t="shared" si="72"/>
        <v>1632.4207407407403</v>
      </c>
      <c r="G133" s="108">
        <f t="shared" si="73"/>
        <v>1703.3955555555553</v>
      </c>
      <c r="I133" s="102"/>
      <c r="J133" s="102"/>
      <c r="K133" s="112"/>
      <c r="L133" s="102"/>
      <c r="M133" s="102"/>
      <c r="N133" s="102"/>
      <c r="O133" s="102"/>
    </row>
    <row r="134" spans="1:15" ht="15.6" x14ac:dyDescent="0.3">
      <c r="A134" s="147" t="s">
        <v>259</v>
      </c>
      <c r="B134" s="117" t="s">
        <v>226</v>
      </c>
      <c r="C134" s="120">
        <f>1990/1.35</f>
        <v>1474.0740740740739</v>
      </c>
      <c r="D134" s="108">
        <f t="shared" si="70"/>
        <v>1826.3777777777775</v>
      </c>
      <c r="E134" s="108">
        <f t="shared" si="71"/>
        <v>1913.3481481481481</v>
      </c>
      <c r="F134" s="108">
        <f t="shared" si="72"/>
        <v>2000.318518518518</v>
      </c>
      <c r="G134" s="108">
        <f t="shared" si="73"/>
        <v>2087.2888888888883</v>
      </c>
      <c r="I134" s="102"/>
      <c r="J134" s="102"/>
      <c r="K134" s="112"/>
      <c r="L134" s="102"/>
      <c r="M134" s="102"/>
      <c r="N134" s="102"/>
      <c r="O134" s="102"/>
    </row>
    <row r="135" spans="1:15" ht="15.6" x14ac:dyDescent="0.3">
      <c r="A135" s="147" t="s">
        <v>260</v>
      </c>
      <c r="B135" s="117" t="s">
        <v>226</v>
      </c>
      <c r="C135" s="120">
        <f>3250/1.35</f>
        <v>2407.4074074074074</v>
      </c>
      <c r="D135" s="108">
        <f t="shared" si="70"/>
        <v>2982.7777777777778</v>
      </c>
      <c r="E135" s="108">
        <f t="shared" si="71"/>
        <v>3124.8148148148148</v>
      </c>
      <c r="F135" s="108">
        <f t="shared" si="72"/>
        <v>3266.8518518518513</v>
      </c>
      <c r="G135" s="108">
        <f t="shared" si="73"/>
        <v>3408.8888888888887</v>
      </c>
      <c r="I135" s="102"/>
      <c r="J135" s="102"/>
      <c r="K135" s="112"/>
      <c r="L135" s="102"/>
      <c r="M135" s="102"/>
      <c r="N135" s="102"/>
      <c r="O135" s="102"/>
    </row>
    <row r="136" spans="1:15" ht="15.6" x14ac:dyDescent="0.3">
      <c r="A136" s="102"/>
      <c r="B136" s="102"/>
      <c r="C136" s="109"/>
      <c r="D136" s="102"/>
      <c r="E136" s="102"/>
      <c r="F136" s="102"/>
      <c r="G136" s="102"/>
      <c r="I136" s="102"/>
      <c r="J136" s="102"/>
      <c r="K136" s="112"/>
      <c r="L136" s="102"/>
      <c r="M136" s="102"/>
      <c r="N136" s="102"/>
      <c r="O136" s="102"/>
    </row>
    <row r="137" spans="1:15" ht="15.6" x14ac:dyDescent="0.3">
      <c r="A137" s="136" t="s">
        <v>393</v>
      </c>
      <c r="B137">
        <v>1</v>
      </c>
      <c r="C137" s="94">
        <v>5000</v>
      </c>
      <c r="I137" s="102"/>
      <c r="J137" s="102"/>
      <c r="K137" s="112"/>
      <c r="L137" s="102"/>
      <c r="M137" s="102"/>
      <c r="N137" s="102"/>
      <c r="O137" s="102"/>
    </row>
    <row r="138" spans="1:15" ht="15.6" x14ac:dyDescent="0.3">
      <c r="A138" s="136" t="s">
        <v>394</v>
      </c>
      <c r="B138">
        <v>2</v>
      </c>
      <c r="C138" s="94">
        <v>7000</v>
      </c>
      <c r="I138" s="102"/>
      <c r="J138" s="102"/>
      <c r="K138" s="112"/>
      <c r="L138" s="102"/>
      <c r="M138" s="102"/>
      <c r="N138" s="102"/>
      <c r="O138" s="102"/>
    </row>
    <row r="139" spans="1:15" ht="15.6" x14ac:dyDescent="0.3">
      <c r="A139" s="136" t="s">
        <v>395</v>
      </c>
      <c r="B139">
        <v>3</v>
      </c>
      <c r="C139" s="94">
        <v>9000</v>
      </c>
      <c r="I139" s="102"/>
      <c r="J139" s="102"/>
      <c r="K139" s="112"/>
      <c r="L139" s="102"/>
      <c r="M139" s="102"/>
      <c r="N139" s="102"/>
      <c r="O139" s="102"/>
    </row>
    <row r="140" spans="1:15" ht="15.6" x14ac:dyDescent="0.3">
      <c r="A140" s="136" t="s">
        <v>396</v>
      </c>
      <c r="B140">
        <v>5</v>
      </c>
      <c r="C140" s="94">
        <v>12500</v>
      </c>
      <c r="I140" s="102"/>
      <c r="J140" s="102"/>
      <c r="K140" s="112"/>
      <c r="L140" s="102"/>
      <c r="M140" s="102"/>
      <c r="N140" s="102"/>
      <c r="O140" s="102"/>
    </row>
    <row r="141" spans="1:15" ht="15.6" x14ac:dyDescent="0.3">
      <c r="A141" s="136" t="s">
        <v>397</v>
      </c>
      <c r="B141">
        <v>7.5</v>
      </c>
      <c r="C141" s="94">
        <v>16000</v>
      </c>
      <c r="I141" s="102"/>
      <c r="J141" s="102"/>
      <c r="K141" s="112"/>
      <c r="L141" s="102"/>
      <c r="M141" s="102"/>
      <c r="N141" s="102"/>
      <c r="O141" s="102"/>
    </row>
    <row r="142" spans="1:15" ht="15.6" x14ac:dyDescent="0.3">
      <c r="A142" s="136" t="s">
        <v>398</v>
      </c>
      <c r="B142">
        <v>10</v>
      </c>
      <c r="C142" s="94">
        <v>17500</v>
      </c>
      <c r="I142" s="102"/>
      <c r="J142" s="102"/>
      <c r="K142" s="112"/>
      <c r="L142" s="102"/>
      <c r="M142" s="102"/>
      <c r="N142" s="102"/>
      <c r="O142" s="102"/>
    </row>
    <row r="143" spans="1:15" ht="15.6" x14ac:dyDescent="0.3">
      <c r="I143" s="102"/>
      <c r="J143" s="102"/>
      <c r="K143" s="112"/>
      <c r="L143" s="102"/>
      <c r="M143" s="102"/>
      <c r="N143" s="102"/>
      <c r="O143" s="102"/>
    </row>
    <row r="144" spans="1:15" ht="15.6" x14ac:dyDescent="0.3">
      <c r="A144" s="136" t="s">
        <v>399</v>
      </c>
      <c r="B144">
        <v>20</v>
      </c>
      <c r="C144" s="94">
        <f>200*B144</f>
        <v>4000</v>
      </c>
      <c r="I144" s="102"/>
      <c r="J144" s="102"/>
      <c r="K144" s="112"/>
      <c r="L144" s="102"/>
      <c r="M144" s="102"/>
      <c r="N144" s="102"/>
      <c r="O144" s="102"/>
    </row>
    <row r="145" spans="1:15" ht="15.6" x14ac:dyDescent="0.3">
      <c r="A145" s="136" t="s">
        <v>498</v>
      </c>
      <c r="B145">
        <v>30</v>
      </c>
      <c r="C145" s="94">
        <f>200*B145</f>
        <v>6000</v>
      </c>
      <c r="I145" s="102"/>
      <c r="J145" s="102"/>
      <c r="K145" s="112"/>
      <c r="L145" s="102"/>
      <c r="M145" s="102"/>
      <c r="N145" s="102"/>
      <c r="O145" s="102"/>
    </row>
    <row r="146" spans="1:15" ht="15.6" x14ac:dyDescent="0.3">
      <c r="I146" s="102"/>
      <c r="J146" s="102"/>
      <c r="K146" s="112"/>
      <c r="L146" s="102"/>
      <c r="M146" s="102"/>
      <c r="N146" s="102"/>
      <c r="O146" s="102"/>
    </row>
    <row r="147" spans="1:15" ht="15.6" x14ac:dyDescent="0.3">
      <c r="I147" s="102"/>
      <c r="J147" s="102"/>
      <c r="K147" s="112"/>
      <c r="L147" s="102"/>
      <c r="M147" s="102"/>
      <c r="N147" s="102"/>
      <c r="O147" s="102"/>
    </row>
  </sheetData>
  <mergeCells count="25">
    <mergeCell ref="I122:K122"/>
    <mergeCell ref="A82:G82"/>
    <mergeCell ref="A101:G101"/>
    <mergeCell ref="I103:O103"/>
    <mergeCell ref="I113:O113"/>
    <mergeCell ref="I120:K120"/>
    <mergeCell ref="I121:K121"/>
    <mergeCell ref="A75:G75"/>
    <mergeCell ref="A50:C50"/>
    <mergeCell ref="A51:C51"/>
    <mergeCell ref="A52:C52"/>
    <mergeCell ref="A53:C53"/>
    <mergeCell ref="A55:G55"/>
    <mergeCell ref="A57:G57"/>
    <mergeCell ref="A60:G60"/>
    <mergeCell ref="A62:G62"/>
    <mergeCell ref="A65:G65"/>
    <mergeCell ref="A67:G67"/>
    <mergeCell ref="A71:G71"/>
    <mergeCell ref="I28:O28"/>
    <mergeCell ref="A2:G2"/>
    <mergeCell ref="I2:O2"/>
    <mergeCell ref="A8:C8"/>
    <mergeCell ref="A9:G9"/>
    <mergeCell ref="I26:O26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B3:H68"/>
  <sheetViews>
    <sheetView view="pageBreakPreview" zoomScale="60" workbookViewId="0">
      <selection activeCell="G32" sqref="G32"/>
    </sheetView>
  </sheetViews>
  <sheetFormatPr defaultRowHeight="14.4" x14ac:dyDescent="0.3"/>
  <cols>
    <col min="2" max="2" width="25.44140625" customWidth="1"/>
    <col min="3" max="3" width="9" bestFit="1" customWidth="1"/>
    <col min="4" max="5" width="7.33203125" bestFit="1" customWidth="1"/>
    <col min="6" max="6" width="11.109375" bestFit="1" customWidth="1"/>
    <col min="7" max="7" width="10" bestFit="1" customWidth="1"/>
    <col min="8" max="8" width="7.33203125" bestFit="1" customWidth="1"/>
  </cols>
  <sheetData>
    <row r="3" spans="2:8" ht="15.6" x14ac:dyDescent="0.3">
      <c r="B3" s="159" t="s">
        <v>133</v>
      </c>
      <c r="C3" s="159" t="s">
        <v>134</v>
      </c>
      <c r="D3" s="160" t="s">
        <v>12</v>
      </c>
      <c r="E3" s="159" t="s">
        <v>16</v>
      </c>
      <c r="F3" s="159" t="s">
        <v>135</v>
      </c>
      <c r="G3" s="159" t="s">
        <v>136</v>
      </c>
      <c r="H3" s="159" t="s">
        <v>140</v>
      </c>
    </row>
    <row r="4" spans="2:8" ht="15.6" x14ac:dyDescent="0.3">
      <c r="B4" s="154" t="s">
        <v>202</v>
      </c>
      <c r="C4" s="154" t="s">
        <v>193</v>
      </c>
      <c r="D4" s="115">
        <v>78</v>
      </c>
      <c r="E4" s="108">
        <f>D4*1.05*1.18</f>
        <v>96.641999999999996</v>
      </c>
      <c r="F4" s="108">
        <f>D4*1.1*1.18</f>
        <v>101.24400000000001</v>
      </c>
      <c r="G4" s="108">
        <f>D4*1.15*1.18</f>
        <v>105.84599999999998</v>
      </c>
      <c r="H4" s="108">
        <f>D4*1.2*1.18</f>
        <v>110.44799999999999</v>
      </c>
    </row>
    <row r="5" spans="2:8" ht="15.6" x14ac:dyDescent="0.3">
      <c r="B5" s="154" t="s">
        <v>196</v>
      </c>
      <c r="C5" s="154" t="s">
        <v>193</v>
      </c>
      <c r="D5" s="115">
        <v>104</v>
      </c>
      <c r="E5" s="108">
        <f>D5*1.05*1.18</f>
        <v>128.85599999999999</v>
      </c>
      <c r="F5" s="108">
        <f>D5*1.1*1.18</f>
        <v>134.99199999999999</v>
      </c>
      <c r="G5" s="108">
        <f>D5*1.15*1.18</f>
        <v>141.12799999999999</v>
      </c>
      <c r="H5" s="108">
        <f>D5*1.2*1.18</f>
        <v>147.26399999999998</v>
      </c>
    </row>
    <row r="6" spans="2:8" ht="15.6" x14ac:dyDescent="0.3">
      <c r="B6" s="116" t="s">
        <v>197</v>
      </c>
      <c r="C6" s="154" t="s">
        <v>193</v>
      </c>
      <c r="D6" s="115">
        <v>160</v>
      </c>
      <c r="E6" s="108">
        <f>D6*1.05*1.18</f>
        <v>198.23999999999998</v>
      </c>
      <c r="F6" s="108">
        <f>D6*1.1*1.18</f>
        <v>207.67999999999998</v>
      </c>
      <c r="G6" s="108">
        <f>D6*1.15*1.18</f>
        <v>217.11999999999998</v>
      </c>
      <c r="H6" s="108">
        <f>D6*1.2*1.18</f>
        <v>226.56</v>
      </c>
    </row>
    <row r="7" spans="2:8" ht="15.6" x14ac:dyDescent="0.3">
      <c r="B7" s="159" t="s">
        <v>133</v>
      </c>
      <c r="C7" s="159" t="s">
        <v>134</v>
      </c>
      <c r="D7" s="160" t="s">
        <v>12</v>
      </c>
      <c r="E7" s="159" t="s">
        <v>16</v>
      </c>
      <c r="F7" s="159" t="s">
        <v>135</v>
      </c>
      <c r="G7" s="159" t="s">
        <v>136</v>
      </c>
      <c r="H7" s="159" t="s">
        <v>140</v>
      </c>
    </row>
    <row r="8" spans="2:8" ht="15.6" x14ac:dyDescent="0.3">
      <c r="B8" s="116" t="s">
        <v>198</v>
      </c>
      <c r="C8" s="117" t="s">
        <v>193</v>
      </c>
      <c r="D8" s="115">
        <v>20</v>
      </c>
      <c r="E8" s="108">
        <f>D8*1.05*1.18</f>
        <v>24.779999999999998</v>
      </c>
      <c r="F8" s="108">
        <f>D8*1.1*1.18</f>
        <v>25.959999999999997</v>
      </c>
      <c r="G8" s="108">
        <f>D8*1.15*1.18</f>
        <v>27.139999999999997</v>
      </c>
      <c r="H8" s="108">
        <f>D8*1.2*1.18</f>
        <v>28.32</v>
      </c>
    </row>
    <row r="9" spans="2:8" ht="15.6" x14ac:dyDescent="0.3">
      <c r="B9" s="154" t="s">
        <v>199</v>
      </c>
      <c r="C9" s="154" t="s">
        <v>193</v>
      </c>
      <c r="D9" s="115">
        <v>22</v>
      </c>
      <c r="E9" s="108">
        <f>D9*1.05*1.18</f>
        <v>27.257999999999999</v>
      </c>
      <c r="F9" s="108">
        <f>D9*1.1*1.18</f>
        <v>28.556000000000001</v>
      </c>
      <c r="G9" s="108">
        <f>D9*1.15*1.18</f>
        <v>29.853999999999996</v>
      </c>
      <c r="H9" s="108">
        <f>D9*1.2*1.18</f>
        <v>31.151999999999997</v>
      </c>
    </row>
    <row r="10" spans="2:8" ht="15.6" x14ac:dyDescent="0.3">
      <c r="B10" s="154" t="s">
        <v>200</v>
      </c>
      <c r="C10" s="154" t="s">
        <v>193</v>
      </c>
      <c r="D10" s="115">
        <v>25</v>
      </c>
      <c r="E10" s="108">
        <f>D10*1.05*1.18</f>
        <v>30.974999999999998</v>
      </c>
      <c r="F10" s="108">
        <f>D10*1.1*1.18</f>
        <v>32.450000000000003</v>
      </c>
      <c r="G10" s="108">
        <f>D10*1.15*1.18</f>
        <v>33.924999999999997</v>
      </c>
      <c r="H10" s="108">
        <f>D10*1.2*1.18</f>
        <v>35.4</v>
      </c>
    </row>
    <row r="11" spans="2:8" ht="15.6" x14ac:dyDescent="0.3">
      <c r="B11" s="159" t="s">
        <v>133</v>
      </c>
      <c r="C11" s="159" t="s">
        <v>134</v>
      </c>
      <c r="D11" s="160" t="s">
        <v>12</v>
      </c>
      <c r="E11" s="159" t="s">
        <v>16</v>
      </c>
      <c r="F11" s="159" t="s">
        <v>135</v>
      </c>
      <c r="G11" s="159" t="s">
        <v>136</v>
      </c>
      <c r="H11" s="159" t="s">
        <v>140</v>
      </c>
    </row>
    <row r="12" spans="2:8" ht="15.6" x14ac:dyDescent="0.3">
      <c r="B12" s="155" t="s">
        <v>203</v>
      </c>
      <c r="C12" s="117" t="s">
        <v>193</v>
      </c>
      <c r="D12" s="158">
        <f>55/1.2</f>
        <v>45.833333333333336</v>
      </c>
      <c r="E12" s="108">
        <f t="shared" ref="E12:E68" si="0">D12*1.05*1.18</f>
        <v>56.787500000000009</v>
      </c>
      <c r="F12" s="108">
        <f t="shared" ref="F12:F68" si="1">D12*1.1*1.18</f>
        <v>59.491666666666667</v>
      </c>
      <c r="G12" s="108">
        <f t="shared" ref="G12:G68" si="2">D12*1.15*1.18</f>
        <v>62.195833333333326</v>
      </c>
      <c r="H12" s="108">
        <f t="shared" ref="H12:H68" si="3">D12*1.2*1.18</f>
        <v>64.899999999999991</v>
      </c>
    </row>
    <row r="13" spans="2:8" ht="15.6" x14ac:dyDescent="0.3">
      <c r="B13" s="155" t="s">
        <v>210</v>
      </c>
      <c r="C13" s="117" t="s">
        <v>193</v>
      </c>
      <c r="D13" s="158">
        <f>63/1.2</f>
        <v>52.5</v>
      </c>
      <c r="E13" s="108">
        <f t="shared" si="0"/>
        <v>65.047499999999999</v>
      </c>
      <c r="F13" s="108">
        <f t="shared" si="1"/>
        <v>68.14500000000001</v>
      </c>
      <c r="G13" s="108">
        <f t="shared" si="2"/>
        <v>71.242499999999993</v>
      </c>
      <c r="H13" s="108">
        <f t="shared" si="3"/>
        <v>74.339999999999989</v>
      </c>
    </row>
    <row r="14" spans="2:8" ht="15.6" x14ac:dyDescent="0.3">
      <c r="B14" s="155" t="s">
        <v>209</v>
      </c>
      <c r="C14" s="117" t="s">
        <v>193</v>
      </c>
      <c r="D14" s="158">
        <f>73/1.2</f>
        <v>60.833333333333336</v>
      </c>
      <c r="E14" s="108">
        <f t="shared" si="0"/>
        <v>75.372500000000002</v>
      </c>
      <c r="F14" s="108">
        <f t="shared" si="1"/>
        <v>78.961666666666673</v>
      </c>
      <c r="G14" s="108">
        <f t="shared" si="2"/>
        <v>82.55083333333333</v>
      </c>
      <c r="H14" s="108">
        <f t="shared" si="3"/>
        <v>86.14</v>
      </c>
    </row>
    <row r="15" spans="2:8" ht="15.6" x14ac:dyDescent="0.3">
      <c r="B15" s="155" t="s">
        <v>596</v>
      </c>
      <c r="C15" s="117" t="s">
        <v>193</v>
      </c>
      <c r="D15" s="158">
        <f>85/1.2</f>
        <v>70.833333333333343</v>
      </c>
      <c r="E15" s="108">
        <f t="shared" ref="E15" si="4">D15*1.05*1.18</f>
        <v>87.762500000000017</v>
      </c>
      <c r="F15" s="108">
        <f t="shared" ref="F15" si="5">D15*1.1*1.18</f>
        <v>91.941666666666677</v>
      </c>
      <c r="G15" s="108">
        <f t="shared" ref="G15" si="6">D15*1.15*1.18</f>
        <v>96.120833333333337</v>
      </c>
      <c r="H15" s="108">
        <f t="shared" ref="H15" si="7">D15*1.2*1.18</f>
        <v>100.30000000000001</v>
      </c>
    </row>
    <row r="16" spans="2:8" ht="15.6" x14ac:dyDescent="0.3">
      <c r="B16" s="155" t="s">
        <v>211</v>
      </c>
      <c r="C16" s="117" t="s">
        <v>193</v>
      </c>
      <c r="D16" s="158">
        <f>67/1.2</f>
        <v>55.833333333333336</v>
      </c>
      <c r="E16" s="108">
        <f t="shared" si="0"/>
        <v>69.177500000000009</v>
      </c>
      <c r="F16" s="108">
        <f t="shared" si="1"/>
        <v>72.471666666666664</v>
      </c>
      <c r="G16" s="108">
        <f t="shared" si="2"/>
        <v>75.765833333333319</v>
      </c>
      <c r="H16" s="108">
        <f t="shared" si="3"/>
        <v>79.06</v>
      </c>
    </row>
    <row r="17" spans="2:8" ht="15.6" x14ac:dyDescent="0.3">
      <c r="B17" s="155" t="s">
        <v>212</v>
      </c>
      <c r="C17" s="117" t="s">
        <v>193</v>
      </c>
      <c r="D17" s="158">
        <f>74/1.2</f>
        <v>61.666666666666671</v>
      </c>
      <c r="E17" s="108">
        <f t="shared" si="0"/>
        <v>76.405000000000015</v>
      </c>
      <c r="F17" s="108">
        <f t="shared" si="1"/>
        <v>80.043333333333337</v>
      </c>
      <c r="G17" s="108">
        <f t="shared" si="2"/>
        <v>83.681666666666672</v>
      </c>
      <c r="H17" s="108">
        <f t="shared" si="3"/>
        <v>87.32</v>
      </c>
    </row>
    <row r="18" spans="2:8" ht="15.6" x14ac:dyDescent="0.3">
      <c r="B18" s="155" t="s">
        <v>213</v>
      </c>
      <c r="C18" s="117" t="s">
        <v>193</v>
      </c>
      <c r="D18" s="158">
        <f>93/1.05</f>
        <v>88.571428571428569</v>
      </c>
      <c r="E18" s="108">
        <f t="shared" si="0"/>
        <v>109.74</v>
      </c>
      <c r="F18" s="108">
        <f t="shared" si="1"/>
        <v>114.96571428571428</v>
      </c>
      <c r="G18" s="108">
        <f t="shared" si="2"/>
        <v>120.19142857142856</v>
      </c>
      <c r="H18" s="108">
        <f t="shared" si="3"/>
        <v>125.41714285714284</v>
      </c>
    </row>
    <row r="19" spans="2:8" ht="15.6" x14ac:dyDescent="0.3">
      <c r="B19" s="155" t="s">
        <v>214</v>
      </c>
      <c r="C19" s="117" t="s">
        <v>193</v>
      </c>
      <c r="D19" s="158">
        <f>110/1.2</f>
        <v>91.666666666666671</v>
      </c>
      <c r="E19" s="108">
        <f t="shared" si="0"/>
        <v>113.57500000000002</v>
      </c>
      <c r="F19" s="108">
        <f t="shared" si="1"/>
        <v>118.98333333333333</v>
      </c>
      <c r="G19" s="108">
        <f t="shared" si="2"/>
        <v>124.39166666666665</v>
      </c>
      <c r="H19" s="108">
        <f t="shared" si="3"/>
        <v>129.79999999999998</v>
      </c>
    </row>
    <row r="20" spans="2:8" ht="15.6" x14ac:dyDescent="0.3">
      <c r="B20" s="155" t="s">
        <v>215</v>
      </c>
      <c r="C20" s="117" t="s">
        <v>193</v>
      </c>
      <c r="D20" s="158">
        <f>94/1.2</f>
        <v>78.333333333333343</v>
      </c>
      <c r="E20" s="108">
        <f t="shared" si="0"/>
        <v>97.055000000000007</v>
      </c>
      <c r="F20" s="108">
        <f t="shared" si="1"/>
        <v>101.67666666666669</v>
      </c>
      <c r="G20" s="108">
        <f t="shared" si="2"/>
        <v>106.29833333333333</v>
      </c>
      <c r="H20" s="108">
        <f t="shared" si="3"/>
        <v>110.92000000000002</v>
      </c>
    </row>
    <row r="21" spans="2:8" ht="15.6" x14ac:dyDescent="0.3">
      <c r="B21" s="155" t="s">
        <v>216</v>
      </c>
      <c r="C21" s="117" t="s">
        <v>193</v>
      </c>
      <c r="D21" s="158">
        <f>110/1.2</f>
        <v>91.666666666666671</v>
      </c>
      <c r="E21" s="108">
        <f t="shared" si="0"/>
        <v>113.57500000000002</v>
      </c>
      <c r="F21" s="108">
        <f t="shared" si="1"/>
        <v>118.98333333333333</v>
      </c>
      <c r="G21" s="108">
        <f t="shared" si="2"/>
        <v>124.39166666666665</v>
      </c>
      <c r="H21" s="108">
        <f t="shared" si="3"/>
        <v>129.79999999999998</v>
      </c>
    </row>
    <row r="22" spans="2:8" ht="15.6" x14ac:dyDescent="0.3">
      <c r="B22" s="155" t="s">
        <v>217</v>
      </c>
      <c r="C22" s="117" t="s">
        <v>193</v>
      </c>
      <c r="D22" s="158">
        <f>145/1.2</f>
        <v>120.83333333333334</v>
      </c>
      <c r="E22" s="108">
        <f t="shared" si="0"/>
        <v>149.71250000000001</v>
      </c>
      <c r="F22" s="108">
        <f t="shared" si="1"/>
        <v>156.84166666666667</v>
      </c>
      <c r="G22" s="108">
        <f t="shared" si="2"/>
        <v>163.97083333333333</v>
      </c>
      <c r="H22" s="108">
        <f t="shared" si="3"/>
        <v>171.1</v>
      </c>
    </row>
    <row r="23" spans="2:8" ht="15.6" x14ac:dyDescent="0.3">
      <c r="B23" s="155" t="s">
        <v>218</v>
      </c>
      <c r="C23" s="117" t="s">
        <v>193</v>
      </c>
      <c r="D23" s="158">
        <f>173/1.2</f>
        <v>144.16666666666669</v>
      </c>
      <c r="E23" s="108">
        <f t="shared" si="0"/>
        <v>178.62250000000003</v>
      </c>
      <c r="F23" s="108">
        <f t="shared" si="1"/>
        <v>187.12833333333336</v>
      </c>
      <c r="G23" s="108">
        <f t="shared" si="2"/>
        <v>195.63416666666669</v>
      </c>
      <c r="H23" s="108">
        <f t="shared" si="3"/>
        <v>204.14000000000001</v>
      </c>
    </row>
    <row r="24" spans="2:8" ht="15.6" x14ac:dyDescent="0.3">
      <c r="B24" s="155" t="s">
        <v>219</v>
      </c>
      <c r="C24" s="117" t="s">
        <v>193</v>
      </c>
      <c r="D24" s="158">
        <f>146/1.2</f>
        <v>121.66666666666667</v>
      </c>
      <c r="E24" s="108">
        <f t="shared" si="0"/>
        <v>150.745</v>
      </c>
      <c r="F24" s="108">
        <f t="shared" si="1"/>
        <v>157.92333333333335</v>
      </c>
      <c r="G24" s="108">
        <f t="shared" si="2"/>
        <v>165.10166666666666</v>
      </c>
      <c r="H24" s="108">
        <f t="shared" si="3"/>
        <v>172.28</v>
      </c>
    </row>
    <row r="25" spans="2:8" ht="15.6" x14ac:dyDescent="0.3">
      <c r="B25" s="155" t="s">
        <v>220</v>
      </c>
      <c r="C25" s="117" t="s">
        <v>193</v>
      </c>
      <c r="D25" s="158">
        <f>168/1.2</f>
        <v>140</v>
      </c>
      <c r="E25" s="108">
        <f t="shared" si="0"/>
        <v>173.45999999999998</v>
      </c>
      <c r="F25" s="108">
        <f t="shared" si="1"/>
        <v>181.72</v>
      </c>
      <c r="G25" s="108">
        <f t="shared" si="2"/>
        <v>189.98</v>
      </c>
      <c r="H25" s="108">
        <f t="shared" si="3"/>
        <v>198.23999999999998</v>
      </c>
    </row>
    <row r="26" spans="2:8" ht="15.6" x14ac:dyDescent="0.3">
      <c r="B26" s="155" t="s">
        <v>221</v>
      </c>
      <c r="C26" s="117" t="s">
        <v>193</v>
      </c>
      <c r="D26" s="158">
        <f>223/1.2</f>
        <v>185.83333333333334</v>
      </c>
      <c r="E26" s="108">
        <f t="shared" si="0"/>
        <v>230.24750000000003</v>
      </c>
      <c r="F26" s="108">
        <f t="shared" si="1"/>
        <v>241.21166666666667</v>
      </c>
      <c r="G26" s="108">
        <f t="shared" si="2"/>
        <v>252.17583333333329</v>
      </c>
      <c r="H26" s="108">
        <f t="shared" si="3"/>
        <v>263.14</v>
      </c>
    </row>
    <row r="27" spans="2:8" ht="15.6" x14ac:dyDescent="0.3">
      <c r="B27" s="155" t="s">
        <v>222</v>
      </c>
      <c r="C27" s="117" t="s">
        <v>193</v>
      </c>
      <c r="D27" s="158">
        <f>263/1.2</f>
        <v>219.16666666666669</v>
      </c>
      <c r="E27" s="108">
        <f t="shared" si="0"/>
        <v>271.54750000000001</v>
      </c>
      <c r="F27" s="108">
        <f t="shared" si="1"/>
        <v>284.47833333333335</v>
      </c>
      <c r="G27" s="108">
        <f t="shared" si="2"/>
        <v>297.40916666666664</v>
      </c>
      <c r="H27" s="108">
        <f t="shared" si="3"/>
        <v>310.33999999999997</v>
      </c>
    </row>
    <row r="28" spans="2:8" ht="15.6" x14ac:dyDescent="0.3">
      <c r="B28" s="155" t="s">
        <v>223</v>
      </c>
      <c r="C28" s="117" t="s">
        <v>193</v>
      </c>
      <c r="D28" s="158">
        <f>213/1.2</f>
        <v>177.5</v>
      </c>
      <c r="E28" s="108">
        <f t="shared" si="0"/>
        <v>219.92249999999999</v>
      </c>
      <c r="F28" s="108">
        <f t="shared" si="1"/>
        <v>230.39500000000001</v>
      </c>
      <c r="G28" s="108">
        <f t="shared" si="2"/>
        <v>240.86749999999995</v>
      </c>
      <c r="H28" s="108">
        <f t="shared" si="3"/>
        <v>251.33999999999997</v>
      </c>
    </row>
    <row r="29" spans="2:8" ht="15.6" x14ac:dyDescent="0.3">
      <c r="B29" s="155" t="s">
        <v>224</v>
      </c>
      <c r="C29" s="117" t="s">
        <v>193</v>
      </c>
      <c r="D29" s="158">
        <f>245/1.2</f>
        <v>204.16666666666669</v>
      </c>
      <c r="E29" s="108">
        <f t="shared" si="0"/>
        <v>252.96250000000003</v>
      </c>
      <c r="F29" s="108">
        <f t="shared" si="1"/>
        <v>265.00833333333338</v>
      </c>
      <c r="G29" s="108">
        <f t="shared" si="2"/>
        <v>277.05416666666662</v>
      </c>
      <c r="H29" s="108">
        <f t="shared" si="3"/>
        <v>289.09999999999997</v>
      </c>
    </row>
    <row r="30" spans="2:8" ht="15.6" x14ac:dyDescent="0.3">
      <c r="B30" s="155" t="s">
        <v>225</v>
      </c>
      <c r="C30" s="117" t="s">
        <v>193</v>
      </c>
      <c r="D30" s="158">
        <f>345/1.2</f>
        <v>287.5</v>
      </c>
      <c r="E30" s="108">
        <f t="shared" si="0"/>
        <v>356.21249999999998</v>
      </c>
      <c r="F30" s="108">
        <f t="shared" si="1"/>
        <v>373.17499999999995</v>
      </c>
      <c r="G30" s="108">
        <f t="shared" si="2"/>
        <v>390.13749999999999</v>
      </c>
      <c r="H30" s="108">
        <f t="shared" si="3"/>
        <v>407.09999999999997</v>
      </c>
    </row>
    <row r="31" spans="2:8" ht="15.6" x14ac:dyDescent="0.3">
      <c r="B31" s="155"/>
      <c r="C31" s="117"/>
      <c r="D31" s="158"/>
      <c r="E31" s="108"/>
      <c r="F31" s="108"/>
      <c r="G31" s="108"/>
      <c r="H31" s="108"/>
    </row>
    <row r="32" spans="2:8" ht="15.6" x14ac:dyDescent="0.3">
      <c r="B32" s="155"/>
      <c r="C32" s="117"/>
      <c r="D32" s="158"/>
      <c r="E32" s="108"/>
      <c r="F32" s="108"/>
      <c r="G32" s="108"/>
      <c r="H32" s="108"/>
    </row>
    <row r="33" spans="2:8" ht="15.6" x14ac:dyDescent="0.3">
      <c r="B33" s="155"/>
      <c r="C33" s="117"/>
      <c r="D33" s="158"/>
      <c r="E33" s="108"/>
      <c r="F33" s="108"/>
      <c r="G33" s="108"/>
      <c r="H33" s="108"/>
    </row>
    <row r="34" spans="2:8" ht="15.6" x14ac:dyDescent="0.3">
      <c r="B34" s="159" t="s">
        <v>133</v>
      </c>
      <c r="C34" s="159" t="s">
        <v>134</v>
      </c>
      <c r="D34" s="160" t="s">
        <v>12</v>
      </c>
      <c r="E34" s="159" t="s">
        <v>16</v>
      </c>
      <c r="F34" s="159" t="s">
        <v>135</v>
      </c>
      <c r="G34" s="159" t="s">
        <v>136</v>
      </c>
      <c r="H34" s="159" t="s">
        <v>140</v>
      </c>
    </row>
    <row r="35" spans="2:8" ht="31.2" x14ac:dyDescent="0.3">
      <c r="B35" s="155" t="s">
        <v>228</v>
      </c>
      <c r="C35" s="117" t="s">
        <v>226</v>
      </c>
      <c r="D35" s="158">
        <f>282/1.35</f>
        <v>208.88888888888889</v>
      </c>
      <c r="E35" s="108">
        <f t="shared" si="0"/>
        <v>258.81333333333333</v>
      </c>
      <c r="F35" s="108">
        <f t="shared" si="1"/>
        <v>271.13777777777779</v>
      </c>
      <c r="G35" s="108">
        <f t="shared" si="2"/>
        <v>283.46222222222218</v>
      </c>
      <c r="H35" s="108">
        <f t="shared" si="3"/>
        <v>295.78666666666663</v>
      </c>
    </row>
    <row r="36" spans="2:8" ht="31.2" x14ac:dyDescent="0.3">
      <c r="B36" s="155" t="s">
        <v>229</v>
      </c>
      <c r="C36" s="117" t="s">
        <v>226</v>
      </c>
      <c r="D36" s="158">
        <f>320/1.35</f>
        <v>237.03703703703701</v>
      </c>
      <c r="E36" s="108">
        <f t="shared" si="0"/>
        <v>293.68888888888881</v>
      </c>
      <c r="F36" s="108">
        <f t="shared" si="1"/>
        <v>307.67407407407404</v>
      </c>
      <c r="G36" s="108">
        <f t="shared" si="2"/>
        <v>321.65925925925922</v>
      </c>
      <c r="H36" s="108">
        <f t="shared" si="3"/>
        <v>335.64444444444439</v>
      </c>
    </row>
    <row r="37" spans="2:8" ht="15.6" x14ac:dyDescent="0.3">
      <c r="B37" s="155" t="s">
        <v>230</v>
      </c>
      <c r="C37" s="117" t="s">
        <v>226</v>
      </c>
      <c r="D37" s="158">
        <f>338/1.35</f>
        <v>250.37037037037035</v>
      </c>
      <c r="E37" s="108">
        <f t="shared" si="0"/>
        <v>310.20888888888885</v>
      </c>
      <c r="F37" s="108">
        <f t="shared" si="1"/>
        <v>324.98074074074071</v>
      </c>
      <c r="G37" s="108">
        <f t="shared" si="2"/>
        <v>339.75259259259252</v>
      </c>
      <c r="H37" s="108">
        <f t="shared" si="3"/>
        <v>354.52444444444438</v>
      </c>
    </row>
    <row r="38" spans="2:8" ht="31.2" x14ac:dyDescent="0.3">
      <c r="B38" s="155" t="s">
        <v>231</v>
      </c>
      <c r="C38" s="117" t="s">
        <v>226</v>
      </c>
      <c r="D38" s="158">
        <f>452/1.35</f>
        <v>334.81481481481478</v>
      </c>
      <c r="E38" s="108">
        <f t="shared" si="0"/>
        <v>414.83555555555552</v>
      </c>
      <c r="F38" s="108">
        <f t="shared" si="1"/>
        <v>434.5896296296296</v>
      </c>
      <c r="G38" s="108">
        <f t="shared" si="2"/>
        <v>454.34370370370357</v>
      </c>
      <c r="H38" s="108">
        <f t="shared" si="3"/>
        <v>474.09777777777765</v>
      </c>
    </row>
    <row r="39" spans="2:8" ht="15.6" x14ac:dyDescent="0.3">
      <c r="B39" s="155" t="s">
        <v>232</v>
      </c>
      <c r="C39" s="117" t="s">
        <v>226</v>
      </c>
      <c r="D39" s="158">
        <f>452/1.35</f>
        <v>334.81481481481478</v>
      </c>
      <c r="E39" s="108">
        <f t="shared" si="0"/>
        <v>414.83555555555552</v>
      </c>
      <c r="F39" s="108">
        <f t="shared" si="1"/>
        <v>434.5896296296296</v>
      </c>
      <c r="G39" s="108">
        <f t="shared" si="2"/>
        <v>454.34370370370357</v>
      </c>
      <c r="H39" s="108">
        <f t="shared" si="3"/>
        <v>474.09777777777765</v>
      </c>
    </row>
    <row r="40" spans="2:8" ht="31.2" x14ac:dyDescent="0.3">
      <c r="B40" s="155" t="s">
        <v>233</v>
      </c>
      <c r="C40" s="117" t="s">
        <v>226</v>
      </c>
      <c r="D40" s="158">
        <f>502/1.35</f>
        <v>371.85185185185185</v>
      </c>
      <c r="E40" s="108">
        <f t="shared" si="0"/>
        <v>460.72444444444443</v>
      </c>
      <c r="F40" s="108">
        <f t="shared" si="1"/>
        <v>482.66370370370373</v>
      </c>
      <c r="G40" s="108">
        <f t="shared" si="2"/>
        <v>504.60296296296292</v>
      </c>
      <c r="H40" s="108">
        <f t="shared" si="3"/>
        <v>526.54222222222222</v>
      </c>
    </row>
    <row r="41" spans="2:8" ht="15.6" x14ac:dyDescent="0.3">
      <c r="B41" s="155" t="s">
        <v>234</v>
      </c>
      <c r="C41" s="117" t="s">
        <v>226</v>
      </c>
      <c r="D41" s="158">
        <f>633/1.35</f>
        <v>468.88888888888886</v>
      </c>
      <c r="E41" s="108">
        <f t="shared" si="0"/>
        <v>580.95333333333326</v>
      </c>
      <c r="F41" s="108">
        <f t="shared" si="1"/>
        <v>608.61777777777786</v>
      </c>
      <c r="G41" s="108">
        <f t="shared" si="2"/>
        <v>636.28222222222212</v>
      </c>
      <c r="H41" s="108">
        <f t="shared" si="3"/>
        <v>663.9466666666666</v>
      </c>
    </row>
    <row r="42" spans="2:8" ht="31.2" x14ac:dyDescent="0.3">
      <c r="B42" s="155" t="s">
        <v>235</v>
      </c>
      <c r="C42" s="117" t="s">
        <v>226</v>
      </c>
      <c r="D42" s="158">
        <f>737/1.35</f>
        <v>545.92592592592587</v>
      </c>
      <c r="E42" s="108">
        <f t="shared" si="0"/>
        <v>676.40222222222212</v>
      </c>
      <c r="F42" s="108">
        <f t="shared" si="1"/>
        <v>708.61185185185172</v>
      </c>
      <c r="G42" s="108">
        <f t="shared" si="2"/>
        <v>740.82148148148121</v>
      </c>
      <c r="H42" s="108">
        <f t="shared" si="3"/>
        <v>773.03111111111093</v>
      </c>
    </row>
    <row r="43" spans="2:8" ht="15.6" x14ac:dyDescent="0.3">
      <c r="B43" s="155" t="s">
        <v>236</v>
      </c>
      <c r="C43" s="117" t="s">
        <v>226</v>
      </c>
      <c r="D43" s="158">
        <f>488/1.35</f>
        <v>361.48148148148147</v>
      </c>
      <c r="E43" s="108">
        <f t="shared" si="0"/>
        <v>447.87555555555554</v>
      </c>
      <c r="F43" s="108">
        <f t="shared" si="1"/>
        <v>469.20296296296294</v>
      </c>
      <c r="G43" s="108">
        <f t="shared" si="2"/>
        <v>490.53037037037029</v>
      </c>
      <c r="H43" s="108">
        <f t="shared" si="3"/>
        <v>511.85777777777776</v>
      </c>
    </row>
    <row r="44" spans="2:8" ht="31.2" x14ac:dyDescent="0.3">
      <c r="B44" s="155" t="s">
        <v>237</v>
      </c>
      <c r="C44" s="117" t="s">
        <v>226</v>
      </c>
      <c r="D44" s="158">
        <f>491/1.35</f>
        <v>363.7037037037037</v>
      </c>
      <c r="E44" s="108">
        <f t="shared" si="0"/>
        <v>450.62888888888892</v>
      </c>
      <c r="F44" s="108">
        <f t="shared" si="1"/>
        <v>472.0874074074074</v>
      </c>
      <c r="G44" s="108">
        <f t="shared" si="2"/>
        <v>493.54592592592587</v>
      </c>
      <c r="H44" s="108">
        <f t="shared" si="3"/>
        <v>515.0044444444444</v>
      </c>
    </row>
    <row r="45" spans="2:8" ht="15.6" x14ac:dyDescent="0.3">
      <c r="B45" s="155" t="s">
        <v>238</v>
      </c>
      <c r="C45" s="117" t="s">
        <v>226</v>
      </c>
      <c r="D45" s="158">
        <f>564/1.35</f>
        <v>417.77777777777777</v>
      </c>
      <c r="E45" s="108">
        <f t="shared" si="0"/>
        <v>517.62666666666667</v>
      </c>
      <c r="F45" s="108">
        <f t="shared" si="1"/>
        <v>542.27555555555557</v>
      </c>
      <c r="G45" s="108">
        <f t="shared" si="2"/>
        <v>566.92444444444436</v>
      </c>
      <c r="H45" s="108">
        <f t="shared" si="3"/>
        <v>591.57333333333327</v>
      </c>
    </row>
    <row r="46" spans="2:8" ht="31.2" x14ac:dyDescent="0.3">
      <c r="B46" s="155" t="s">
        <v>239</v>
      </c>
      <c r="C46" s="117" t="s">
        <v>226</v>
      </c>
      <c r="D46" s="158">
        <f>605/1.35</f>
        <v>448.1481481481481</v>
      </c>
      <c r="E46" s="108">
        <f t="shared" si="0"/>
        <v>555.25555555555547</v>
      </c>
      <c r="F46" s="108">
        <f t="shared" si="1"/>
        <v>581.69629629629628</v>
      </c>
      <c r="G46" s="108">
        <f t="shared" si="2"/>
        <v>608.13703703703698</v>
      </c>
      <c r="H46" s="108">
        <f t="shared" si="3"/>
        <v>634.57777777777767</v>
      </c>
    </row>
    <row r="47" spans="2:8" ht="15.6" x14ac:dyDescent="0.3">
      <c r="B47" s="155" t="s">
        <v>240</v>
      </c>
      <c r="C47" s="117" t="s">
        <v>226</v>
      </c>
      <c r="D47" s="158">
        <f>704/1.35</f>
        <v>521.48148148148141</v>
      </c>
      <c r="E47" s="108">
        <f t="shared" si="0"/>
        <v>646.11555555555549</v>
      </c>
      <c r="F47" s="108">
        <f t="shared" si="1"/>
        <v>676.88296296296289</v>
      </c>
      <c r="G47" s="108">
        <f t="shared" si="2"/>
        <v>707.65037037037018</v>
      </c>
      <c r="H47" s="108">
        <f t="shared" si="3"/>
        <v>738.4177777777777</v>
      </c>
    </row>
    <row r="48" spans="2:8" ht="31.2" x14ac:dyDescent="0.3">
      <c r="B48" s="155" t="s">
        <v>241</v>
      </c>
      <c r="C48" s="117" t="s">
        <v>226</v>
      </c>
      <c r="D48" s="158">
        <f>762/1.35</f>
        <v>564.44444444444446</v>
      </c>
      <c r="E48" s="108">
        <f t="shared" si="0"/>
        <v>699.34666666666669</v>
      </c>
      <c r="F48" s="108">
        <f t="shared" si="1"/>
        <v>732.64888888888891</v>
      </c>
      <c r="G48" s="108">
        <f t="shared" si="2"/>
        <v>765.951111111111</v>
      </c>
      <c r="H48" s="108">
        <f t="shared" si="3"/>
        <v>799.25333333333333</v>
      </c>
    </row>
    <row r="49" spans="2:8" ht="15.6" x14ac:dyDescent="0.3">
      <c r="B49" s="155" t="s">
        <v>242</v>
      </c>
      <c r="C49" s="117" t="s">
        <v>226</v>
      </c>
      <c r="D49" s="158">
        <f>789/1.35</f>
        <v>584.44444444444446</v>
      </c>
      <c r="E49" s="108">
        <f t="shared" si="0"/>
        <v>724.12666666666667</v>
      </c>
      <c r="F49" s="108">
        <f t="shared" si="1"/>
        <v>758.60888888888883</v>
      </c>
      <c r="G49" s="108">
        <f t="shared" si="2"/>
        <v>793.09111111111099</v>
      </c>
      <c r="H49" s="108">
        <f t="shared" si="3"/>
        <v>827.57333333333338</v>
      </c>
    </row>
    <row r="50" spans="2:8" ht="31.2" x14ac:dyDescent="0.3">
      <c r="B50" s="155" t="s">
        <v>243</v>
      </c>
      <c r="C50" s="117" t="s">
        <v>226</v>
      </c>
      <c r="D50" s="158">
        <f>913/1.35</f>
        <v>676.2962962962963</v>
      </c>
      <c r="E50" s="108">
        <f t="shared" si="0"/>
        <v>837.93111111111114</v>
      </c>
      <c r="F50" s="108">
        <f t="shared" si="1"/>
        <v>877.83259259259262</v>
      </c>
      <c r="G50" s="108">
        <f t="shared" si="2"/>
        <v>917.73407407407387</v>
      </c>
      <c r="H50" s="108">
        <f t="shared" si="3"/>
        <v>957.63555555555547</v>
      </c>
    </row>
    <row r="51" spans="2:8" ht="31.2" x14ac:dyDescent="0.3">
      <c r="B51" s="155" t="s">
        <v>244</v>
      </c>
      <c r="C51" s="117" t="s">
        <v>226</v>
      </c>
      <c r="D51" s="158">
        <f>1165/1.35</f>
        <v>862.96296296296293</v>
      </c>
      <c r="E51" s="108">
        <f t="shared" si="0"/>
        <v>1069.211111111111</v>
      </c>
      <c r="F51" s="108">
        <f t="shared" si="1"/>
        <v>1120.1259259259259</v>
      </c>
      <c r="G51" s="108">
        <f t="shared" si="2"/>
        <v>1171.0407407407406</v>
      </c>
      <c r="H51" s="108">
        <f t="shared" si="3"/>
        <v>1221.9555555555553</v>
      </c>
    </row>
    <row r="52" spans="2:8" ht="15.6" x14ac:dyDescent="0.3">
      <c r="B52" s="155" t="s">
        <v>245</v>
      </c>
      <c r="C52" s="117" t="s">
        <v>226</v>
      </c>
      <c r="D52" s="158">
        <f>714/1.35</f>
        <v>528.8888888888888</v>
      </c>
      <c r="E52" s="108">
        <f t="shared" si="0"/>
        <v>655.29333333333318</v>
      </c>
      <c r="F52" s="108">
        <f t="shared" si="1"/>
        <v>686.49777777777763</v>
      </c>
      <c r="G52" s="108">
        <f t="shared" si="2"/>
        <v>717.70222222222196</v>
      </c>
      <c r="H52" s="108">
        <f t="shared" si="3"/>
        <v>748.90666666666641</v>
      </c>
    </row>
    <row r="53" spans="2:8" ht="31.2" x14ac:dyDescent="0.3">
      <c r="B53" s="155" t="s">
        <v>246</v>
      </c>
      <c r="C53" s="117" t="s">
        <v>226</v>
      </c>
      <c r="D53" s="158">
        <f>779/1.35</f>
        <v>577.03703703703695</v>
      </c>
      <c r="E53" s="108">
        <f t="shared" si="0"/>
        <v>714.94888888888875</v>
      </c>
      <c r="F53" s="108">
        <f t="shared" si="1"/>
        <v>748.99407407407398</v>
      </c>
      <c r="G53" s="108">
        <f t="shared" si="2"/>
        <v>783.0392592592591</v>
      </c>
      <c r="H53" s="108">
        <f t="shared" si="3"/>
        <v>817.08444444444433</v>
      </c>
    </row>
    <row r="54" spans="2:8" ht="15.6" x14ac:dyDescent="0.3">
      <c r="B54" s="155" t="s">
        <v>247</v>
      </c>
      <c r="C54" s="117" t="s">
        <v>226</v>
      </c>
      <c r="D54" s="158">
        <f>717/1.35</f>
        <v>531.11111111111109</v>
      </c>
      <c r="E54" s="108">
        <f t="shared" si="0"/>
        <v>658.04666666666662</v>
      </c>
      <c r="F54" s="108">
        <f t="shared" si="1"/>
        <v>689.38222222222225</v>
      </c>
      <c r="G54" s="108">
        <f t="shared" si="2"/>
        <v>720.71777777777766</v>
      </c>
      <c r="H54" s="108">
        <f t="shared" si="3"/>
        <v>752.05333333333317</v>
      </c>
    </row>
    <row r="55" spans="2:8" ht="31.2" x14ac:dyDescent="0.3">
      <c r="B55" s="155" t="s">
        <v>248</v>
      </c>
      <c r="C55" s="117" t="s">
        <v>226</v>
      </c>
      <c r="D55" s="158">
        <f>828/1.35</f>
        <v>613.33333333333326</v>
      </c>
      <c r="E55" s="108">
        <f t="shared" si="0"/>
        <v>759.92</v>
      </c>
      <c r="F55" s="108">
        <f t="shared" si="1"/>
        <v>796.10666666666657</v>
      </c>
      <c r="G55" s="108">
        <f t="shared" si="2"/>
        <v>832.29333333333307</v>
      </c>
      <c r="H55" s="108">
        <f t="shared" si="3"/>
        <v>868.47999999999979</v>
      </c>
    </row>
    <row r="56" spans="2:8" ht="15.6" x14ac:dyDescent="0.3">
      <c r="B56" s="155" t="s">
        <v>249</v>
      </c>
      <c r="C56" s="117" t="s">
        <v>226</v>
      </c>
      <c r="D56" s="158">
        <f>897/1.35</f>
        <v>664.44444444444446</v>
      </c>
      <c r="E56" s="108">
        <f t="shared" si="0"/>
        <v>823.24666666666667</v>
      </c>
      <c r="F56" s="108">
        <f t="shared" si="1"/>
        <v>862.44888888888886</v>
      </c>
      <c r="G56" s="108">
        <f t="shared" si="2"/>
        <v>901.65111111111105</v>
      </c>
      <c r="H56" s="108">
        <f t="shared" si="3"/>
        <v>940.85333333333335</v>
      </c>
    </row>
    <row r="57" spans="2:8" ht="31.2" x14ac:dyDescent="0.3">
      <c r="B57" s="155" t="s">
        <v>251</v>
      </c>
      <c r="C57" s="117" t="s">
        <v>226</v>
      </c>
      <c r="D57" s="158">
        <f>972/1.35</f>
        <v>720</v>
      </c>
      <c r="E57" s="108">
        <f t="shared" si="0"/>
        <v>892.07999999999993</v>
      </c>
      <c r="F57" s="108">
        <f t="shared" si="1"/>
        <v>934.56000000000006</v>
      </c>
      <c r="G57" s="108">
        <f t="shared" si="2"/>
        <v>977.03999999999985</v>
      </c>
      <c r="H57" s="108">
        <f t="shared" si="3"/>
        <v>1019.52</v>
      </c>
    </row>
    <row r="58" spans="2:8" ht="31.2" x14ac:dyDescent="0.3">
      <c r="B58" s="155" t="s">
        <v>250</v>
      </c>
      <c r="C58" s="117" t="s">
        <v>226</v>
      </c>
      <c r="D58" s="158">
        <f>1162/1.35</f>
        <v>860.74074074074065</v>
      </c>
      <c r="E58" s="108">
        <f t="shared" si="0"/>
        <v>1066.4577777777777</v>
      </c>
      <c r="F58" s="108">
        <f t="shared" si="1"/>
        <v>1117.2414814814813</v>
      </c>
      <c r="G58" s="108">
        <f t="shared" si="2"/>
        <v>1168.0251851851849</v>
      </c>
      <c r="H58" s="108">
        <f t="shared" si="3"/>
        <v>1218.8088888888885</v>
      </c>
    </row>
    <row r="59" spans="2:8" ht="31.2" x14ac:dyDescent="0.3">
      <c r="B59" s="155" t="s">
        <v>252</v>
      </c>
      <c r="C59" s="117" t="s">
        <v>226</v>
      </c>
      <c r="D59" s="158">
        <f>1289/1.35</f>
        <v>954.81481481481478</v>
      </c>
      <c r="E59" s="108">
        <f t="shared" si="0"/>
        <v>1183.0155555555555</v>
      </c>
      <c r="F59" s="108">
        <f t="shared" si="1"/>
        <v>1239.3496296296296</v>
      </c>
      <c r="G59" s="108">
        <f t="shared" si="2"/>
        <v>1295.6837037037035</v>
      </c>
      <c r="H59" s="108">
        <f t="shared" si="3"/>
        <v>1352.0177777777776</v>
      </c>
    </row>
    <row r="60" spans="2:8" ht="31.2" x14ac:dyDescent="0.3">
      <c r="B60" s="155" t="s">
        <v>253</v>
      </c>
      <c r="C60" s="117" t="s">
        <v>226</v>
      </c>
      <c r="D60" s="158">
        <f>1019/1.35</f>
        <v>754.81481481481478</v>
      </c>
      <c r="E60" s="108">
        <f t="shared" si="0"/>
        <v>935.21555555555551</v>
      </c>
      <c r="F60" s="108">
        <f t="shared" si="1"/>
        <v>979.74962962962957</v>
      </c>
      <c r="G60" s="108">
        <f t="shared" si="2"/>
        <v>1024.2837037037036</v>
      </c>
      <c r="H60" s="108">
        <f t="shared" si="3"/>
        <v>1068.8177777777776</v>
      </c>
    </row>
    <row r="61" spans="2:8" ht="31.2" x14ac:dyDescent="0.3">
      <c r="B61" s="155" t="s">
        <v>254</v>
      </c>
      <c r="C61" s="117" t="s">
        <v>226</v>
      </c>
      <c r="D61" s="158">
        <f>1078/1.35</f>
        <v>798.51851851851848</v>
      </c>
      <c r="E61" s="108">
        <f t="shared" si="0"/>
        <v>989.36444444444442</v>
      </c>
      <c r="F61" s="108">
        <f t="shared" si="1"/>
        <v>1036.477037037037</v>
      </c>
      <c r="G61" s="108">
        <f t="shared" si="2"/>
        <v>1083.5896296296294</v>
      </c>
      <c r="H61" s="108">
        <f t="shared" si="3"/>
        <v>1130.7022222222222</v>
      </c>
    </row>
    <row r="62" spans="2:8" ht="31.2" x14ac:dyDescent="0.3">
      <c r="B62" s="155" t="s">
        <v>255</v>
      </c>
      <c r="C62" s="117" t="s">
        <v>226</v>
      </c>
      <c r="D62" s="158">
        <f>1447/1.35</f>
        <v>1071.8518518518517</v>
      </c>
      <c r="E62" s="108">
        <f t="shared" si="0"/>
        <v>1328.0244444444443</v>
      </c>
      <c r="F62" s="108">
        <f t="shared" si="1"/>
        <v>1391.2637037037036</v>
      </c>
      <c r="G62" s="108">
        <f t="shared" si="2"/>
        <v>1454.5029629629626</v>
      </c>
      <c r="H62" s="108">
        <f t="shared" si="3"/>
        <v>1517.7422222222219</v>
      </c>
    </row>
    <row r="63" spans="2:8" ht="31.2" x14ac:dyDescent="0.3">
      <c r="B63" s="155" t="s">
        <v>256</v>
      </c>
      <c r="C63" s="117" t="s">
        <v>226</v>
      </c>
      <c r="D63" s="158">
        <f>1541/1.35</f>
        <v>1141.4814814814813</v>
      </c>
      <c r="E63" s="108">
        <f t="shared" si="0"/>
        <v>1414.2955555555554</v>
      </c>
      <c r="F63" s="108">
        <f t="shared" si="1"/>
        <v>1481.6429629629629</v>
      </c>
      <c r="G63" s="108">
        <f t="shared" si="2"/>
        <v>1548.9903703703701</v>
      </c>
      <c r="H63" s="108">
        <f t="shared" si="3"/>
        <v>1616.3377777777775</v>
      </c>
    </row>
    <row r="64" spans="2:8" ht="31.2" x14ac:dyDescent="0.3">
      <c r="B64" s="155" t="s">
        <v>257</v>
      </c>
      <c r="C64" s="117" t="s">
        <v>226</v>
      </c>
      <c r="D64" s="158">
        <f>1915/1.35</f>
        <v>1418.5185185185185</v>
      </c>
      <c r="E64" s="108">
        <f t="shared" si="0"/>
        <v>1757.5444444444445</v>
      </c>
      <c r="F64" s="108">
        <f t="shared" si="1"/>
        <v>1841.237037037037</v>
      </c>
      <c r="G64" s="108">
        <f t="shared" si="2"/>
        <v>1924.9296296296293</v>
      </c>
      <c r="H64" s="108">
        <f t="shared" si="3"/>
        <v>2008.622222222222</v>
      </c>
    </row>
    <row r="65" spans="2:8" ht="15.6" x14ac:dyDescent="0.3">
      <c r="B65" s="155" t="s">
        <v>227</v>
      </c>
      <c r="C65" s="117" t="s">
        <v>226</v>
      </c>
      <c r="D65" s="158">
        <f>2420/1.35</f>
        <v>1792.5925925925924</v>
      </c>
      <c r="E65" s="108">
        <f t="shared" si="0"/>
        <v>2221.0222222222219</v>
      </c>
      <c r="F65" s="108">
        <f t="shared" si="1"/>
        <v>2326.7851851851851</v>
      </c>
      <c r="G65" s="108">
        <f t="shared" si="2"/>
        <v>2432.5481481481479</v>
      </c>
      <c r="H65" s="108">
        <f t="shared" si="3"/>
        <v>2538.3111111111107</v>
      </c>
    </row>
    <row r="66" spans="2:8" ht="31.2" x14ac:dyDescent="0.3">
      <c r="B66" s="155" t="s">
        <v>258</v>
      </c>
      <c r="C66" s="117" t="s">
        <v>226</v>
      </c>
      <c r="D66" s="158">
        <f>1624/1.35</f>
        <v>1202.9629629629628</v>
      </c>
      <c r="E66" s="108">
        <f t="shared" si="0"/>
        <v>1490.471111111111</v>
      </c>
      <c r="F66" s="108">
        <f t="shared" si="1"/>
        <v>1561.4459259259256</v>
      </c>
      <c r="G66" s="108">
        <f t="shared" si="2"/>
        <v>1632.4207407407403</v>
      </c>
      <c r="H66" s="108">
        <f t="shared" si="3"/>
        <v>1703.3955555555553</v>
      </c>
    </row>
    <row r="67" spans="2:8" ht="31.2" x14ac:dyDescent="0.3">
      <c r="B67" s="155" t="s">
        <v>259</v>
      </c>
      <c r="C67" s="117" t="s">
        <v>226</v>
      </c>
      <c r="D67" s="158">
        <f>1990/1.35</f>
        <v>1474.0740740740739</v>
      </c>
      <c r="E67" s="108">
        <f t="shared" si="0"/>
        <v>1826.3777777777775</v>
      </c>
      <c r="F67" s="108">
        <f t="shared" si="1"/>
        <v>1913.3481481481481</v>
      </c>
      <c r="G67" s="108">
        <f t="shared" si="2"/>
        <v>2000.318518518518</v>
      </c>
      <c r="H67" s="108">
        <f t="shared" si="3"/>
        <v>2087.2888888888883</v>
      </c>
    </row>
    <row r="68" spans="2:8" ht="31.2" x14ac:dyDescent="0.3">
      <c r="B68" s="155" t="s">
        <v>260</v>
      </c>
      <c r="C68" s="117" t="s">
        <v>226</v>
      </c>
      <c r="D68" s="158">
        <f>3250/1.35</f>
        <v>2407.4074074074074</v>
      </c>
      <c r="E68" s="108">
        <f t="shared" si="0"/>
        <v>2982.7777777777778</v>
      </c>
      <c r="F68" s="108">
        <f t="shared" si="1"/>
        <v>3124.8148148148148</v>
      </c>
      <c r="G68" s="108">
        <f t="shared" si="2"/>
        <v>3266.8518518518513</v>
      </c>
      <c r="H68" s="108">
        <f t="shared" si="3"/>
        <v>3408.8888888888887</v>
      </c>
    </row>
  </sheetData>
  <pageMargins left="0.7" right="0.7" top="0.75" bottom="0.75" header="0.3" footer="0.3"/>
  <pageSetup paperSize="9" scale="76" orientation="portrait" r:id="rId1"/>
  <rowBreaks count="1" manualBreakCount="1">
    <brk id="3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6:M61"/>
  <sheetViews>
    <sheetView tabSelected="1" topLeftCell="A22" zoomScale="85" zoomScaleNormal="85" workbookViewId="0">
      <selection activeCell="D30" sqref="D30"/>
    </sheetView>
  </sheetViews>
  <sheetFormatPr defaultColWidth="9.109375" defaultRowHeight="14.4" x14ac:dyDescent="0.3"/>
  <cols>
    <col min="1" max="1" width="5.33203125" style="137" customWidth="1"/>
    <col min="2" max="2" width="23" style="137" customWidth="1"/>
    <col min="3" max="3" width="50.33203125" style="137" customWidth="1"/>
    <col min="4" max="4" width="8" style="137" customWidth="1"/>
    <col min="5" max="5" width="9.88671875" style="137" bestFit="1" customWidth="1"/>
    <col min="6" max="6" width="10.88671875" style="137" bestFit="1" customWidth="1"/>
    <col min="7" max="7" width="10.88671875" style="137" customWidth="1"/>
    <col min="8" max="8" width="12.5546875" style="137" bestFit="1" customWidth="1"/>
    <col min="9" max="9" width="9.109375" style="137"/>
    <col min="10" max="10" width="10.44140625" style="137" customWidth="1"/>
    <col min="11" max="16384" width="9.109375" style="137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286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411</v>
      </c>
      <c r="E25" s="6">
        <f>Individual!C8*3</f>
        <v>27135</v>
      </c>
      <c r="F25" s="6">
        <f t="shared" ref="F25:F32" si="0">(E25*1.05)*1.12</f>
        <v>31910.760000000002</v>
      </c>
      <c r="G25" s="6">
        <f t="shared" ref="G25:G32" si="1">(E25*1.08)*1.12</f>
        <v>32822.496000000006</v>
      </c>
      <c r="H25" s="6">
        <f>(E25*1.15)*1.12</f>
        <v>34949.879999999997</v>
      </c>
    </row>
    <row r="26" spans="1:8" x14ac:dyDescent="0.3">
      <c r="A26" s="6">
        <v>2</v>
      </c>
      <c r="B26" s="7" t="s">
        <v>19</v>
      </c>
      <c r="C26" s="7" t="s">
        <v>282</v>
      </c>
      <c r="D26" s="6" t="s">
        <v>5</v>
      </c>
      <c r="E26" s="6">
        <f>Individual!C12</f>
        <v>16000</v>
      </c>
      <c r="F26" s="6">
        <f t="shared" si="0"/>
        <v>18816</v>
      </c>
      <c r="G26" s="6">
        <f t="shared" si="1"/>
        <v>19353.600000000002</v>
      </c>
      <c r="H26" s="6">
        <f t="shared" ref="H26:H32" si="2">(E26*1.15)*1.12</f>
        <v>20608.000000000004</v>
      </c>
    </row>
    <row r="27" spans="1:8" ht="28.8" x14ac:dyDescent="0.3">
      <c r="A27" s="6">
        <v>3</v>
      </c>
      <c r="B27" s="7" t="s">
        <v>6</v>
      </c>
      <c r="C27" s="7" t="s">
        <v>283</v>
      </c>
      <c r="D27" s="6" t="s">
        <v>5</v>
      </c>
      <c r="E27" s="6">
        <f>Individual!K5</f>
        <v>12950</v>
      </c>
      <c r="F27" s="6">
        <f t="shared" si="0"/>
        <v>15229.2</v>
      </c>
      <c r="G27" s="6">
        <f t="shared" si="1"/>
        <v>15664.320000000003</v>
      </c>
      <c r="H27" s="6">
        <f t="shared" si="2"/>
        <v>16679.599999999999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22</v>
      </c>
      <c r="E28" s="6">
        <f>Individual!C59*30</f>
        <v>1050</v>
      </c>
      <c r="F28" s="6">
        <f t="shared" si="0"/>
        <v>1234.8000000000002</v>
      </c>
      <c r="G28" s="6">
        <f t="shared" si="1"/>
        <v>1270.0800000000002</v>
      </c>
      <c r="H28" s="6">
        <f t="shared" si="2"/>
        <v>1352.4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3812.48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4508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Individual!C138</f>
        <v>5000</v>
      </c>
      <c r="F31" s="6">
        <f t="shared" si="0"/>
        <v>5880.0000000000009</v>
      </c>
      <c r="G31" s="6">
        <f t="shared" si="1"/>
        <v>6048.0000000000009</v>
      </c>
      <c r="H31" s="6">
        <f t="shared" si="2"/>
        <v>6440.0000000000009</v>
      </c>
    </row>
    <row r="32" spans="1:8" x14ac:dyDescent="0.3">
      <c r="A32" s="6">
        <v>8</v>
      </c>
      <c r="B32" s="98" t="s">
        <v>13</v>
      </c>
      <c r="C32" s="7" t="s">
        <v>12</v>
      </c>
      <c r="D32" s="6" t="s">
        <v>10</v>
      </c>
      <c r="E32" s="6">
        <f>Individual!C145</f>
        <v>4000</v>
      </c>
      <c r="F32" s="6">
        <f t="shared" si="0"/>
        <v>4704</v>
      </c>
      <c r="G32" s="6">
        <f t="shared" si="1"/>
        <v>4838.4000000000005</v>
      </c>
      <c r="H32" s="6">
        <f t="shared" si="2"/>
        <v>5152.0000000000009</v>
      </c>
    </row>
    <row r="33" spans="1:8" ht="18" x14ac:dyDescent="0.3">
      <c r="A33" s="6"/>
      <c r="B33" s="6"/>
      <c r="C33" s="6" t="s">
        <v>14</v>
      </c>
      <c r="D33" s="6"/>
      <c r="E33" s="88">
        <f>SUM(E25:E32)</f>
        <v>72595</v>
      </c>
      <c r="F33" s="88">
        <f>SUM(F25:F32)</f>
        <v>85371.720000000016</v>
      </c>
      <c r="G33" s="88">
        <f>SUM(G25:G32)</f>
        <v>87810.912000000011</v>
      </c>
      <c r="H33" s="88">
        <f>SUM(H25:H32)</f>
        <v>93502.36</v>
      </c>
    </row>
    <row r="35" spans="1:8" ht="28.8" x14ac:dyDescent="0.3">
      <c r="A35" s="6">
        <v>9</v>
      </c>
      <c r="B35" s="7" t="s">
        <v>20</v>
      </c>
      <c r="C35" s="7" t="s">
        <v>284</v>
      </c>
      <c r="D35" s="6" t="s">
        <v>5</v>
      </c>
      <c r="E35" s="6">
        <f>Individual!K29</f>
        <v>20000</v>
      </c>
      <c r="F35" s="6">
        <f>(E35*1.05)*1.12</f>
        <v>23520.000000000004</v>
      </c>
      <c r="G35" s="6">
        <f>(E35*1.08)*1.12</f>
        <v>24192.000000000004</v>
      </c>
      <c r="H35" s="6">
        <f>(E35*1.15)*1.12</f>
        <v>25760.000000000004</v>
      </c>
    </row>
    <row r="36" spans="1:8" ht="18" x14ac:dyDescent="0.3">
      <c r="A36" s="10"/>
      <c r="B36" s="11"/>
      <c r="C36" s="6" t="s">
        <v>14</v>
      </c>
      <c r="D36" s="6"/>
      <c r="E36" s="88">
        <f>SUM(E33:E35)</f>
        <v>92595</v>
      </c>
      <c r="F36" s="88">
        <f t="shared" ref="F36" si="3">SUM(F33:F35)</f>
        <v>108891.72000000002</v>
      </c>
      <c r="G36" s="88">
        <f>SUM(G33:G35)</f>
        <v>112002.91200000001</v>
      </c>
      <c r="H36" s="88">
        <f>SUM(H33:H35)</f>
        <v>119262.36</v>
      </c>
    </row>
    <row r="37" spans="1:8" x14ac:dyDescent="0.3">
      <c r="B37" s="137" t="s">
        <v>23</v>
      </c>
    </row>
    <row r="38" spans="1:8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(E38*1.15)*1.12</f>
        <v>8983.7999999999993</v>
      </c>
    </row>
    <row r="39" spans="1:8" ht="18" x14ac:dyDescent="0.3">
      <c r="C39" s="6" t="s">
        <v>14</v>
      </c>
      <c r="D39" s="6"/>
      <c r="E39" s="88">
        <f>SUM(E36:E38)</f>
        <v>99570</v>
      </c>
      <c r="F39" s="88">
        <f>SUM(F36:F38)</f>
        <v>117094.32000000002</v>
      </c>
      <c r="G39" s="88">
        <f>SUM(G36:G38)</f>
        <v>120439.87200000002</v>
      </c>
      <c r="H39" s="88">
        <f>SUM(H36:H38)</f>
        <v>128246.16</v>
      </c>
    </row>
    <row r="40" spans="1:8" x14ac:dyDescent="0.3">
      <c r="B40" s="137" t="s">
        <v>23</v>
      </c>
    </row>
    <row r="41" spans="1:8" x14ac:dyDescent="0.3">
      <c r="A41" s="6">
        <v>11</v>
      </c>
      <c r="B41" s="6" t="s">
        <v>285</v>
      </c>
      <c r="C41" s="7" t="s">
        <v>7</v>
      </c>
      <c r="D41" s="6" t="s">
        <v>15</v>
      </c>
      <c r="E41" s="6">
        <f>Individual!C100*10</f>
        <v>2041.666666666667</v>
      </c>
      <c r="F41" s="6">
        <f t="shared" ref="F41:F44" si="4">(E41*1.05)*1.12</f>
        <v>2401.0000000000009</v>
      </c>
      <c r="G41" s="6">
        <f t="shared" ref="G41:G44" si="5">(E41*1.08)*1.12</f>
        <v>2469.6000000000008</v>
      </c>
      <c r="H41" s="6">
        <f>(E41*1.15)*1.12</f>
        <v>2629.6666666666674</v>
      </c>
    </row>
    <row r="42" spans="1:8" x14ac:dyDescent="0.3">
      <c r="A42" s="6">
        <v>12</v>
      </c>
      <c r="B42" s="6" t="s">
        <v>25</v>
      </c>
      <c r="C42" s="7" t="s">
        <v>7</v>
      </c>
      <c r="D42" s="6" t="s">
        <v>21</v>
      </c>
      <c r="E42" s="6">
        <f>Individual!C69*15</f>
        <v>1016.949152542373</v>
      </c>
      <c r="F42" s="6">
        <f t="shared" si="4"/>
        <v>1195.9322033898309</v>
      </c>
      <c r="G42" s="6">
        <f t="shared" si="5"/>
        <v>1230.1016949152547</v>
      </c>
      <c r="H42" s="6">
        <f t="shared" ref="H42:H44" si="6">(E42*1.15)*1.12</f>
        <v>1309.8305084745766</v>
      </c>
    </row>
    <row r="43" spans="1:8" x14ac:dyDescent="0.3">
      <c r="A43" s="6">
        <v>13</v>
      </c>
      <c r="B43" s="7" t="s">
        <v>400</v>
      </c>
      <c r="C43" s="7" t="s">
        <v>7</v>
      </c>
      <c r="D43" s="6" t="s">
        <v>21</v>
      </c>
      <c r="E43" s="6">
        <f>Individual!C73*15</f>
        <v>300</v>
      </c>
      <c r="F43" s="6">
        <f t="shared" si="4"/>
        <v>352.8</v>
      </c>
      <c r="G43" s="6">
        <f t="shared" si="5"/>
        <v>362.88000000000005</v>
      </c>
      <c r="H43" s="6">
        <f t="shared" si="6"/>
        <v>386.40000000000003</v>
      </c>
    </row>
    <row r="44" spans="1:8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Individual!C81</f>
        <v>3510</v>
      </c>
      <c r="F44" s="6">
        <f t="shared" si="4"/>
        <v>4127.76</v>
      </c>
      <c r="G44" s="6">
        <f t="shared" si="5"/>
        <v>4245.6960000000008</v>
      </c>
      <c r="H44" s="6">
        <f t="shared" si="6"/>
        <v>4520.88</v>
      </c>
    </row>
    <row r="45" spans="1:8" ht="18" x14ac:dyDescent="0.3">
      <c r="C45" s="6" t="s">
        <v>14</v>
      </c>
      <c r="D45" s="6"/>
      <c r="E45" s="88">
        <f>SUM(E39:E44)</f>
        <v>106438.61581920905</v>
      </c>
      <c r="F45" s="88">
        <f>SUM(F39:F44)</f>
        <v>125171.81220338985</v>
      </c>
      <c r="G45" s="88">
        <f>SUM(G39:G44)</f>
        <v>128748.14969491528</v>
      </c>
      <c r="H45" s="88">
        <f>SUM(H39:H44)</f>
        <v>137092.93717514124</v>
      </c>
    </row>
    <row r="46" spans="1:8" ht="18" x14ac:dyDescent="0.3">
      <c r="C46" s="10"/>
      <c r="D46" s="10"/>
      <c r="E46" s="31"/>
      <c r="F46" s="31"/>
      <c r="G46" s="31"/>
      <c r="H46" s="31"/>
    </row>
    <row r="47" spans="1:8" ht="18" x14ac:dyDescent="0.3">
      <c r="A47" s="6">
        <v>15</v>
      </c>
      <c r="B47" s="6" t="s">
        <v>70</v>
      </c>
      <c r="C47" s="7" t="s">
        <v>7</v>
      </c>
      <c r="D47" s="6" t="s">
        <v>289</v>
      </c>
      <c r="E47" s="101">
        <f>Individual!C134*3</f>
        <v>3608.8888888888887</v>
      </c>
      <c r="F47" s="6">
        <f t="shared" ref="F47" si="7">(E47*1.05)*1.12</f>
        <v>4244.0533333333342</v>
      </c>
      <c r="G47" s="6">
        <f t="shared" ref="G47" si="8">(E47*1.08)*1.12</f>
        <v>4365.3119999999999</v>
      </c>
      <c r="H47" s="6">
        <f>(E47*1.15)*1.12</f>
        <v>4648.2488888888884</v>
      </c>
    </row>
    <row r="48" spans="1:8" ht="18" x14ac:dyDescent="0.3">
      <c r="C48" s="10"/>
      <c r="D48" s="10"/>
      <c r="E48" s="31">
        <f>E39+E42+E43+E44+E47</f>
        <v>108005.83804143127</v>
      </c>
      <c r="F48" s="31">
        <f>F39+F42+F43+F44+F47</f>
        <v>127014.86553672318</v>
      </c>
      <c r="G48" s="31">
        <f t="shared" ref="G48" si="9">G39+G42+G43+G44+G47</f>
        <v>130643.86169491528</v>
      </c>
      <c r="H48" s="31">
        <f>H39+H42+H43+H44+H47</f>
        <v>139111.51939736347</v>
      </c>
    </row>
    <row r="49" spans="1:13" ht="18" x14ac:dyDescent="0.3">
      <c r="C49" s="10"/>
      <c r="D49" s="10"/>
      <c r="E49" s="31"/>
      <c r="F49" s="31"/>
      <c r="G49" s="31"/>
      <c r="H49" s="31"/>
    </row>
    <row r="50" spans="1:13" ht="18" x14ac:dyDescent="0.3">
      <c r="C50" s="10"/>
      <c r="D50" s="10"/>
      <c r="E50" s="31"/>
      <c r="F50" s="31"/>
      <c r="G50" s="31"/>
      <c r="H50" s="31"/>
    </row>
    <row r="51" spans="1:13" ht="18" x14ac:dyDescent="0.3">
      <c r="C51" s="10"/>
      <c r="D51" s="10"/>
      <c r="E51" s="31"/>
      <c r="F51" s="31"/>
      <c r="G51" s="31"/>
      <c r="H51" s="31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6:M61"/>
  <sheetViews>
    <sheetView topLeftCell="A19" zoomScale="85" zoomScaleNormal="85" workbookViewId="0">
      <selection activeCell="C28" sqref="C28"/>
    </sheetView>
  </sheetViews>
  <sheetFormatPr defaultColWidth="9.109375" defaultRowHeight="14.4" x14ac:dyDescent="0.3"/>
  <cols>
    <col min="1" max="1" width="5.33203125" style="1" customWidth="1"/>
    <col min="2" max="2" width="23" style="1" customWidth="1"/>
    <col min="3" max="3" width="50.33203125" style="1" customWidth="1"/>
    <col min="4" max="4" width="8" style="1" customWidth="1"/>
    <col min="5" max="5" width="9.88671875" style="1" bestFit="1" customWidth="1"/>
    <col min="6" max="6" width="10.88671875" style="1" bestFit="1" customWidth="1"/>
    <col min="7" max="7" width="10.88671875" style="87" customWidth="1"/>
    <col min="8" max="8" width="12.5546875" style="1" bestFit="1" customWidth="1"/>
    <col min="9" max="9" width="9.109375" style="1"/>
    <col min="10" max="10" width="10.44140625" style="1" customWidth="1"/>
    <col min="11" max="16384" width="9.109375" style="1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286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18</v>
      </c>
      <c r="E25" s="6">
        <f>Individual!C8*4</f>
        <v>36180</v>
      </c>
      <c r="F25" s="6">
        <f t="shared" ref="F25:F32" si="0">(E25*1.05)*1.12</f>
        <v>42547.680000000008</v>
      </c>
      <c r="G25" s="6">
        <f t="shared" ref="G25:G32" si="1">(E25*1.08)*1.12</f>
        <v>43763.328000000009</v>
      </c>
      <c r="H25" s="6">
        <f>(E25*1.15)*1.12</f>
        <v>46599.840000000004</v>
      </c>
    </row>
    <row r="26" spans="1:8" x14ac:dyDescent="0.3">
      <c r="A26" s="6">
        <v>2</v>
      </c>
      <c r="B26" s="7" t="s">
        <v>19</v>
      </c>
      <c r="C26" s="7" t="s">
        <v>282</v>
      </c>
      <c r="D26" s="6" t="s">
        <v>5</v>
      </c>
      <c r="E26" s="6">
        <f>Individual!C12</f>
        <v>16000</v>
      </c>
      <c r="F26" s="6">
        <f t="shared" si="0"/>
        <v>18816</v>
      </c>
      <c r="G26" s="6">
        <f t="shared" si="1"/>
        <v>19353.600000000002</v>
      </c>
      <c r="H26" s="6">
        <f t="shared" ref="H26:H32" si="2">(E26*1.15)*1.12</f>
        <v>20608.000000000004</v>
      </c>
    </row>
    <row r="27" spans="1:8" ht="28.8" x14ac:dyDescent="0.3">
      <c r="A27" s="6">
        <v>3</v>
      </c>
      <c r="B27" s="7" t="s">
        <v>6</v>
      </c>
      <c r="C27" s="7" t="s">
        <v>283</v>
      </c>
      <c r="D27" s="6" t="s">
        <v>5</v>
      </c>
      <c r="E27" s="6">
        <f>Individual!K5</f>
        <v>12950</v>
      </c>
      <c r="F27" s="6">
        <f t="shared" si="0"/>
        <v>15229.2</v>
      </c>
      <c r="G27" s="6">
        <f t="shared" si="1"/>
        <v>15664.320000000003</v>
      </c>
      <c r="H27" s="6">
        <f t="shared" si="2"/>
        <v>16679.599999999999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22</v>
      </c>
      <c r="E28" s="6">
        <f>Individual!C59*30</f>
        <v>1050</v>
      </c>
      <c r="F28" s="6">
        <f t="shared" si="0"/>
        <v>1234.8000000000002</v>
      </c>
      <c r="G28" s="6">
        <f t="shared" si="1"/>
        <v>1270.0800000000002</v>
      </c>
      <c r="H28" s="6">
        <f t="shared" si="2"/>
        <v>1352.4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3812.48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4508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Individual!C138</f>
        <v>5000</v>
      </c>
      <c r="F31" s="6">
        <f t="shared" si="0"/>
        <v>5880.0000000000009</v>
      </c>
      <c r="G31" s="6">
        <f t="shared" si="1"/>
        <v>6048.0000000000009</v>
      </c>
      <c r="H31" s="6">
        <f t="shared" si="2"/>
        <v>6440.0000000000009</v>
      </c>
    </row>
    <row r="32" spans="1:8" x14ac:dyDescent="0.3">
      <c r="A32" s="6">
        <v>8</v>
      </c>
      <c r="B32" s="8" t="s">
        <v>13</v>
      </c>
      <c r="C32" s="7" t="s">
        <v>12</v>
      </c>
      <c r="D32" s="6" t="s">
        <v>10</v>
      </c>
      <c r="E32" s="6">
        <f>Individual!C145</f>
        <v>4000</v>
      </c>
      <c r="F32" s="6">
        <f t="shared" si="0"/>
        <v>4704</v>
      </c>
      <c r="G32" s="6">
        <f t="shared" si="1"/>
        <v>4838.4000000000005</v>
      </c>
      <c r="H32" s="6">
        <f t="shared" si="2"/>
        <v>5152.0000000000009</v>
      </c>
    </row>
    <row r="33" spans="1:8" ht="18" x14ac:dyDescent="0.3">
      <c r="A33" s="6"/>
      <c r="B33" s="6"/>
      <c r="C33" s="6" t="s">
        <v>14</v>
      </c>
      <c r="D33" s="6"/>
      <c r="E33" s="9">
        <f>SUM(E25:E32)</f>
        <v>81640</v>
      </c>
      <c r="F33" s="9">
        <f>SUM(F25:F32)</f>
        <v>96008.640000000014</v>
      </c>
      <c r="G33" s="88">
        <f>SUM(G25:G32)</f>
        <v>98751.744000000021</v>
      </c>
      <c r="H33" s="9">
        <f>SUM(H25:H32)</f>
        <v>105152.31999999999</v>
      </c>
    </row>
    <row r="35" spans="1:8" ht="28.8" x14ac:dyDescent="0.3">
      <c r="A35" s="6">
        <v>9</v>
      </c>
      <c r="B35" s="7" t="s">
        <v>20</v>
      </c>
      <c r="C35" s="7" t="s">
        <v>284</v>
      </c>
      <c r="D35" s="6" t="s">
        <v>5</v>
      </c>
      <c r="E35" s="6">
        <f>Individual!K29</f>
        <v>20000</v>
      </c>
      <c r="F35" s="6">
        <f>(E35*1.05)*1.12</f>
        <v>23520.000000000004</v>
      </c>
      <c r="G35" s="6">
        <f>(E35*1.08)*1.12</f>
        <v>24192.000000000004</v>
      </c>
      <c r="H35" s="6">
        <f>(E35*1.15)*1.12</f>
        <v>25760.000000000004</v>
      </c>
    </row>
    <row r="36" spans="1:8" ht="18" x14ac:dyDescent="0.3">
      <c r="A36" s="10"/>
      <c r="B36" s="11"/>
      <c r="C36" s="6" t="s">
        <v>14</v>
      </c>
      <c r="D36" s="6"/>
      <c r="E36" s="9">
        <f>SUM(E33:E35)</f>
        <v>101640</v>
      </c>
      <c r="F36" s="9">
        <f t="shared" ref="F36" si="3">SUM(F33:F35)</f>
        <v>119528.64000000001</v>
      </c>
      <c r="G36" s="88">
        <f>SUM(G33:G35)</f>
        <v>122943.74400000002</v>
      </c>
      <c r="H36" s="9">
        <f>SUM(H33:H35)</f>
        <v>130912.31999999999</v>
      </c>
    </row>
    <row r="37" spans="1:8" x14ac:dyDescent="0.3">
      <c r="A37" s="87"/>
      <c r="B37" s="87" t="s">
        <v>23</v>
      </c>
      <c r="C37" s="87"/>
      <c r="D37" s="87"/>
      <c r="E37" s="87"/>
      <c r="F37" s="87"/>
      <c r="H37" s="87"/>
    </row>
    <row r="38" spans="1:8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(E38*1.15)*1.12</f>
        <v>8983.7999999999993</v>
      </c>
    </row>
    <row r="39" spans="1:8" ht="18" x14ac:dyDescent="0.3">
      <c r="C39" s="6" t="s">
        <v>14</v>
      </c>
      <c r="D39" s="6"/>
      <c r="E39" s="9">
        <f>SUM(E36:E38)</f>
        <v>108615</v>
      </c>
      <c r="F39" s="9">
        <f>SUM(F36:F38)</f>
        <v>127731.24000000002</v>
      </c>
      <c r="G39" s="88">
        <f>SUM(G36:G38)</f>
        <v>131380.70400000003</v>
      </c>
      <c r="H39" s="9">
        <f>SUM(H36:H38)</f>
        <v>139896.12</v>
      </c>
    </row>
    <row r="40" spans="1:8" x14ac:dyDescent="0.3">
      <c r="B40" s="1" t="s">
        <v>23</v>
      </c>
    </row>
    <row r="41" spans="1:8" x14ac:dyDescent="0.3">
      <c r="A41" s="6">
        <v>11</v>
      </c>
      <c r="B41" s="6" t="s">
        <v>285</v>
      </c>
      <c r="C41" s="7" t="s">
        <v>7</v>
      </c>
      <c r="D41" s="6" t="s">
        <v>15</v>
      </c>
      <c r="E41" s="6">
        <f>Individual!C100*10</f>
        <v>2041.666666666667</v>
      </c>
      <c r="F41" s="6">
        <f t="shared" ref="F41:F44" si="4">(E41*1.05)*1.12</f>
        <v>2401.0000000000009</v>
      </c>
      <c r="G41" s="6">
        <f t="shared" ref="G41:G44" si="5">(E41*1.08)*1.12</f>
        <v>2469.6000000000008</v>
      </c>
      <c r="H41" s="6">
        <f>(E41*1.15)*1.12</f>
        <v>2629.6666666666674</v>
      </c>
    </row>
    <row r="42" spans="1:8" x14ac:dyDescent="0.3">
      <c r="A42" s="6">
        <v>12</v>
      </c>
      <c r="B42" s="6" t="s">
        <v>25</v>
      </c>
      <c r="C42" s="7" t="s">
        <v>7</v>
      </c>
      <c r="D42" s="6" t="s">
        <v>21</v>
      </c>
      <c r="E42" s="6">
        <f>Individual!C69*15</f>
        <v>1016.949152542373</v>
      </c>
      <c r="F42" s="6">
        <f t="shared" si="4"/>
        <v>1195.9322033898309</v>
      </c>
      <c r="G42" s="6">
        <f t="shared" si="5"/>
        <v>1230.1016949152547</v>
      </c>
      <c r="H42" s="6">
        <f t="shared" ref="H42:H44" si="6">(E42*1.15)*1.12</f>
        <v>1309.8305084745766</v>
      </c>
    </row>
    <row r="43" spans="1:8" x14ac:dyDescent="0.3">
      <c r="A43" s="6">
        <v>13</v>
      </c>
      <c r="B43" s="7" t="s">
        <v>400</v>
      </c>
      <c r="C43" s="7" t="s">
        <v>7</v>
      </c>
      <c r="D43" s="6" t="s">
        <v>21</v>
      </c>
      <c r="E43" s="6">
        <f>Individual!C73*15</f>
        <v>300</v>
      </c>
      <c r="F43" s="6">
        <f t="shared" si="4"/>
        <v>352.8</v>
      </c>
      <c r="G43" s="6">
        <f t="shared" si="5"/>
        <v>362.88000000000005</v>
      </c>
      <c r="H43" s="6">
        <f t="shared" si="6"/>
        <v>386.40000000000003</v>
      </c>
    </row>
    <row r="44" spans="1:8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Individual!C81</f>
        <v>3510</v>
      </c>
      <c r="F44" s="6">
        <f t="shared" si="4"/>
        <v>4127.76</v>
      </c>
      <c r="G44" s="6">
        <f t="shared" si="5"/>
        <v>4245.6960000000008</v>
      </c>
      <c r="H44" s="6">
        <f t="shared" si="6"/>
        <v>4520.88</v>
      </c>
    </row>
    <row r="45" spans="1:8" ht="18" x14ac:dyDescent="0.3">
      <c r="C45" s="6" t="s">
        <v>14</v>
      </c>
      <c r="D45" s="6"/>
      <c r="E45" s="9">
        <f>SUM(E39:E44)</f>
        <v>115483.61581920905</v>
      </c>
      <c r="F45" s="9">
        <f>SUM(F39:F44)</f>
        <v>135808.73220338984</v>
      </c>
      <c r="G45" s="88">
        <f>SUM(G39:G44)</f>
        <v>139688.9816949153</v>
      </c>
      <c r="H45" s="9">
        <f>SUM(H39:H44)</f>
        <v>148742.89717514123</v>
      </c>
    </row>
    <row r="46" spans="1:8" s="29" customFormat="1" ht="18" x14ac:dyDescent="0.3">
      <c r="C46" s="10"/>
      <c r="D46" s="10"/>
      <c r="E46" s="31"/>
      <c r="F46" s="31"/>
      <c r="G46" s="31"/>
      <c r="H46" s="31"/>
    </row>
    <row r="47" spans="1:8" s="29" customFormat="1" ht="18" x14ac:dyDescent="0.3">
      <c r="A47" s="6">
        <v>15</v>
      </c>
      <c r="B47" s="6" t="s">
        <v>70</v>
      </c>
      <c r="C47" s="7" t="s">
        <v>7</v>
      </c>
      <c r="D47" s="6" t="s">
        <v>289</v>
      </c>
      <c r="E47" s="101">
        <f>Individual!C134*3</f>
        <v>3608.8888888888887</v>
      </c>
      <c r="F47" s="6">
        <f t="shared" ref="F47" si="7">(E47*1.05)*1.12</f>
        <v>4244.0533333333342</v>
      </c>
      <c r="G47" s="6">
        <f t="shared" ref="G47" si="8">(E47*1.08)*1.12</f>
        <v>4365.3119999999999</v>
      </c>
      <c r="H47" s="6">
        <f>(E47*1.15)*1.12</f>
        <v>4648.2488888888884</v>
      </c>
    </row>
    <row r="48" spans="1:8" s="29" customFormat="1" ht="18" x14ac:dyDescent="0.3">
      <c r="C48" s="10"/>
      <c r="D48" s="10"/>
      <c r="E48" s="31">
        <f>E39+E42+E43+E44+E47</f>
        <v>117050.83804143127</v>
      </c>
      <c r="F48" s="31">
        <f>F39+F42+F43+F44+F47</f>
        <v>137651.78553672321</v>
      </c>
      <c r="G48" s="31">
        <f t="shared" ref="G48" si="9">G39+G42+G43+G44+G47</f>
        <v>141584.6936949153</v>
      </c>
      <c r="H48" s="31">
        <f>H39+H42+H43+H44+H47</f>
        <v>150761.47939736347</v>
      </c>
    </row>
    <row r="49" spans="1:13" s="29" customFormat="1" ht="18" x14ac:dyDescent="0.3">
      <c r="C49" s="10"/>
      <c r="D49" s="10"/>
      <c r="E49" s="31"/>
      <c r="F49" s="31"/>
      <c r="G49" s="31"/>
      <c r="H49" s="31"/>
    </row>
    <row r="50" spans="1:13" s="29" customFormat="1" ht="18" x14ac:dyDescent="0.3">
      <c r="C50" s="10"/>
      <c r="D50" s="10"/>
      <c r="E50" s="31"/>
      <c r="F50" s="31"/>
      <c r="G50" s="31"/>
      <c r="H50" s="31"/>
    </row>
    <row r="51" spans="1:13" s="29" customFormat="1" ht="18" x14ac:dyDescent="0.3">
      <c r="C51" s="10"/>
      <c r="D51" s="10"/>
      <c r="E51" s="31"/>
      <c r="F51" s="31"/>
      <c r="G51" s="31"/>
      <c r="H51" s="31"/>
    </row>
    <row r="52" spans="1:13" s="29" customFormat="1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B18:C21"/>
    <mergeCell ref="A58:H58"/>
    <mergeCell ref="A59:H59"/>
    <mergeCell ref="A61:H61"/>
    <mergeCell ref="A60:H60"/>
    <mergeCell ref="A22:H22"/>
    <mergeCell ref="A23:H23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6:M61"/>
  <sheetViews>
    <sheetView topLeftCell="A31" zoomScale="85" zoomScaleNormal="85" workbookViewId="0">
      <selection activeCell="E47" sqref="E47"/>
    </sheetView>
  </sheetViews>
  <sheetFormatPr defaultColWidth="9.109375" defaultRowHeight="14.4" x14ac:dyDescent="0.3"/>
  <cols>
    <col min="1" max="1" width="5.33203125" style="87" customWidth="1"/>
    <col min="2" max="2" width="23" style="87" customWidth="1"/>
    <col min="3" max="3" width="50.33203125" style="87" customWidth="1"/>
    <col min="4" max="4" width="7.6640625" style="87" bestFit="1" customWidth="1"/>
    <col min="5" max="6" width="9.88671875" style="87" bestFit="1" customWidth="1"/>
    <col min="7" max="7" width="11.88671875" style="87" bestFit="1" customWidth="1"/>
    <col min="8" max="8" width="12.5546875" style="87" bestFit="1" customWidth="1"/>
    <col min="9" max="9" width="9.109375" style="87"/>
    <col min="10" max="10" width="10.44140625" style="87" customWidth="1"/>
    <col min="11" max="16384" width="9.109375" style="87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427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18</v>
      </c>
      <c r="E25" s="6">
        <f>Individual!C8*4</f>
        <v>36180</v>
      </c>
      <c r="F25" s="6">
        <f t="shared" ref="F25:F32" si="0">(E25*1.05)*1.12</f>
        <v>42547.680000000008</v>
      </c>
      <c r="G25" s="6">
        <f t="shared" ref="G25:G32" si="1">(E25*1.08)*1.12</f>
        <v>43763.328000000009</v>
      </c>
      <c r="H25" s="6">
        <f>(E25*1.15)*1.12</f>
        <v>46599.840000000004</v>
      </c>
    </row>
    <row r="26" spans="1:8" x14ac:dyDescent="0.3">
      <c r="A26" s="6">
        <v>2</v>
      </c>
      <c r="B26" s="7" t="s">
        <v>19</v>
      </c>
      <c r="C26" s="7" t="s">
        <v>282</v>
      </c>
      <c r="D26" s="6" t="s">
        <v>5</v>
      </c>
      <c r="E26" s="6">
        <f>Individual!C12</f>
        <v>16000</v>
      </c>
      <c r="F26" s="6">
        <f t="shared" si="0"/>
        <v>18816</v>
      </c>
      <c r="G26" s="6">
        <f t="shared" si="1"/>
        <v>19353.600000000002</v>
      </c>
      <c r="H26" s="6">
        <f>(E26*1.15)*1.12</f>
        <v>20608.000000000004</v>
      </c>
    </row>
    <row r="27" spans="1:8" ht="28.8" x14ac:dyDescent="0.3">
      <c r="A27" s="6">
        <v>3</v>
      </c>
      <c r="B27" s="7" t="s">
        <v>6</v>
      </c>
      <c r="C27" s="7" t="s">
        <v>283</v>
      </c>
      <c r="D27" s="6" t="s">
        <v>5</v>
      </c>
      <c r="E27" s="6">
        <f>Individual!K5</f>
        <v>12950</v>
      </c>
      <c r="F27" s="6">
        <f t="shared" si="0"/>
        <v>15229.2</v>
      </c>
      <c r="G27" s="6">
        <f t="shared" si="1"/>
        <v>15664.320000000003</v>
      </c>
      <c r="H27" s="6">
        <f t="shared" ref="H27:H32" si="2">(E27*1.15)*1.12</f>
        <v>16679.599999999999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22</v>
      </c>
      <c r="E28" s="6">
        <f>Individual!C59*30</f>
        <v>1050</v>
      </c>
      <c r="F28" s="6">
        <f t="shared" si="0"/>
        <v>1234.8000000000002</v>
      </c>
      <c r="G28" s="6">
        <f t="shared" si="1"/>
        <v>1270.0800000000002</v>
      </c>
      <c r="H28" s="6">
        <f t="shared" si="2"/>
        <v>1352.4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3812.48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4508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Individual!C138</f>
        <v>5000</v>
      </c>
      <c r="F31" s="6">
        <f t="shared" si="0"/>
        <v>5880.0000000000009</v>
      </c>
      <c r="G31" s="6">
        <f t="shared" si="1"/>
        <v>6048.0000000000009</v>
      </c>
      <c r="H31" s="6">
        <f t="shared" si="2"/>
        <v>6440.0000000000009</v>
      </c>
    </row>
    <row r="32" spans="1:8" x14ac:dyDescent="0.3">
      <c r="A32" s="6">
        <v>8</v>
      </c>
      <c r="B32" s="8" t="s">
        <v>13</v>
      </c>
      <c r="C32" s="7" t="s">
        <v>12</v>
      </c>
      <c r="D32" s="6" t="s">
        <v>10</v>
      </c>
      <c r="E32" s="6">
        <f>Individual!C145</f>
        <v>4000</v>
      </c>
      <c r="F32" s="6">
        <f t="shared" si="0"/>
        <v>4704</v>
      </c>
      <c r="G32" s="6">
        <f t="shared" si="1"/>
        <v>4838.4000000000005</v>
      </c>
      <c r="H32" s="6">
        <f t="shared" si="2"/>
        <v>5152.0000000000009</v>
      </c>
    </row>
    <row r="33" spans="1:9" ht="18" x14ac:dyDescent="0.3">
      <c r="A33" s="6"/>
      <c r="B33" s="6"/>
      <c r="C33" s="6" t="s">
        <v>14</v>
      </c>
      <c r="D33" s="6"/>
      <c r="E33" s="88">
        <f>SUM(E25:E32)</f>
        <v>81640</v>
      </c>
      <c r="F33" s="88">
        <f>SUM(F25:F32)</f>
        <v>96008.640000000014</v>
      </c>
      <c r="G33" s="88">
        <f>SUM(G25:G32)</f>
        <v>98751.744000000021</v>
      </c>
      <c r="H33" s="88">
        <f>SUM(H25:H32)</f>
        <v>105152.31999999999</v>
      </c>
    </row>
    <row r="35" spans="1:9" ht="28.8" x14ac:dyDescent="0.3">
      <c r="A35" s="6">
        <v>9</v>
      </c>
      <c r="B35" s="7" t="s">
        <v>20</v>
      </c>
      <c r="C35" s="7" t="s">
        <v>428</v>
      </c>
      <c r="D35" s="6" t="s">
        <v>5</v>
      </c>
      <c r="E35" s="6">
        <f>Individual!K30</f>
        <v>14000</v>
      </c>
      <c r="F35" s="6">
        <f>(E35*1.05)*1.12</f>
        <v>16464</v>
      </c>
      <c r="G35" s="6">
        <f>(E35*1.08)*1.12</f>
        <v>16934.400000000005</v>
      </c>
      <c r="H35" s="6">
        <f>(E35*1.15)*1.12</f>
        <v>18032</v>
      </c>
    </row>
    <row r="36" spans="1:9" ht="18" x14ac:dyDescent="0.3">
      <c r="A36" s="10"/>
      <c r="B36" s="11"/>
      <c r="C36" s="6" t="s">
        <v>14</v>
      </c>
      <c r="D36" s="6"/>
      <c r="E36" s="88">
        <f>SUM(E33:E35)</f>
        <v>95640</v>
      </c>
      <c r="F36" s="88">
        <f t="shared" ref="F36" si="3">SUM(F33:F35)</f>
        <v>112472.64000000001</v>
      </c>
      <c r="G36" s="88">
        <f>SUM(G33:G35)</f>
        <v>115686.14400000003</v>
      </c>
      <c r="H36" s="88">
        <f>SUM(H33:H35)</f>
        <v>123184.31999999999</v>
      </c>
    </row>
    <row r="37" spans="1:9" x14ac:dyDescent="0.3">
      <c r="B37" s="87" t="s">
        <v>23</v>
      </c>
    </row>
    <row r="38" spans="1:9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(E38*1.15)*1.12</f>
        <v>8983.7999999999993</v>
      </c>
    </row>
    <row r="39" spans="1:9" ht="18" x14ac:dyDescent="0.3">
      <c r="C39" s="6" t="s">
        <v>14</v>
      </c>
      <c r="D39" s="6"/>
      <c r="E39" s="88">
        <f>SUM(E36:E38)</f>
        <v>102615</v>
      </c>
      <c r="F39" s="88">
        <f>SUM(F36:F38)</f>
        <v>120675.24000000002</v>
      </c>
      <c r="G39" s="88">
        <f>SUM(G36:G38)</f>
        <v>124123.10400000004</v>
      </c>
      <c r="H39" s="88">
        <f>SUM(H36:H38)</f>
        <v>132168.12</v>
      </c>
    </row>
    <row r="40" spans="1:9" x14ac:dyDescent="0.3">
      <c r="B40" s="87" t="s">
        <v>23</v>
      </c>
    </row>
    <row r="41" spans="1:9" x14ac:dyDescent="0.3">
      <c r="A41" s="6">
        <v>11</v>
      </c>
      <c r="B41" s="6" t="s">
        <v>287</v>
      </c>
      <c r="C41" s="7" t="s">
        <v>7</v>
      </c>
      <c r="D41" s="6" t="s">
        <v>22</v>
      </c>
      <c r="E41" s="6">
        <f>Individual!C97*30</f>
        <v>5575</v>
      </c>
      <c r="F41" s="6">
        <f>E41+(E41*5%)</f>
        <v>5853.75</v>
      </c>
      <c r="G41" s="6">
        <f t="shared" ref="G41:G44" si="4">(E41*1.08)*1.12</f>
        <v>6743.52</v>
      </c>
      <c r="H41" s="6">
        <f>(E41*1.15)*1.12</f>
        <v>7180.5999999999995</v>
      </c>
    </row>
    <row r="42" spans="1:9" x14ac:dyDescent="0.3">
      <c r="A42" s="6">
        <v>12</v>
      </c>
      <c r="B42" s="6" t="s">
        <v>25</v>
      </c>
      <c r="C42" s="7" t="s">
        <v>7</v>
      </c>
      <c r="D42" s="6" t="s">
        <v>30</v>
      </c>
      <c r="E42" s="6">
        <f>Individual!C69*40</f>
        <v>2711.8644067796613</v>
      </c>
      <c r="F42" s="6">
        <f t="shared" ref="F42:F44" si="5">E42+(E42*5%)</f>
        <v>2847.4576271186443</v>
      </c>
      <c r="G42" s="6">
        <f t="shared" si="4"/>
        <v>3280.2711864406788</v>
      </c>
      <c r="H42" s="6">
        <f t="shared" ref="H42:H44" si="6">(E42*1.15)*1.12</f>
        <v>3492.8813559322039</v>
      </c>
    </row>
    <row r="43" spans="1:9" x14ac:dyDescent="0.3">
      <c r="A43" s="6">
        <v>13</v>
      </c>
      <c r="B43" s="7" t="s">
        <v>26</v>
      </c>
      <c r="C43" s="7" t="s">
        <v>7</v>
      </c>
      <c r="D43" s="6" t="s">
        <v>30</v>
      </c>
      <c r="E43" s="6">
        <f>Individual!C74*40</f>
        <v>880</v>
      </c>
      <c r="F43" s="6">
        <f t="shared" si="5"/>
        <v>924</v>
      </c>
      <c r="G43" s="6">
        <f t="shared" si="4"/>
        <v>1064.4480000000001</v>
      </c>
      <c r="H43" s="6">
        <f t="shared" si="6"/>
        <v>1133.44</v>
      </c>
    </row>
    <row r="44" spans="1:9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Individual!C80</f>
        <v>3205</v>
      </c>
      <c r="F44" s="6">
        <f t="shared" si="5"/>
        <v>3365.25</v>
      </c>
      <c r="G44" s="6">
        <f t="shared" si="4"/>
        <v>3876.7680000000005</v>
      </c>
      <c r="H44" s="6">
        <f t="shared" si="6"/>
        <v>4128.04</v>
      </c>
    </row>
    <row r="45" spans="1:9" ht="18" x14ac:dyDescent="0.3">
      <c r="C45" s="6" t="s">
        <v>14</v>
      </c>
      <c r="D45" s="6"/>
      <c r="E45" s="88">
        <f>SUM(E39:E44)</f>
        <v>114986.86440677966</v>
      </c>
      <c r="F45" s="88">
        <f>SUM(F39:F44)</f>
        <v>133665.69762711867</v>
      </c>
      <c r="G45" s="88">
        <f>SUM(G39:G44)</f>
        <v>139088.11118644074</v>
      </c>
      <c r="H45" s="88">
        <f>SUM(H39:H44)</f>
        <v>148103.08135593223</v>
      </c>
      <c r="I45" s="141">
        <f>E45*1.12-H45</f>
        <v>-19317.793220338994</v>
      </c>
    </row>
    <row r="46" spans="1:9" ht="18" x14ac:dyDescent="0.3">
      <c r="C46" s="10"/>
      <c r="D46" s="10"/>
      <c r="E46" s="31"/>
      <c r="F46" s="31"/>
      <c r="G46" s="31"/>
      <c r="H46" s="31"/>
    </row>
    <row r="47" spans="1:9" ht="18" x14ac:dyDescent="0.3">
      <c r="A47" s="6">
        <v>15</v>
      </c>
      <c r="B47" s="6" t="s">
        <v>70</v>
      </c>
      <c r="C47" s="7" t="s">
        <v>7</v>
      </c>
      <c r="D47" s="6" t="s">
        <v>423</v>
      </c>
      <c r="E47" s="101">
        <f>Individual!C129*10</f>
        <v>7985.1851851851843</v>
      </c>
      <c r="F47" s="6">
        <f t="shared" ref="F47" si="7">E47+(E47*5%)</f>
        <v>8384.4444444444434</v>
      </c>
      <c r="G47" s="6">
        <f t="shared" ref="G47" si="8">(E47*1.08)*1.12</f>
        <v>9658.880000000001</v>
      </c>
      <c r="H47" s="6">
        <f>(E47*1.15)*1.12</f>
        <v>10284.918518518518</v>
      </c>
    </row>
    <row r="48" spans="1:9" ht="18" x14ac:dyDescent="0.3">
      <c r="C48" s="10"/>
      <c r="D48" s="10"/>
      <c r="E48" s="31">
        <f>E39+E42+E43+E44+E47</f>
        <v>117397.04959196484</v>
      </c>
      <c r="F48" s="31">
        <f t="shared" ref="F48:H48" si="9">F39+F42+F43+F44+F47</f>
        <v>136196.39207156311</v>
      </c>
      <c r="G48" s="31">
        <f t="shared" si="9"/>
        <v>142003.47118644073</v>
      </c>
      <c r="H48" s="31">
        <f t="shared" si="9"/>
        <v>151207.39987445073</v>
      </c>
    </row>
    <row r="49" spans="1:13" ht="18" x14ac:dyDescent="0.3">
      <c r="C49" s="10"/>
      <c r="D49" s="10"/>
      <c r="E49" s="31"/>
      <c r="F49" s="31"/>
      <c r="G49" s="31"/>
      <c r="H49" s="31"/>
    </row>
    <row r="50" spans="1:13" ht="18" x14ac:dyDescent="0.3">
      <c r="C50" s="10"/>
      <c r="D50" s="10"/>
      <c r="E50" s="31"/>
      <c r="F50" s="31"/>
      <c r="G50" s="31"/>
      <c r="H50" s="31"/>
    </row>
    <row r="51" spans="1:13" ht="18" x14ac:dyDescent="0.3">
      <c r="C51" s="10"/>
      <c r="D51" s="10"/>
      <c r="E51" s="31"/>
      <c r="F51" s="31"/>
      <c r="G51" s="31"/>
      <c r="H51" s="31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6:M61"/>
  <sheetViews>
    <sheetView topLeftCell="A28" zoomScale="85" zoomScaleNormal="85" workbookViewId="0">
      <selection activeCell="E39" sqref="E39"/>
    </sheetView>
  </sheetViews>
  <sheetFormatPr defaultColWidth="9.109375" defaultRowHeight="14.4" x14ac:dyDescent="0.3"/>
  <cols>
    <col min="1" max="1" width="5.33203125" style="93" customWidth="1"/>
    <col min="2" max="2" width="23" style="93" customWidth="1"/>
    <col min="3" max="3" width="50.33203125" style="93" customWidth="1"/>
    <col min="4" max="4" width="8" style="93" customWidth="1"/>
    <col min="5" max="5" width="9.88671875" style="93" bestFit="1" customWidth="1"/>
    <col min="6" max="6" width="10.88671875" style="93" bestFit="1" customWidth="1"/>
    <col min="7" max="7" width="10.88671875" style="93" customWidth="1"/>
    <col min="8" max="8" width="12.5546875" style="93" bestFit="1" customWidth="1"/>
    <col min="9" max="9" width="9.109375" style="93"/>
    <col min="10" max="10" width="10.44140625" style="93" customWidth="1"/>
    <col min="11" max="16384" width="9.109375" style="93"/>
  </cols>
  <sheetData>
    <row r="16" spans="2:2" x14ac:dyDescent="0.3">
      <c r="B16" s="12" t="s">
        <v>31</v>
      </c>
    </row>
    <row r="18" spans="1:10" x14ac:dyDescent="0.3">
      <c r="B18" s="177"/>
      <c r="C18" s="177"/>
    </row>
    <row r="19" spans="1:10" x14ac:dyDescent="0.3">
      <c r="B19" s="177"/>
      <c r="C19" s="177"/>
    </row>
    <row r="20" spans="1:10" x14ac:dyDescent="0.3">
      <c r="B20" s="177"/>
      <c r="C20" s="177"/>
    </row>
    <row r="21" spans="1:10" x14ac:dyDescent="0.3">
      <c r="B21" s="177"/>
      <c r="C21" s="177"/>
    </row>
    <row r="22" spans="1:10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10" ht="18" x14ac:dyDescent="0.3">
      <c r="A23" s="180" t="s">
        <v>414</v>
      </c>
      <c r="B23" s="181"/>
      <c r="C23" s="181"/>
      <c r="D23" s="181"/>
      <c r="E23" s="181"/>
      <c r="F23" s="181"/>
      <c r="G23" s="181"/>
      <c r="H23" s="181"/>
      <c r="J23" s="6"/>
    </row>
    <row r="24" spans="1:10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10" x14ac:dyDescent="0.3">
      <c r="A25" s="6">
        <v>1</v>
      </c>
      <c r="B25" s="7" t="s">
        <v>4</v>
      </c>
      <c r="C25" s="7" t="s">
        <v>190</v>
      </c>
      <c r="D25" s="6" t="s">
        <v>18</v>
      </c>
      <c r="E25" s="6">
        <f>Individual!C8*4</f>
        <v>36180</v>
      </c>
      <c r="F25" s="6">
        <f t="shared" ref="F25:F32" si="0">(E25*1.05)*1.12</f>
        <v>42547.680000000008</v>
      </c>
      <c r="G25" s="6">
        <f t="shared" ref="G25:G32" si="1">(E25*1.08)*1.12</f>
        <v>43763.328000000009</v>
      </c>
      <c r="H25" s="6">
        <f>(E25*1.15)*1.12</f>
        <v>46599.840000000004</v>
      </c>
    </row>
    <row r="26" spans="1:10" x14ac:dyDescent="0.3">
      <c r="A26" s="6">
        <v>2</v>
      </c>
      <c r="B26" s="7" t="s">
        <v>19</v>
      </c>
      <c r="C26" s="7" t="s">
        <v>282</v>
      </c>
      <c r="D26" s="6" t="s">
        <v>5</v>
      </c>
      <c r="E26" s="6">
        <f>Individual!C12</f>
        <v>16000</v>
      </c>
      <c r="F26" s="6">
        <f t="shared" si="0"/>
        <v>18816</v>
      </c>
      <c r="G26" s="6">
        <f t="shared" si="1"/>
        <v>19353.600000000002</v>
      </c>
      <c r="H26" s="6">
        <f t="shared" ref="H26:H32" si="2">(E26*1.15)*1.12</f>
        <v>20608.000000000004</v>
      </c>
    </row>
    <row r="27" spans="1:10" ht="28.8" x14ac:dyDescent="0.3">
      <c r="A27" s="6">
        <v>3</v>
      </c>
      <c r="B27" s="7" t="s">
        <v>6</v>
      </c>
      <c r="C27" s="7" t="s">
        <v>283</v>
      </c>
      <c r="D27" s="6" t="s">
        <v>5</v>
      </c>
      <c r="E27" s="6">
        <f>Individual!K5</f>
        <v>12950</v>
      </c>
      <c r="F27" s="6">
        <f t="shared" si="0"/>
        <v>15229.2</v>
      </c>
      <c r="G27" s="6">
        <f t="shared" si="1"/>
        <v>15664.320000000003</v>
      </c>
      <c r="H27" s="6">
        <f t="shared" si="2"/>
        <v>16679.599999999999</v>
      </c>
    </row>
    <row r="28" spans="1:10" x14ac:dyDescent="0.3">
      <c r="A28" s="6">
        <v>4</v>
      </c>
      <c r="B28" s="7" t="s">
        <v>267</v>
      </c>
      <c r="C28" s="7" t="s">
        <v>8</v>
      </c>
      <c r="D28" s="6" t="s">
        <v>22</v>
      </c>
      <c r="E28" s="6">
        <f>Individual!C59*30</f>
        <v>1050</v>
      </c>
      <c r="F28" s="6">
        <f t="shared" si="0"/>
        <v>1234.8000000000002</v>
      </c>
      <c r="G28" s="6">
        <f t="shared" si="1"/>
        <v>1270.0800000000002</v>
      </c>
      <c r="H28" s="6">
        <f t="shared" si="2"/>
        <v>1352.4</v>
      </c>
    </row>
    <row r="29" spans="1:10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3812.48</v>
      </c>
    </row>
    <row r="30" spans="1:10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4508</v>
      </c>
    </row>
    <row r="31" spans="1:10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Individual!C138</f>
        <v>5000</v>
      </c>
      <c r="F31" s="6">
        <f t="shared" si="0"/>
        <v>5880.0000000000009</v>
      </c>
      <c r="G31" s="6">
        <f t="shared" si="1"/>
        <v>6048.0000000000009</v>
      </c>
      <c r="H31" s="6">
        <f t="shared" si="2"/>
        <v>6440.0000000000009</v>
      </c>
    </row>
    <row r="32" spans="1:10" x14ac:dyDescent="0.3">
      <c r="A32" s="6">
        <v>8</v>
      </c>
      <c r="B32" s="92" t="s">
        <v>13</v>
      </c>
      <c r="C32" s="7" t="s">
        <v>12</v>
      </c>
      <c r="D32" s="6" t="s">
        <v>10</v>
      </c>
      <c r="E32" s="6">
        <f>Individual!C145</f>
        <v>4000</v>
      </c>
      <c r="F32" s="6">
        <f t="shared" si="0"/>
        <v>4704</v>
      </c>
      <c r="G32" s="6">
        <f t="shared" si="1"/>
        <v>4838.4000000000005</v>
      </c>
      <c r="H32" s="6">
        <f t="shared" si="2"/>
        <v>5152.0000000000009</v>
      </c>
    </row>
    <row r="33" spans="1:8" ht="18" x14ac:dyDescent="0.3">
      <c r="A33" s="6"/>
      <c r="B33" s="6"/>
      <c r="C33" s="6" t="s">
        <v>14</v>
      </c>
      <c r="D33" s="6"/>
      <c r="E33" s="88">
        <f>SUM(E25:E32)</f>
        <v>81640</v>
      </c>
      <c r="F33" s="88">
        <f>SUM(F25:F32)</f>
        <v>96008.640000000014</v>
      </c>
      <c r="G33" s="88">
        <f>SUM(G25:G32)</f>
        <v>98751.744000000021</v>
      </c>
      <c r="H33" s="88">
        <f>SUM(H25:H32)</f>
        <v>105152.31999999999</v>
      </c>
    </row>
    <row r="35" spans="1:8" ht="28.8" x14ac:dyDescent="0.3">
      <c r="A35" s="6">
        <v>9</v>
      </c>
      <c r="B35" s="7" t="s">
        <v>20</v>
      </c>
      <c r="C35" s="7" t="s">
        <v>409</v>
      </c>
      <c r="D35" s="6" t="s">
        <v>5</v>
      </c>
      <c r="E35" s="6">
        <f>Individual!K33</f>
        <v>15000</v>
      </c>
      <c r="F35" s="6">
        <f>(E35*1.05)*1.12</f>
        <v>17640</v>
      </c>
      <c r="G35" s="6">
        <f>(E35*1.08)*1.12</f>
        <v>18144.000000000004</v>
      </c>
      <c r="H35" s="6">
        <f>(E35*1.15)*1.12</f>
        <v>19320.000000000004</v>
      </c>
    </row>
    <row r="36" spans="1:8" ht="18" x14ac:dyDescent="0.3">
      <c r="A36" s="10"/>
      <c r="B36" s="11"/>
      <c r="C36" s="6" t="s">
        <v>14</v>
      </c>
      <c r="D36" s="6"/>
      <c r="E36" s="88">
        <f>SUM(E33:E35)</f>
        <v>96640</v>
      </c>
      <c r="F36" s="88">
        <f t="shared" ref="F36" si="3">SUM(F33:F35)</f>
        <v>113648.64000000001</v>
      </c>
      <c r="G36" s="88">
        <f>SUM(G33:G35)</f>
        <v>116895.74400000002</v>
      </c>
      <c r="H36" s="88">
        <f>SUM(H33:H35)</f>
        <v>124472.31999999999</v>
      </c>
    </row>
    <row r="37" spans="1:8" x14ac:dyDescent="0.3">
      <c r="B37" s="93" t="s">
        <v>23</v>
      </c>
    </row>
    <row r="38" spans="1:8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(E38*1.15)*1.12</f>
        <v>8983.7999999999993</v>
      </c>
    </row>
    <row r="39" spans="1:8" ht="18" x14ac:dyDescent="0.3">
      <c r="C39" s="6" t="s">
        <v>14</v>
      </c>
      <c r="D39" s="6"/>
      <c r="E39" s="88">
        <f>SUM(E36:E38)</f>
        <v>103615</v>
      </c>
      <c r="F39" s="88">
        <f>SUM(F36:F38)</f>
        <v>121851.24000000002</v>
      </c>
      <c r="G39" s="88">
        <f>SUM(G36:G38)</f>
        <v>125332.70400000003</v>
      </c>
      <c r="H39" s="88">
        <f>SUM(H36:H38)</f>
        <v>133456.12</v>
      </c>
    </row>
    <row r="40" spans="1:8" x14ac:dyDescent="0.3">
      <c r="B40" s="93" t="s">
        <v>23</v>
      </c>
    </row>
    <row r="41" spans="1:8" x14ac:dyDescent="0.3">
      <c r="A41" s="6">
        <v>11</v>
      </c>
      <c r="B41" s="6" t="s">
        <v>310</v>
      </c>
      <c r="C41" s="7" t="s">
        <v>7</v>
      </c>
      <c r="D41" s="6" t="s">
        <v>30</v>
      </c>
      <c r="E41" s="6">
        <f>Individual!C94*40</f>
        <v>5766.6666666666679</v>
      </c>
      <c r="F41" s="6">
        <f t="shared" ref="F41:F44" si="4">(E41*1.05)*1.12</f>
        <v>6781.6000000000031</v>
      </c>
      <c r="G41" s="6">
        <f t="shared" ref="G41:G44" si="5">(E41*1.08)*1.12</f>
        <v>6975.3600000000024</v>
      </c>
      <c r="H41" s="6">
        <f>(E41*1.15)*1.12</f>
        <v>7427.466666666669</v>
      </c>
    </row>
    <row r="42" spans="1:8" x14ac:dyDescent="0.3">
      <c r="A42" s="6">
        <v>12</v>
      </c>
      <c r="B42" s="6" t="s">
        <v>25</v>
      </c>
      <c r="C42" s="7" t="s">
        <v>7</v>
      </c>
      <c r="D42" s="6" t="s">
        <v>304</v>
      </c>
      <c r="E42" s="6">
        <f>Individual!C69*50</f>
        <v>3389.8305084745766</v>
      </c>
      <c r="F42" s="6">
        <f t="shared" si="4"/>
        <v>3986.4406779661026</v>
      </c>
      <c r="G42" s="6">
        <f t="shared" si="5"/>
        <v>4100.3389830508486</v>
      </c>
      <c r="H42" s="6">
        <f t="shared" ref="H42:H44" si="6">(E42*1.15)*1.12</f>
        <v>4366.1016949152554</v>
      </c>
    </row>
    <row r="43" spans="1:8" x14ac:dyDescent="0.3">
      <c r="A43" s="6">
        <v>13</v>
      </c>
      <c r="B43" s="7" t="s">
        <v>26</v>
      </c>
      <c r="C43" s="7" t="s">
        <v>7</v>
      </c>
      <c r="D43" s="6" t="s">
        <v>304</v>
      </c>
      <c r="E43" s="6">
        <f>Individual!C74*50</f>
        <v>1100</v>
      </c>
      <c r="F43" s="6">
        <f t="shared" si="4"/>
        <v>1293.6000000000001</v>
      </c>
      <c r="G43" s="6">
        <f t="shared" si="5"/>
        <v>1330.5600000000002</v>
      </c>
      <c r="H43" s="6">
        <f t="shared" si="6"/>
        <v>1416.8000000000002</v>
      </c>
    </row>
    <row r="44" spans="1:8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Individual!C79</f>
        <v>2280</v>
      </c>
      <c r="F44" s="6">
        <f t="shared" si="4"/>
        <v>2681.28</v>
      </c>
      <c r="G44" s="6">
        <f t="shared" si="5"/>
        <v>2757.8880000000004</v>
      </c>
      <c r="H44" s="6">
        <f t="shared" si="6"/>
        <v>2936.6400000000003</v>
      </c>
    </row>
    <row r="45" spans="1:8" ht="18" x14ac:dyDescent="0.3">
      <c r="C45" s="6" t="s">
        <v>14</v>
      </c>
      <c r="D45" s="6"/>
      <c r="E45" s="88">
        <f>SUM(E39:E44)</f>
        <v>116151.49717514125</v>
      </c>
      <c r="F45" s="88">
        <f>SUM(F39:F44)</f>
        <v>136594.16067796614</v>
      </c>
      <c r="G45" s="88">
        <f>SUM(G39:G44)</f>
        <v>140496.85098305088</v>
      </c>
      <c r="H45" s="88">
        <f>SUM(H39:H44)</f>
        <v>149603.12836158194</v>
      </c>
    </row>
    <row r="46" spans="1:8" ht="18" x14ac:dyDescent="0.3">
      <c r="C46" s="10"/>
      <c r="D46" s="10"/>
      <c r="E46" s="31"/>
      <c r="F46" s="31"/>
      <c r="G46" s="31"/>
      <c r="H46" s="31"/>
    </row>
    <row r="47" spans="1:8" ht="18" x14ac:dyDescent="0.3">
      <c r="A47" s="6">
        <v>15</v>
      </c>
      <c r="B47" s="6" t="s">
        <v>70</v>
      </c>
      <c r="C47" s="7" t="s">
        <v>7</v>
      </c>
      <c r="D47" s="6" t="s">
        <v>410</v>
      </c>
      <c r="E47" s="101">
        <f>Individual!C123*13</f>
        <v>7973.3333333333321</v>
      </c>
      <c r="F47" s="6">
        <f t="shared" ref="F47" si="7">(E47*1.05)*1.12</f>
        <v>9376.64</v>
      </c>
      <c r="G47" s="6">
        <f t="shared" ref="G47" si="8">(E47*1.08)*1.12</f>
        <v>9644.5439999999999</v>
      </c>
      <c r="H47" s="6">
        <f>(E47*1.15)*1.12</f>
        <v>10269.653333333334</v>
      </c>
    </row>
    <row r="48" spans="1:8" ht="18" x14ac:dyDescent="0.3">
      <c r="C48" s="10"/>
      <c r="D48" s="10"/>
      <c r="E48" s="31">
        <f>E39+E42+E43+E44+E47</f>
        <v>118358.16384180791</v>
      </c>
      <c r="F48" s="31">
        <f>F39+F42+F43+F44+F47</f>
        <v>139189.20067796612</v>
      </c>
      <c r="G48" s="31">
        <f t="shared" ref="G48" si="9">G39+G42+G43+G44+G47</f>
        <v>143166.03498305086</v>
      </c>
      <c r="H48" s="31">
        <f>H39+H42+H43+H44+H47</f>
        <v>152445.31502824859</v>
      </c>
    </row>
    <row r="49" spans="1:13" ht="18" x14ac:dyDescent="0.3">
      <c r="C49" s="10"/>
      <c r="D49" s="10"/>
      <c r="E49" s="31"/>
      <c r="F49" s="31"/>
      <c r="G49" s="31"/>
      <c r="H49" s="31"/>
    </row>
    <row r="50" spans="1:13" ht="18" x14ac:dyDescent="0.3">
      <c r="C50" s="10"/>
      <c r="D50" s="10"/>
      <c r="E50" s="31"/>
      <c r="F50" s="31"/>
      <c r="G50" s="31"/>
      <c r="H50" s="31"/>
    </row>
    <row r="51" spans="1:13" ht="18" x14ac:dyDescent="0.3">
      <c r="C51" s="10"/>
      <c r="D51" s="10"/>
      <c r="E51" s="31"/>
      <c r="F51" s="31"/>
      <c r="G51" s="31"/>
      <c r="H51" s="31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6:M61"/>
  <sheetViews>
    <sheetView topLeftCell="A29" zoomScale="85" zoomScaleNormal="85" workbookViewId="0">
      <selection activeCell="I45" sqref="I45"/>
    </sheetView>
  </sheetViews>
  <sheetFormatPr defaultColWidth="9.109375" defaultRowHeight="14.4" x14ac:dyDescent="0.3"/>
  <cols>
    <col min="1" max="1" width="5.33203125" style="96" customWidth="1"/>
    <col min="2" max="2" width="23" style="96" customWidth="1"/>
    <col min="3" max="3" width="50.33203125" style="96" customWidth="1"/>
    <col min="4" max="4" width="8" style="96" customWidth="1"/>
    <col min="5" max="5" width="9.88671875" style="96" bestFit="1" customWidth="1"/>
    <col min="6" max="6" width="10.88671875" style="96" bestFit="1" customWidth="1"/>
    <col min="7" max="7" width="10.88671875" style="96" customWidth="1"/>
    <col min="8" max="8" width="12.5546875" style="96" bestFit="1" customWidth="1"/>
    <col min="9" max="9" width="9.109375" style="96"/>
    <col min="10" max="10" width="10.44140625" style="96" customWidth="1"/>
    <col min="11" max="16384" width="9.109375" style="96"/>
  </cols>
  <sheetData>
    <row r="16" spans="2:2" x14ac:dyDescent="0.3">
      <c r="B16" s="12" t="s">
        <v>31</v>
      </c>
    </row>
    <row r="18" spans="1:8" x14ac:dyDescent="0.3">
      <c r="B18" s="177"/>
      <c r="C18" s="177"/>
    </row>
    <row r="19" spans="1:8" x14ac:dyDescent="0.3">
      <c r="B19" s="177"/>
      <c r="C19" s="177"/>
    </row>
    <row r="20" spans="1:8" x14ac:dyDescent="0.3">
      <c r="B20" s="177"/>
      <c r="C20" s="177"/>
    </row>
    <row r="21" spans="1:8" x14ac:dyDescent="0.3">
      <c r="B21" s="177"/>
      <c r="C21" s="177"/>
    </row>
    <row r="22" spans="1:8" ht="15" customHeight="1" x14ac:dyDescent="0.3">
      <c r="A22" s="178" t="s">
        <v>17</v>
      </c>
      <c r="B22" s="179"/>
      <c r="C22" s="179"/>
      <c r="D22" s="179"/>
      <c r="E22" s="179"/>
      <c r="F22" s="179"/>
      <c r="G22" s="179"/>
      <c r="H22" s="179"/>
    </row>
    <row r="23" spans="1:8" ht="18" x14ac:dyDescent="0.3">
      <c r="A23" s="180" t="s">
        <v>416</v>
      </c>
      <c r="B23" s="181"/>
      <c r="C23" s="181"/>
      <c r="D23" s="181"/>
      <c r="E23" s="181"/>
      <c r="F23" s="181"/>
      <c r="G23" s="181"/>
      <c r="H23" s="181"/>
    </row>
    <row r="24" spans="1:8" ht="31.2" x14ac:dyDescent="0.3">
      <c r="A24" s="2" t="s">
        <v>0</v>
      </c>
      <c r="B24" s="3" t="s">
        <v>1</v>
      </c>
      <c r="C24" s="3" t="s">
        <v>2</v>
      </c>
      <c r="D24" s="3" t="s">
        <v>3</v>
      </c>
      <c r="E24" s="3" t="s">
        <v>12</v>
      </c>
      <c r="F24" s="4" t="s">
        <v>16</v>
      </c>
      <c r="G24" s="89" t="s">
        <v>135</v>
      </c>
      <c r="H24" s="5" t="s">
        <v>29</v>
      </c>
    </row>
    <row r="25" spans="1:8" x14ac:dyDescent="0.3">
      <c r="A25" s="6">
        <v>1</v>
      </c>
      <c r="B25" s="7" t="s">
        <v>4</v>
      </c>
      <c r="C25" s="7" t="s">
        <v>190</v>
      </c>
      <c r="D25" s="6" t="s">
        <v>18</v>
      </c>
      <c r="E25" s="6">
        <f>Individual!C8*4</f>
        <v>36180</v>
      </c>
      <c r="F25" s="6">
        <f t="shared" ref="F25:F32" si="0">(E25*1.05)*1.12</f>
        <v>42547.680000000008</v>
      </c>
      <c r="G25" s="6">
        <f t="shared" ref="G25:G32" si="1">(E25*1.08)*1.12</f>
        <v>43763.328000000009</v>
      </c>
      <c r="H25" s="6">
        <f>(E25*1.15)*1.12</f>
        <v>46599.840000000004</v>
      </c>
    </row>
    <row r="26" spans="1:8" x14ac:dyDescent="0.3">
      <c r="A26" s="6">
        <v>2</v>
      </c>
      <c r="B26" s="7" t="s">
        <v>19</v>
      </c>
      <c r="C26" s="7" t="s">
        <v>282</v>
      </c>
      <c r="D26" s="6" t="s">
        <v>5</v>
      </c>
      <c r="E26" s="6">
        <f>Individual!C12</f>
        <v>16000</v>
      </c>
      <c r="F26" s="6">
        <f t="shared" si="0"/>
        <v>18816</v>
      </c>
      <c r="G26" s="6">
        <f t="shared" si="1"/>
        <v>19353.600000000002</v>
      </c>
      <c r="H26" s="6">
        <f t="shared" ref="H26:H32" si="2">(E26*1.15)*1.12</f>
        <v>20608.000000000004</v>
      </c>
    </row>
    <row r="27" spans="1:8" ht="28.8" x14ac:dyDescent="0.3">
      <c r="A27" s="6">
        <v>3</v>
      </c>
      <c r="B27" s="7" t="s">
        <v>6</v>
      </c>
      <c r="C27" s="7" t="s">
        <v>283</v>
      </c>
      <c r="D27" s="6" t="s">
        <v>5</v>
      </c>
      <c r="E27" s="6">
        <f>Individual!K5</f>
        <v>12950</v>
      </c>
      <c r="F27" s="6">
        <f t="shared" si="0"/>
        <v>15229.2</v>
      </c>
      <c r="G27" s="6">
        <f t="shared" si="1"/>
        <v>15664.320000000003</v>
      </c>
      <c r="H27" s="6">
        <f t="shared" si="2"/>
        <v>16679.599999999999</v>
      </c>
    </row>
    <row r="28" spans="1:8" x14ac:dyDescent="0.3">
      <c r="A28" s="6">
        <v>4</v>
      </c>
      <c r="B28" s="7" t="s">
        <v>267</v>
      </c>
      <c r="C28" s="7" t="s">
        <v>8</v>
      </c>
      <c r="D28" s="6" t="s">
        <v>22</v>
      </c>
      <c r="E28" s="6">
        <f>Individual!C59*30</f>
        <v>1050</v>
      </c>
      <c r="F28" s="6">
        <f t="shared" si="0"/>
        <v>1234.8000000000002</v>
      </c>
      <c r="G28" s="6">
        <f t="shared" si="1"/>
        <v>1270.0800000000002</v>
      </c>
      <c r="H28" s="6">
        <f t="shared" si="2"/>
        <v>1352.4</v>
      </c>
    </row>
    <row r="29" spans="1:8" ht="28.8" x14ac:dyDescent="0.3">
      <c r="A29" s="6">
        <v>5</v>
      </c>
      <c r="B29" s="7" t="s">
        <v>268</v>
      </c>
      <c r="C29" s="7" t="s">
        <v>270</v>
      </c>
      <c r="D29" s="6" t="s">
        <v>269</v>
      </c>
      <c r="E29" s="6">
        <f>Individual!C62*1</f>
        <v>2960</v>
      </c>
      <c r="F29" s="6">
        <f t="shared" si="0"/>
        <v>3480.9600000000005</v>
      </c>
      <c r="G29" s="6">
        <f t="shared" si="1"/>
        <v>3580.4160000000006</v>
      </c>
      <c r="H29" s="6">
        <f t="shared" si="2"/>
        <v>3812.48</v>
      </c>
    </row>
    <row r="30" spans="1:8" x14ac:dyDescent="0.3">
      <c r="A30" s="6">
        <v>6</v>
      </c>
      <c r="B30" s="7" t="s">
        <v>9</v>
      </c>
      <c r="C30" s="7" t="s">
        <v>7</v>
      </c>
      <c r="D30" s="6" t="s">
        <v>10</v>
      </c>
      <c r="E30" s="6">
        <f>Individual!C64</f>
        <v>3500</v>
      </c>
      <c r="F30" s="6">
        <f t="shared" si="0"/>
        <v>4116</v>
      </c>
      <c r="G30" s="6">
        <f t="shared" si="1"/>
        <v>4233.6000000000013</v>
      </c>
      <c r="H30" s="6">
        <f t="shared" si="2"/>
        <v>4508</v>
      </c>
    </row>
    <row r="31" spans="1:8" x14ac:dyDescent="0.3">
      <c r="A31" s="6">
        <v>7</v>
      </c>
      <c r="B31" s="7" t="s">
        <v>11</v>
      </c>
      <c r="C31" s="7" t="s">
        <v>12</v>
      </c>
      <c r="D31" s="6" t="s">
        <v>10</v>
      </c>
      <c r="E31" s="6">
        <f>Individual!C138</f>
        <v>5000</v>
      </c>
      <c r="F31" s="6">
        <f t="shared" si="0"/>
        <v>5880.0000000000009</v>
      </c>
      <c r="G31" s="6">
        <f t="shared" si="1"/>
        <v>6048.0000000000009</v>
      </c>
      <c r="H31" s="6">
        <f t="shared" si="2"/>
        <v>6440.0000000000009</v>
      </c>
    </row>
    <row r="32" spans="1:8" x14ac:dyDescent="0.3">
      <c r="A32" s="6">
        <v>8</v>
      </c>
      <c r="B32" s="97" t="s">
        <v>13</v>
      </c>
      <c r="C32" s="7" t="s">
        <v>12</v>
      </c>
      <c r="D32" s="6" t="s">
        <v>10</v>
      </c>
      <c r="E32" s="6">
        <f>Individual!C145</f>
        <v>4000</v>
      </c>
      <c r="F32" s="6">
        <f t="shared" si="0"/>
        <v>4704</v>
      </c>
      <c r="G32" s="6">
        <f t="shared" si="1"/>
        <v>4838.4000000000005</v>
      </c>
      <c r="H32" s="6">
        <f t="shared" si="2"/>
        <v>5152.0000000000009</v>
      </c>
    </row>
    <row r="33" spans="1:9" ht="18" x14ac:dyDescent="0.3">
      <c r="A33" s="6"/>
      <c r="B33" s="6"/>
      <c r="C33" s="6" t="s">
        <v>14</v>
      </c>
      <c r="D33" s="6"/>
      <c r="E33" s="88">
        <f>SUM(E25:E32)</f>
        <v>81640</v>
      </c>
      <c r="F33" s="88">
        <f>SUM(F25:F32)</f>
        <v>96008.640000000014</v>
      </c>
      <c r="G33" s="88">
        <f>SUM(G25:G32)</f>
        <v>98751.744000000021</v>
      </c>
      <c r="H33" s="88">
        <f>SUM(H25:H32)</f>
        <v>105152.31999999999</v>
      </c>
    </row>
    <row r="35" spans="1:9" ht="28.8" x14ac:dyDescent="0.3">
      <c r="A35" s="6">
        <v>9</v>
      </c>
      <c r="B35" s="7" t="s">
        <v>20</v>
      </c>
      <c r="C35" s="7" t="s">
        <v>417</v>
      </c>
      <c r="D35" s="6" t="s">
        <v>5</v>
      </c>
      <c r="E35" s="6">
        <f>Individual!K34</f>
        <v>19500</v>
      </c>
      <c r="F35" s="6">
        <f>(E35*1.05)*1.12</f>
        <v>22932.000000000004</v>
      </c>
      <c r="G35" s="6">
        <f>(E35*1.08)*1.12</f>
        <v>23587.200000000001</v>
      </c>
      <c r="H35" s="6">
        <f>(E35*1.15)*1.12</f>
        <v>25116.000000000004</v>
      </c>
    </row>
    <row r="36" spans="1:9" ht="18" x14ac:dyDescent="0.3">
      <c r="A36" s="10"/>
      <c r="B36" s="11"/>
      <c r="C36" s="6" t="s">
        <v>14</v>
      </c>
      <c r="D36" s="6"/>
      <c r="E36" s="88">
        <f>SUM(E33:E35)</f>
        <v>101140</v>
      </c>
      <c r="F36" s="88">
        <f t="shared" ref="F36" si="3">SUM(F33:F35)</f>
        <v>118940.64000000001</v>
      </c>
      <c r="G36" s="88">
        <f>SUM(G33:G35)</f>
        <v>122338.94400000002</v>
      </c>
      <c r="H36" s="88">
        <f>SUM(H33:H35)</f>
        <v>130268.31999999999</v>
      </c>
    </row>
    <row r="37" spans="1:9" x14ac:dyDescent="0.3">
      <c r="B37" s="96" t="s">
        <v>23</v>
      </c>
    </row>
    <row r="38" spans="1:9" ht="43.2" x14ac:dyDescent="0.3">
      <c r="A38" s="6">
        <v>10</v>
      </c>
      <c r="B38" s="6" t="s">
        <v>24</v>
      </c>
      <c r="C38" s="7" t="s">
        <v>274</v>
      </c>
      <c r="D38" s="6" t="s">
        <v>266</v>
      </c>
      <c r="E38" s="6">
        <f>Individual!C67</f>
        <v>6975</v>
      </c>
      <c r="F38" s="6">
        <f>(E38*1.05)*1.12</f>
        <v>8202.6</v>
      </c>
      <c r="G38" s="6">
        <f>(E38*1.08)*1.12</f>
        <v>8436.9600000000009</v>
      </c>
      <c r="H38" s="6">
        <f>(E38*1.15)*1.12</f>
        <v>8983.7999999999993</v>
      </c>
    </row>
    <row r="39" spans="1:9" ht="18" x14ac:dyDescent="0.3">
      <c r="C39" s="6" t="s">
        <v>14</v>
      </c>
      <c r="D39" s="6"/>
      <c r="E39" s="88">
        <f>SUM(E36:E38)</f>
        <v>108115</v>
      </c>
      <c r="F39" s="88">
        <f>SUM(F36:F38)</f>
        <v>127143.24000000002</v>
      </c>
      <c r="G39" s="88">
        <f>SUM(G36:G38)</f>
        <v>130775.90400000002</v>
      </c>
      <c r="H39" s="88">
        <f>SUM(H36:H38)</f>
        <v>139252.12</v>
      </c>
    </row>
    <row r="40" spans="1:9" x14ac:dyDescent="0.3">
      <c r="B40" s="96" t="s">
        <v>23</v>
      </c>
    </row>
    <row r="41" spans="1:9" x14ac:dyDescent="0.3">
      <c r="A41" s="6">
        <v>11</v>
      </c>
      <c r="B41" s="6" t="s">
        <v>303</v>
      </c>
      <c r="C41" s="7" t="s">
        <v>7</v>
      </c>
      <c r="D41" s="6" t="s">
        <v>306</v>
      </c>
      <c r="E41" s="6">
        <f>Individual!C90*90</f>
        <v>8250</v>
      </c>
      <c r="F41" s="6">
        <f t="shared" ref="F41:F44" si="4">(E41*1.05)*1.12</f>
        <v>9702.0000000000018</v>
      </c>
      <c r="G41" s="6">
        <f t="shared" ref="G41:G44" si="5">(E41*1.08)*1.12</f>
        <v>9979.2000000000007</v>
      </c>
      <c r="H41" s="6">
        <f t="shared" ref="H41:H44" si="6">(E41*1.15)*1.12</f>
        <v>10626.000000000002</v>
      </c>
    </row>
    <row r="42" spans="1:9" x14ac:dyDescent="0.3">
      <c r="A42" s="6">
        <v>12</v>
      </c>
      <c r="B42" s="6" t="s">
        <v>25</v>
      </c>
      <c r="C42" s="7" t="s">
        <v>7</v>
      </c>
      <c r="D42" s="6" t="s">
        <v>307</v>
      </c>
      <c r="E42" s="6">
        <f>Individual!C69*100</f>
        <v>6779.6610169491532</v>
      </c>
      <c r="F42" s="6">
        <f t="shared" si="4"/>
        <v>7972.8813559322052</v>
      </c>
      <c r="G42" s="6">
        <f t="shared" si="5"/>
        <v>8200.6779661016972</v>
      </c>
      <c r="H42" s="6">
        <f t="shared" si="6"/>
        <v>8732.2033898305108</v>
      </c>
    </row>
    <row r="43" spans="1:9" x14ac:dyDescent="0.3">
      <c r="A43" s="6">
        <v>13</v>
      </c>
      <c r="B43" s="7" t="s">
        <v>26</v>
      </c>
      <c r="C43" s="7" t="s">
        <v>7</v>
      </c>
      <c r="D43" s="6" t="s">
        <v>307</v>
      </c>
      <c r="E43" s="6">
        <f>Individual!C74*100</f>
        <v>2200</v>
      </c>
      <c r="F43" s="6">
        <f t="shared" si="4"/>
        <v>2587.2000000000003</v>
      </c>
      <c r="G43" s="6">
        <f t="shared" si="5"/>
        <v>2661.1200000000003</v>
      </c>
      <c r="H43" s="6">
        <f t="shared" si="6"/>
        <v>2833.6000000000004</v>
      </c>
    </row>
    <row r="44" spans="1:9" x14ac:dyDescent="0.3">
      <c r="A44" s="6">
        <v>14</v>
      </c>
      <c r="B44" s="7" t="s">
        <v>27</v>
      </c>
      <c r="C44" s="7" t="s">
        <v>7</v>
      </c>
      <c r="D44" s="6" t="s">
        <v>5</v>
      </c>
      <c r="E44" s="6">
        <f>Individual!C78</f>
        <v>1952</v>
      </c>
      <c r="F44" s="6">
        <f t="shared" si="4"/>
        <v>2295.5520000000001</v>
      </c>
      <c r="G44" s="6">
        <f t="shared" si="5"/>
        <v>2361.1392000000005</v>
      </c>
      <c r="H44" s="6">
        <f t="shared" si="6"/>
        <v>2514.1759999999999</v>
      </c>
    </row>
    <row r="45" spans="1:9" ht="18" x14ac:dyDescent="0.3">
      <c r="C45" s="6" t="s">
        <v>14</v>
      </c>
      <c r="D45" s="6"/>
      <c r="E45" s="88">
        <f>SUM(E39:E44)</f>
        <v>127296.66101694915</v>
      </c>
      <c r="F45" s="88">
        <f>SUM(F39:F44)</f>
        <v>149700.87335593224</v>
      </c>
      <c r="G45" s="88">
        <f>SUM(G39:G44)</f>
        <v>153978.04116610173</v>
      </c>
      <c r="H45" s="88">
        <f>SUM(H39:H44)</f>
        <v>163958.09938983052</v>
      </c>
      <c r="I45" s="96">
        <f>E45*1.12-H45</f>
        <v>-21385.839050847455</v>
      </c>
    </row>
    <row r="46" spans="1:9" ht="18" x14ac:dyDescent="0.3">
      <c r="C46" s="10"/>
      <c r="D46" s="10"/>
      <c r="E46" s="31"/>
      <c r="F46" s="31"/>
      <c r="G46" s="31"/>
      <c r="H46" s="31"/>
    </row>
    <row r="47" spans="1:9" ht="18" x14ac:dyDescent="0.3">
      <c r="A47" s="6">
        <v>15</v>
      </c>
      <c r="B47" s="6" t="s">
        <v>70</v>
      </c>
      <c r="C47" s="7" t="s">
        <v>7</v>
      </c>
      <c r="D47" s="6" t="s">
        <v>418</v>
      </c>
      <c r="E47" s="101">
        <f>Individual!C116*30</f>
        <v>16933.333333333332</v>
      </c>
      <c r="F47" s="6">
        <f t="shared" ref="F47" si="7">(E47*1.05)*1.12</f>
        <v>19913.600000000002</v>
      </c>
      <c r="G47" s="6">
        <f t="shared" ref="G47" si="8">(E47*1.08)*1.12</f>
        <v>20482.560000000001</v>
      </c>
      <c r="H47" s="6">
        <f>(E47*1.15)*1.12</f>
        <v>21810.133333333335</v>
      </c>
    </row>
    <row r="48" spans="1:9" ht="18" x14ac:dyDescent="0.3">
      <c r="C48" s="10"/>
      <c r="D48" s="10"/>
      <c r="E48" s="31">
        <f>E39+E42+E43+E44+E47</f>
        <v>135979.99435028248</v>
      </c>
      <c r="F48" s="31">
        <f>F39+F42+F43+F44+F47</f>
        <v>159912.47335593225</v>
      </c>
      <c r="G48" s="31">
        <f t="shared" ref="G48:H48" si="9">G39+G42+G43+G44+G47</f>
        <v>164481.40116610171</v>
      </c>
      <c r="H48" s="31">
        <f t="shared" si="9"/>
        <v>175142.23272316385</v>
      </c>
    </row>
    <row r="49" spans="1:13" ht="18" x14ac:dyDescent="0.3">
      <c r="C49" s="10"/>
      <c r="D49" s="10"/>
      <c r="E49" s="31"/>
      <c r="F49" s="31"/>
      <c r="G49" s="31"/>
      <c r="H49" s="31"/>
    </row>
    <row r="50" spans="1:13" ht="18" x14ac:dyDescent="0.3">
      <c r="C50" s="10"/>
      <c r="D50" s="10"/>
      <c r="E50" s="31"/>
      <c r="F50" s="31"/>
      <c r="G50" s="31"/>
      <c r="H50" s="31"/>
    </row>
    <row r="51" spans="1:13" ht="18" x14ac:dyDescent="0.3">
      <c r="C51" s="10"/>
      <c r="D51" s="10"/>
      <c r="E51" s="31"/>
      <c r="F51" s="31"/>
      <c r="G51" s="31"/>
      <c r="H51" s="31"/>
    </row>
    <row r="52" spans="1:13" ht="18" x14ac:dyDescent="0.3">
      <c r="C52" s="10"/>
      <c r="D52" s="10"/>
      <c r="E52" s="31"/>
      <c r="F52" s="31"/>
      <c r="G52" s="31"/>
      <c r="H52" s="31"/>
    </row>
    <row r="54" spans="1:13" ht="25.8" x14ac:dyDescent="0.5">
      <c r="A54" s="16" t="s">
        <v>33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 s="13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 s="13"/>
      <c r="B56" s="13"/>
      <c r="C56" s="14"/>
      <c r="D56" s="14"/>
      <c r="E56" s="14"/>
      <c r="F56" s="14"/>
      <c r="G56" s="14"/>
      <c r="H56"/>
      <c r="I56"/>
      <c r="J56"/>
      <c r="K56"/>
      <c r="L56"/>
      <c r="M56"/>
    </row>
    <row r="57" spans="1:13" x14ac:dyDescent="0.3">
      <c r="A57" s="15"/>
      <c r="B57" s="15"/>
      <c r="C57" s="14"/>
      <c r="D57" s="14"/>
      <c r="E57" s="14"/>
      <c r="F57" s="14"/>
      <c r="G57" s="14"/>
      <c r="H57"/>
      <c r="I57"/>
      <c r="J57"/>
      <c r="K57"/>
      <c r="L57"/>
      <c r="M57"/>
    </row>
    <row r="58" spans="1:13" ht="22.2" x14ac:dyDescent="0.35">
      <c r="A58" s="182" t="s">
        <v>32</v>
      </c>
      <c r="B58" s="182"/>
      <c r="C58" s="182"/>
      <c r="D58" s="182"/>
      <c r="E58" s="182"/>
      <c r="F58" s="182"/>
      <c r="G58" s="182"/>
      <c r="H58" s="182"/>
      <c r="I58" s="17"/>
      <c r="J58" s="17"/>
      <c r="K58" s="17"/>
      <c r="L58" s="17"/>
      <c r="M58" s="17"/>
    </row>
    <row r="59" spans="1:13" ht="15" customHeight="1" x14ac:dyDescent="0.35">
      <c r="A59" s="183" t="s">
        <v>35</v>
      </c>
      <c r="B59" s="183"/>
      <c r="C59" s="183"/>
      <c r="D59" s="183"/>
      <c r="E59" s="183"/>
      <c r="F59" s="183"/>
      <c r="G59" s="183"/>
      <c r="H59" s="183"/>
      <c r="I59" s="18"/>
      <c r="J59" s="18"/>
      <c r="K59" s="18"/>
      <c r="L59" s="18"/>
      <c r="M59" s="18"/>
    </row>
    <row r="60" spans="1:13" ht="15" customHeight="1" x14ac:dyDescent="0.35">
      <c r="A60" s="183" t="s">
        <v>34</v>
      </c>
      <c r="B60" s="183"/>
      <c r="C60" s="183"/>
      <c r="D60" s="183"/>
      <c r="E60" s="183"/>
      <c r="F60" s="183"/>
      <c r="G60" s="183"/>
      <c r="H60" s="183"/>
      <c r="I60" s="18"/>
      <c r="J60" s="18"/>
      <c r="K60" s="18"/>
      <c r="L60" s="18"/>
      <c r="M60" s="18"/>
    </row>
    <row r="61" spans="1:13" ht="15.6" x14ac:dyDescent="0.3">
      <c r="A61" s="176" t="s">
        <v>36</v>
      </c>
      <c r="B61" s="176"/>
      <c r="C61" s="176"/>
      <c r="D61" s="176"/>
      <c r="E61" s="176"/>
      <c r="F61" s="176"/>
      <c r="G61" s="176"/>
      <c r="H61" s="176"/>
      <c r="I61" s="19"/>
      <c r="J61" s="19"/>
      <c r="K61" s="19"/>
      <c r="L61" s="19"/>
      <c r="M61" s="19"/>
    </row>
  </sheetData>
  <mergeCells count="7">
    <mergeCell ref="A61:H61"/>
    <mergeCell ref="B18:C21"/>
    <mergeCell ref="A22:H22"/>
    <mergeCell ref="A23:H23"/>
    <mergeCell ref="A58:H58"/>
    <mergeCell ref="A59:H59"/>
    <mergeCell ref="A60:H60"/>
  </mergeCells>
  <pageMargins left="0.7" right="0.7" top="0.75" bottom="0.75" header="0.3" footer="0.3"/>
  <pageSetup scale="68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33</vt:i4>
      </vt:variant>
    </vt:vector>
  </HeadingPairs>
  <TitlesOfParts>
    <vt:vector size="72" baseType="lpstr">
      <vt:lpstr>Sheet1</vt:lpstr>
      <vt:lpstr>Individual</vt:lpstr>
      <vt:lpstr>1 to 10 HP Dealer Price</vt:lpstr>
      <vt:lpstr>1 to 10 HP Sub Dealer Price</vt:lpstr>
      <vt:lpstr>1HP -10M (3 pv)</vt:lpstr>
      <vt:lpstr>1HP -10M</vt:lpstr>
      <vt:lpstr>1HP -30 M</vt:lpstr>
      <vt:lpstr>1HP -40M </vt:lpstr>
      <vt:lpstr>1HP -90M  </vt:lpstr>
      <vt:lpstr>2 HP -15M   </vt:lpstr>
      <vt:lpstr>2 HP -20 M </vt:lpstr>
      <vt:lpstr>2 HP -30 M </vt:lpstr>
      <vt:lpstr>2 HP -50 M </vt:lpstr>
      <vt:lpstr>2 HP -90M </vt:lpstr>
      <vt:lpstr>2 HP -150 M</vt:lpstr>
      <vt:lpstr>3 HP -20 M</vt:lpstr>
      <vt:lpstr>3 HP -30M</vt:lpstr>
      <vt:lpstr>3 HP -70M </vt:lpstr>
      <vt:lpstr>3 HP -140M</vt:lpstr>
      <vt:lpstr>3HP -180M </vt:lpstr>
      <vt:lpstr>5HP -40M</vt:lpstr>
      <vt:lpstr>5 HP -65 M</vt:lpstr>
      <vt:lpstr>5 HP -100 M</vt:lpstr>
      <vt:lpstr>5 HP - 200 M</vt:lpstr>
      <vt:lpstr>5 HP -305 </vt:lpstr>
      <vt:lpstr>7.5 HP -30 M</vt:lpstr>
      <vt:lpstr>7.5 HP -80 M</vt:lpstr>
      <vt:lpstr>7.5 HP -150 M </vt:lpstr>
      <vt:lpstr>7.5 HP -200 M</vt:lpstr>
      <vt:lpstr>7.5 HP -300 M </vt:lpstr>
      <vt:lpstr>1 to 10 HP Customer Price</vt:lpstr>
      <vt:lpstr>10 HP - 50 M </vt:lpstr>
      <vt:lpstr>10 HP - 100 M</vt:lpstr>
      <vt:lpstr>10 HP - 200 M</vt:lpstr>
      <vt:lpstr>10 HP - 300 M</vt:lpstr>
      <vt:lpstr>1 HP TO 10HP PRICE</vt:lpstr>
      <vt:lpstr>1.5HP - 1PHASE</vt:lpstr>
      <vt:lpstr>Individual (2)</vt:lpstr>
      <vt:lpstr>Sheet2</vt:lpstr>
      <vt:lpstr>'1 HP TO 10HP PRICE'!Print_Area</vt:lpstr>
      <vt:lpstr>'1 to 10 HP Customer Price'!Print_Area</vt:lpstr>
      <vt:lpstr>'1.5HP - 1PHASE'!Print_Area</vt:lpstr>
      <vt:lpstr>'10 HP - 100 M'!Print_Area</vt:lpstr>
      <vt:lpstr>'10 HP - 200 M'!Print_Area</vt:lpstr>
      <vt:lpstr>'10 HP - 300 M'!Print_Area</vt:lpstr>
      <vt:lpstr>'10 HP - 50 M '!Print_Area</vt:lpstr>
      <vt:lpstr>'1HP -10M'!Print_Area</vt:lpstr>
      <vt:lpstr>'1HP -10M (3 pv)'!Print_Area</vt:lpstr>
      <vt:lpstr>'1HP -30 M'!Print_Area</vt:lpstr>
      <vt:lpstr>'1HP -40M '!Print_Area</vt:lpstr>
      <vt:lpstr>'1HP -90M  '!Print_Area</vt:lpstr>
      <vt:lpstr>'2 HP -150 M'!Print_Area</vt:lpstr>
      <vt:lpstr>'2 HP -15M   '!Print_Area</vt:lpstr>
      <vt:lpstr>'2 HP -20 M '!Print_Area</vt:lpstr>
      <vt:lpstr>'2 HP -30 M '!Print_Area</vt:lpstr>
      <vt:lpstr>'2 HP -50 M '!Print_Area</vt:lpstr>
      <vt:lpstr>'2 HP -90M '!Print_Area</vt:lpstr>
      <vt:lpstr>'3 HP -140M'!Print_Area</vt:lpstr>
      <vt:lpstr>'3 HP -20 M'!Print_Area</vt:lpstr>
      <vt:lpstr>'3 HP -30M'!Print_Area</vt:lpstr>
      <vt:lpstr>'3 HP -70M '!Print_Area</vt:lpstr>
      <vt:lpstr>'3HP -180M '!Print_Area</vt:lpstr>
      <vt:lpstr>'5 HP - 200 M'!Print_Area</vt:lpstr>
      <vt:lpstr>'5 HP -100 M'!Print_Area</vt:lpstr>
      <vt:lpstr>'5 HP -305 '!Print_Area</vt:lpstr>
      <vt:lpstr>'5 HP -65 M'!Print_Area</vt:lpstr>
      <vt:lpstr>'5HP -40M'!Print_Area</vt:lpstr>
      <vt:lpstr>'7.5 HP -150 M '!Print_Area</vt:lpstr>
      <vt:lpstr>'7.5 HP -200 M'!Print_Area</vt:lpstr>
      <vt:lpstr>'7.5 HP -30 M'!Print_Area</vt:lpstr>
      <vt:lpstr>'7.5 HP -300 M '!Print_Area</vt:lpstr>
      <vt:lpstr>'7.5 HP -80 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Sumithdeepan A</cp:lastModifiedBy>
  <cp:lastPrinted>2022-06-17T12:42:14Z</cp:lastPrinted>
  <dcterms:created xsi:type="dcterms:W3CDTF">2018-04-11T12:45:11Z</dcterms:created>
  <dcterms:modified xsi:type="dcterms:W3CDTF">2022-07-07T11:14:47Z</dcterms:modified>
</cp:coreProperties>
</file>