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win\Desktop\CHEME 5540 - Final\Q3\"/>
    </mc:Choice>
  </mc:AlternateContent>
  <xr:revisionPtr revIDLastSave="0" documentId="13_ncr:1_{BF2AF844-4A30-4EED-8D93-6467396217B2}" xr6:coauthVersionLast="45" xr6:coauthVersionMax="45" xr10:uidLastSave="{00000000-0000-0000-0000-000000000000}"/>
  <bookViews>
    <workbookView xWindow="-108" yWindow="-108" windowWidth="23256" windowHeight="12576" tabRatio="828" xr2:uid="{9E8706A4-69EB-4262-8C87-0F42AA5E3787}"/>
  </bookViews>
  <sheets>
    <sheet name="Working Sheet" sheetId="2" r:id="rId1"/>
    <sheet name="Parameter Table" sheetId="9" r:id="rId2"/>
    <sheet name="Plot of p vs. u_bar" sheetId="6" r:id="rId3"/>
    <sheet name="Plot of p vs u_bar (with Kp = 2" sheetId="7" r:id="rId4"/>
    <sheet name="Plot of p vs. u_bar (more Kp)" sheetId="8" r:id="rId5"/>
  </sheets>
  <definedNames>
    <definedName name="solver_adj" localSheetId="0" hidden="1">'Working Sheet'!$B$20:$B$35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'Working Sheet'!$J$36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2" l="1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2" i="2"/>
  <c r="Q2" i="2" s="1"/>
  <c r="B34" i="2"/>
  <c r="B33" i="2"/>
  <c r="B31" i="2"/>
  <c r="B28" i="2"/>
  <c r="B22" i="2"/>
  <c r="B21" i="2"/>
  <c r="B18" i="2"/>
  <c r="B27" i="2" s="1"/>
  <c r="B23" i="2" l="1"/>
  <c r="B25" i="2" s="1"/>
  <c r="B35" i="2"/>
  <c r="B29" i="2"/>
  <c r="B44" i="2" l="1"/>
  <c r="B45" i="2" s="1"/>
  <c r="B30" i="2"/>
  <c r="B42" i="2" s="1"/>
  <c r="K6" i="2"/>
  <c r="N6" i="2" s="1"/>
  <c r="M8" i="2"/>
  <c r="L8" i="2"/>
  <c r="L7" i="2"/>
  <c r="L6" i="2"/>
  <c r="M5" i="2"/>
  <c r="L2" i="2"/>
  <c r="M7" i="2"/>
  <c r="M6" i="2"/>
  <c r="L5" i="2"/>
  <c r="M4" i="2"/>
  <c r="L4" i="2"/>
  <c r="M3" i="2"/>
  <c r="L3" i="2"/>
  <c r="M2" i="2"/>
  <c r="K7" i="2"/>
  <c r="K5" i="2"/>
  <c r="K4" i="2"/>
  <c r="K3" i="2"/>
  <c r="K2" i="2"/>
  <c r="N2" i="2" s="1"/>
  <c r="K8" i="2"/>
  <c r="B46" i="2" l="1"/>
  <c r="B43" i="2"/>
  <c r="S8" i="2"/>
  <c r="S5" i="2"/>
  <c r="S6" i="2"/>
  <c r="S7" i="2"/>
  <c r="S4" i="2"/>
  <c r="S3" i="2"/>
  <c r="S2" i="2"/>
  <c r="O6" i="2"/>
  <c r="O2" i="2"/>
  <c r="N5" i="2"/>
  <c r="O5" i="2"/>
  <c r="N7" i="2"/>
  <c r="O7" i="2"/>
  <c r="N8" i="2"/>
  <c r="O8" i="2"/>
  <c r="N4" i="2"/>
  <c r="O4" i="2"/>
  <c r="N3" i="2"/>
  <c r="O3" i="2"/>
  <c r="T5" i="2" l="1"/>
  <c r="T6" i="2"/>
  <c r="T7" i="2"/>
  <c r="T2" i="2"/>
  <c r="T4" i="2"/>
  <c r="T3" i="2"/>
  <c r="T8" i="2"/>
  <c r="R7" i="2"/>
  <c r="R2" i="2"/>
  <c r="R3" i="2"/>
  <c r="R5" i="2"/>
  <c r="R4" i="2"/>
  <c r="R8" i="2"/>
  <c r="R6" i="2"/>
</calcChain>
</file>

<file path=xl/sharedStrings.xml><?xml version="1.0" encoding="utf-8"?>
<sst xmlns="http://schemas.openxmlformats.org/spreadsheetml/2006/main" count="148" uniqueCount="100">
  <si>
    <t>IPTG (mM)</t>
  </si>
  <si>
    <t>&lt;n&gt; (mRNA/cell)</t>
  </si>
  <si>
    <t>Doubling time (min)</t>
  </si>
  <si>
    <t>Avogadro's constant (molecules/mol)</t>
  </si>
  <si>
    <t>&lt;n&gt; (nmol/gDW)</t>
  </si>
  <si>
    <t>Parameters found from Bionumbers and Papers</t>
  </si>
  <si>
    <t>high n</t>
  </si>
  <si>
    <t>low n (nmol/gDW)</t>
  </si>
  <si>
    <t>high n (nmol/gDW)</t>
  </si>
  <si>
    <t xml:space="preserve">low n </t>
  </si>
  <si>
    <t>E.Coli Doubling Time (hr)</t>
  </si>
  <si>
    <t>Specific Growth Rate (hr^-1)</t>
  </si>
  <si>
    <t>n</t>
  </si>
  <si>
    <t>fI</t>
  </si>
  <si>
    <t>u</t>
  </si>
  <si>
    <t>Paramters</t>
  </si>
  <si>
    <t>Values</t>
  </si>
  <si>
    <t>Units</t>
  </si>
  <si>
    <t>Source</t>
  </si>
  <si>
    <t>Data Table</t>
  </si>
  <si>
    <t>Calculated</t>
  </si>
  <si>
    <t>molecules/mol</t>
  </si>
  <si>
    <t>Bionumbers (BID: 101907)</t>
  </si>
  <si>
    <t>Given</t>
  </si>
  <si>
    <t>hr^-1</t>
  </si>
  <si>
    <t>s^-1</t>
  </si>
  <si>
    <t>kI value</t>
  </si>
  <si>
    <t>dimensionless</t>
  </si>
  <si>
    <t>hr</t>
  </si>
  <si>
    <t>W1</t>
  </si>
  <si>
    <t>W2</t>
  </si>
  <si>
    <t>mM</t>
  </si>
  <si>
    <t>Transcriptional Gain (nmol/gDW)</t>
  </si>
  <si>
    <t>Characteristic Enzyme concentration (microM)</t>
  </si>
  <si>
    <t>Volume of E.coli cell (microm^3)</t>
  </si>
  <si>
    <t>Weight of E. coli cell (g)</t>
  </si>
  <si>
    <t>% Water</t>
  </si>
  <si>
    <t>Half-life of protein (hr)</t>
  </si>
  <si>
    <t>Assumptions</t>
  </si>
  <si>
    <t>Translation initiation time (s)</t>
  </si>
  <si>
    <t>Characteristic protein length (aa)</t>
  </si>
  <si>
    <t>Translation saturation coefficient (KL) (microM)</t>
  </si>
  <si>
    <t>Specific Volume Basis (B) (gDW/cell)</t>
  </si>
  <si>
    <t xml:space="preserve">Ribosome elongation rate (BID: 100059 (derived from table listed for doubling time = 40 min)) (aa/s) </t>
  </si>
  <si>
    <t xml:space="preserve">Ribosome elongation rate (aa/hr) </t>
  </si>
  <si>
    <t>Characteristic Protein Length (L) (aa)</t>
  </si>
  <si>
    <t>Characteristic Elongation Rate Constant &lt;keL&gt; (calculated) (hr^-1)</t>
  </si>
  <si>
    <t>Protein Length considered (Given) (aa)</t>
  </si>
  <si>
    <t>Ribosome concentration (Bionumbers from Table 1. in article titled "How many ribosomes are in a cell") (molecules/cell)</t>
  </si>
  <si>
    <t>Total Ribosome concentration (mmol/gDW)</t>
  </si>
  <si>
    <t>kI value (s^-1)</t>
  </si>
  <si>
    <t>kI value (hr^-1)</t>
  </si>
  <si>
    <t>Time constant (tauL) (dimensionless)</t>
  </si>
  <si>
    <t>Saturation constant (KL) (mmol/gDW)</t>
  </si>
  <si>
    <t>Protein half-life (hr)</t>
  </si>
  <si>
    <t>Degradation Rate Constant (thethap) (hr^-1)</t>
  </si>
  <si>
    <t>Corrected Elongation Rate Constant keL (calculated) (hr^-1)</t>
  </si>
  <si>
    <t>Translational Control Function (wi)</t>
  </si>
  <si>
    <t>Kd</t>
  </si>
  <si>
    <t>p*</t>
  </si>
  <si>
    <t>Transcription Gain Function (KappaX) (mmol/gDW)</t>
  </si>
  <si>
    <t>Translation Gain Function (KappaL) (dimensionless)</t>
  </si>
  <si>
    <t>KappaL*KappaX (mmol/gDW)</t>
  </si>
  <si>
    <t>KappaL (Kp = 5) *KappaX (mmol/gDW)</t>
  </si>
  <si>
    <t>p* (Kp=5)</t>
  </si>
  <si>
    <t>p* (Kp=2)</t>
  </si>
  <si>
    <t>Translation Gain Function (KappaL) for Kp = 2 (dimensionless)</t>
  </si>
  <si>
    <t>KappaL (Kp = 2) *KappaX (mmol/gDW)</t>
  </si>
  <si>
    <t xml:space="preserve">Specific Volume Basis (B) </t>
  </si>
  <si>
    <t>gDW/cell</t>
  </si>
  <si>
    <t xml:space="preserve">Avogadro's constant </t>
  </si>
  <si>
    <t>BID: 100059 (derived from table listed for doubling time = 40 min)</t>
  </si>
  <si>
    <t xml:space="preserve">Ribosome elongation rate  </t>
  </si>
  <si>
    <t>aa/s</t>
  </si>
  <si>
    <t>aa/hr</t>
  </si>
  <si>
    <t>mmol/gDW</t>
  </si>
  <si>
    <t>aa</t>
  </si>
  <si>
    <t>molecules/cell</t>
  </si>
  <si>
    <t xml:space="preserve">Ribosome elongation rate </t>
  </si>
  <si>
    <t xml:space="preserve">Characteristic Protein Length (L) </t>
  </si>
  <si>
    <t>Bionumbers from Table 1. in article titled "How many ribosomes are in a cell"</t>
  </si>
  <si>
    <t>From Prelim-1</t>
  </si>
  <si>
    <t xml:space="preserve">KappaL (Kp = 5) *KappaX </t>
  </si>
  <si>
    <t>Characteristic Elongation Rate Constant &lt;keL&gt;</t>
  </si>
  <si>
    <t xml:space="preserve">Protein Length considered </t>
  </si>
  <si>
    <t xml:space="preserve">Corrected Elongation Rate Constant keL </t>
  </si>
  <si>
    <t>Ribosome concentration</t>
  </si>
  <si>
    <t xml:space="preserve">Total Ribosome concentration </t>
  </si>
  <si>
    <t>Time constant (tauL)</t>
  </si>
  <si>
    <t xml:space="preserve">Saturation constant (KL) </t>
  </si>
  <si>
    <t xml:space="preserve">Protein half-life </t>
  </si>
  <si>
    <t xml:space="preserve">Degradation Rate Constant (thethap) </t>
  </si>
  <si>
    <t xml:space="preserve">E.Coli Doubling Time </t>
  </si>
  <si>
    <t xml:space="preserve">Specific Growth Rate </t>
  </si>
  <si>
    <t xml:space="preserve">Transcription Gain Function (KappaX) </t>
  </si>
  <si>
    <t xml:space="preserve">Translational Control Function </t>
  </si>
  <si>
    <t>Translation Gain Function (KappaL)</t>
  </si>
  <si>
    <t xml:space="preserve">KappaL*KappaX </t>
  </si>
  <si>
    <t xml:space="preserve">Translation Gain Function (KappaL) for Kp = 2 </t>
  </si>
  <si>
    <t xml:space="preserve">KappaL (Kp = 2) *KappaX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</si>
</sst>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NumberFormat="1"/>
    <xf numFmtId="0" fontId="0" fillId="0" borderId="0" xfId="0" applyNumberFormat="1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166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4" borderId="0" xfId="0" applyFill="1" applyAlignment="1">
      <alignment wrapText="1"/>
    </xf>
    <xf numFmtId="166" fontId="0" fillId="0" borderId="0" xfId="0" applyNumberFormat="1"/>
    <xf numFmtId="0" fontId="1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0" borderId="1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11" fontId="0" fillId="2" borderId="0" xfId="0" applyNumberFormat="1" applyFill="1"/>
    <xf numFmtId="11" fontId="0" fillId="4" borderId="0" xfId="0" applyNumberFormat="1" applyFill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5" borderId="0" xfId="0" applyFill="1"/>
    <xf numFmtId="11" fontId="0" fillId="5" borderId="0" xfId="0" applyNumberFormat="1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Intracellular Steady State Protein Concentration (p*) vs. Transcriptional Control Function (</a:t>
            </a:r>
            <a:r>
              <a:rPr lang="en-US" sz="1600" b="0" i="0" u="none" strike="noStrike" cap="none" normalizeH="0" baseline="0"/>
              <a:t>ubar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'Working Sheet'!$R$1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94434698592092"/>
                  <c:y val="2.77456316150568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Sheet'!$Q$2:$Q$8</c:f>
              <c:numCache>
                <c:formatCode>General</c:formatCode>
                <c:ptCount val="7"/>
                <c:pt idx="0">
                  <c:v>0.20000004369054442</c:v>
                </c:pt>
                <c:pt idx="1">
                  <c:v>0.20427714362459842</c:v>
                </c:pt>
                <c:pt idx="2">
                  <c:v>0.42051355201340612</c:v>
                </c:pt>
                <c:pt idx="3">
                  <c:v>0.7262271184882696</c:v>
                </c:pt>
                <c:pt idx="4">
                  <c:v>0.97419852765987591</c:v>
                </c:pt>
                <c:pt idx="5">
                  <c:v>0.99802312802135129</c:v>
                </c:pt>
                <c:pt idx="6">
                  <c:v>0.99988365992695982</c:v>
                </c:pt>
              </c:numCache>
            </c:numRef>
          </c:xVal>
          <c:yVal>
            <c:numRef>
              <c:f>'Working Sheet'!$R$2:$R$8</c:f>
              <c:numCache>
                <c:formatCode>0.00E+00</c:formatCode>
                <c:ptCount val="7"/>
                <c:pt idx="0">
                  <c:v>5.5756542452514222E-5</c:v>
                </c:pt>
                <c:pt idx="1">
                  <c:v>5.694892371226893E-5</c:v>
                </c:pt>
                <c:pt idx="2">
                  <c:v>1.1723188296384118E-4</c:v>
                </c:pt>
                <c:pt idx="3">
                  <c:v>2.0245952158295778E-4</c:v>
                </c:pt>
                <c:pt idx="4">
                  <c:v>2.715896484937256E-4</c:v>
                </c:pt>
                <c:pt idx="5">
                  <c:v>2.7823153375013164E-4</c:v>
                </c:pt>
                <c:pt idx="6">
                  <c:v>2.7875021776772028E-4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3-4F9E-B1EC-F0055AE1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608"/>
        <c:axId val="1723416320"/>
      </c:scatterChart>
      <c:valAx>
        <c:axId val="19610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u-bar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16320"/>
        <c:crosses val="autoZero"/>
        <c:crossBetween val="midCat"/>
      </c:valAx>
      <c:valAx>
        <c:axId val="17234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</a:t>
                </a:r>
                <a:r>
                  <a:rPr lang="en-US" baseline="0"/>
                  <a:t> [millimol/gdw]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Intracellular Steady State Protein Concentration (p*) vs. Transcriptional Control Function (ubar)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 = 1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029453575356998E-2"/>
                  <c:y val="3.99909583942872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0.0003x - 2E-19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Sheet'!$Q$2:$Q$8</c:f>
              <c:numCache>
                <c:formatCode>General</c:formatCode>
                <c:ptCount val="7"/>
                <c:pt idx="0">
                  <c:v>0.20000004369054442</c:v>
                </c:pt>
                <c:pt idx="1">
                  <c:v>0.20427714362459842</c:v>
                </c:pt>
                <c:pt idx="2">
                  <c:v>0.42051355201340612</c:v>
                </c:pt>
                <c:pt idx="3">
                  <c:v>0.7262271184882696</c:v>
                </c:pt>
                <c:pt idx="4">
                  <c:v>0.97419852765987591</c:v>
                </c:pt>
                <c:pt idx="5">
                  <c:v>0.99802312802135129</c:v>
                </c:pt>
                <c:pt idx="6">
                  <c:v>0.99988365992695982</c:v>
                </c:pt>
              </c:numCache>
            </c:numRef>
          </c:xVal>
          <c:yVal>
            <c:numRef>
              <c:f>'Working Sheet'!$R$2:$R$8</c:f>
              <c:numCache>
                <c:formatCode>0.00E+00</c:formatCode>
                <c:ptCount val="7"/>
                <c:pt idx="0">
                  <c:v>5.5756542452514222E-5</c:v>
                </c:pt>
                <c:pt idx="1">
                  <c:v>5.694892371226893E-5</c:v>
                </c:pt>
                <c:pt idx="2">
                  <c:v>1.1723188296384118E-4</c:v>
                </c:pt>
                <c:pt idx="3">
                  <c:v>2.0245952158295778E-4</c:v>
                </c:pt>
                <c:pt idx="4">
                  <c:v>2.715896484937256E-4</c:v>
                </c:pt>
                <c:pt idx="5">
                  <c:v>2.7823153375013164E-4</c:v>
                </c:pt>
                <c:pt idx="6">
                  <c:v>2.7875021776772028E-4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0-4C76-9875-426745CD80B5}"/>
            </c:ext>
          </c:extLst>
        </c:ser>
        <c:ser>
          <c:idx val="1"/>
          <c:order val="1"/>
          <c:tx>
            <c:v>Kp = 2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83805281335528"/>
                  <c:y val="0.132605813052067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0.0006x - 3E-19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Sheet'!$Q$2:$Q$8</c:f>
              <c:numCache>
                <c:formatCode>General</c:formatCode>
                <c:ptCount val="7"/>
                <c:pt idx="0">
                  <c:v>0.20000004369054442</c:v>
                </c:pt>
                <c:pt idx="1">
                  <c:v>0.20427714362459842</c:v>
                </c:pt>
                <c:pt idx="2">
                  <c:v>0.42051355201340612</c:v>
                </c:pt>
                <c:pt idx="3">
                  <c:v>0.7262271184882696</c:v>
                </c:pt>
                <c:pt idx="4">
                  <c:v>0.97419852765987591</c:v>
                </c:pt>
                <c:pt idx="5">
                  <c:v>0.99802312802135129</c:v>
                </c:pt>
                <c:pt idx="6">
                  <c:v>0.99988365992695982</c:v>
                </c:pt>
              </c:numCache>
            </c:numRef>
          </c:xVal>
          <c:yVal>
            <c:numRef>
              <c:f>'Working Sheet'!$S$2:$S$8</c:f>
              <c:numCache>
                <c:formatCode>0.00E+00</c:formatCode>
                <c:ptCount val="7"/>
                <c:pt idx="0">
                  <c:v>1.1151308490502844E-4</c:v>
                </c:pt>
                <c:pt idx="1">
                  <c:v>1.1389784742453786E-4</c:v>
                </c:pt>
                <c:pt idx="2">
                  <c:v>2.3446376592768236E-4</c:v>
                </c:pt>
                <c:pt idx="3">
                  <c:v>4.0491904316591556E-4</c:v>
                </c:pt>
                <c:pt idx="4">
                  <c:v>5.431792969874512E-4</c:v>
                </c:pt>
                <c:pt idx="5">
                  <c:v>5.5646306750026329E-4</c:v>
                </c:pt>
                <c:pt idx="6">
                  <c:v>5.5750043553544056E-4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E0-4C76-9875-426745CD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35375"/>
        <c:axId val="591344735"/>
      </c:scatterChart>
      <c:valAx>
        <c:axId val="597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u-bar [dimensionless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4735"/>
        <c:crosses val="autoZero"/>
        <c:crossBetween val="midCat"/>
      </c:valAx>
      <c:valAx>
        <c:axId val="5913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p* [millimol/gdw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Intracellular Steady State Protein Concentration (p*) vs. Transcriptional Control Function (ubar)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 = 1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65066051927102"/>
                  <c:y val="4.568876182532191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0.0003x - 2E-19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Sheet'!$Q$2:$Q$8</c:f>
              <c:numCache>
                <c:formatCode>General</c:formatCode>
                <c:ptCount val="7"/>
                <c:pt idx="0">
                  <c:v>0.20000004369054442</c:v>
                </c:pt>
                <c:pt idx="1">
                  <c:v>0.20427714362459842</c:v>
                </c:pt>
                <c:pt idx="2">
                  <c:v>0.42051355201340612</c:v>
                </c:pt>
                <c:pt idx="3">
                  <c:v>0.7262271184882696</c:v>
                </c:pt>
                <c:pt idx="4">
                  <c:v>0.97419852765987591</c:v>
                </c:pt>
                <c:pt idx="5">
                  <c:v>0.99802312802135129</c:v>
                </c:pt>
                <c:pt idx="6">
                  <c:v>0.99988365992695982</c:v>
                </c:pt>
              </c:numCache>
            </c:numRef>
          </c:xVal>
          <c:yVal>
            <c:numRef>
              <c:f>'Working Sheet'!$R$2:$R$8</c:f>
              <c:numCache>
                <c:formatCode>0.00E+00</c:formatCode>
                <c:ptCount val="7"/>
                <c:pt idx="0">
                  <c:v>5.5756542452514222E-5</c:v>
                </c:pt>
                <c:pt idx="1">
                  <c:v>5.694892371226893E-5</c:v>
                </c:pt>
                <c:pt idx="2">
                  <c:v>1.1723188296384118E-4</c:v>
                </c:pt>
                <c:pt idx="3">
                  <c:v>2.0245952158295778E-4</c:v>
                </c:pt>
                <c:pt idx="4">
                  <c:v>2.715896484937256E-4</c:v>
                </c:pt>
                <c:pt idx="5">
                  <c:v>2.7823153375013164E-4</c:v>
                </c:pt>
                <c:pt idx="6">
                  <c:v>2.7875021776772028E-4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B-4C0C-912E-6455104FEC12}"/>
            </c:ext>
          </c:extLst>
        </c:ser>
        <c:ser>
          <c:idx val="1"/>
          <c:order val="1"/>
          <c:tx>
            <c:v>Kp = 2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11773667346142"/>
                  <c:y val="3.18869417246226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0.0006x - 3E-19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Sheet'!$Q$2:$Q$8</c:f>
              <c:numCache>
                <c:formatCode>General</c:formatCode>
                <c:ptCount val="7"/>
                <c:pt idx="0">
                  <c:v>0.20000004369054442</c:v>
                </c:pt>
                <c:pt idx="1">
                  <c:v>0.20427714362459842</c:v>
                </c:pt>
                <c:pt idx="2">
                  <c:v>0.42051355201340612</c:v>
                </c:pt>
                <c:pt idx="3">
                  <c:v>0.7262271184882696</c:v>
                </c:pt>
                <c:pt idx="4">
                  <c:v>0.97419852765987591</c:v>
                </c:pt>
                <c:pt idx="5">
                  <c:v>0.99802312802135129</c:v>
                </c:pt>
                <c:pt idx="6">
                  <c:v>0.99988365992695982</c:v>
                </c:pt>
              </c:numCache>
            </c:numRef>
          </c:xVal>
          <c:yVal>
            <c:numRef>
              <c:f>'Working Sheet'!$S$2:$S$8</c:f>
              <c:numCache>
                <c:formatCode>0.00E+00</c:formatCode>
                <c:ptCount val="7"/>
                <c:pt idx="0">
                  <c:v>1.1151308490502844E-4</c:v>
                </c:pt>
                <c:pt idx="1">
                  <c:v>1.1389784742453786E-4</c:v>
                </c:pt>
                <c:pt idx="2">
                  <c:v>2.3446376592768236E-4</c:v>
                </c:pt>
                <c:pt idx="3">
                  <c:v>4.0491904316591556E-4</c:v>
                </c:pt>
                <c:pt idx="4">
                  <c:v>5.431792969874512E-4</c:v>
                </c:pt>
                <c:pt idx="5">
                  <c:v>5.5646306750026329E-4</c:v>
                </c:pt>
                <c:pt idx="6">
                  <c:v>5.5750043553544056E-4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AB-4C0C-912E-6455104FEC12}"/>
            </c:ext>
          </c:extLst>
        </c:ser>
        <c:ser>
          <c:idx val="2"/>
          <c:order val="2"/>
          <c:tx>
            <c:v>Kp = 5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467534066778996"/>
                  <c:y val="0.135629497920271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0.0014x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Sheet'!$Q$2:$Q$8</c:f>
              <c:numCache>
                <c:formatCode>General</c:formatCode>
                <c:ptCount val="7"/>
                <c:pt idx="0">
                  <c:v>0.20000004369054442</c:v>
                </c:pt>
                <c:pt idx="1">
                  <c:v>0.20427714362459842</c:v>
                </c:pt>
                <c:pt idx="2">
                  <c:v>0.42051355201340612</c:v>
                </c:pt>
                <c:pt idx="3">
                  <c:v>0.7262271184882696</c:v>
                </c:pt>
                <c:pt idx="4">
                  <c:v>0.97419852765987591</c:v>
                </c:pt>
                <c:pt idx="5">
                  <c:v>0.99802312802135129</c:v>
                </c:pt>
                <c:pt idx="6">
                  <c:v>0.99988365992695982</c:v>
                </c:pt>
              </c:numCache>
            </c:numRef>
          </c:xVal>
          <c:yVal>
            <c:numRef>
              <c:f>'Working Sheet'!$T$2:$T$8</c:f>
              <c:numCache>
                <c:formatCode>0.00E+00</c:formatCode>
                <c:ptCount val="7"/>
                <c:pt idx="0">
                  <c:v>2.7878271226257112E-4</c:v>
                </c:pt>
                <c:pt idx="1">
                  <c:v>2.8474461856134464E-4</c:v>
                </c:pt>
                <c:pt idx="2">
                  <c:v>5.8615941481920595E-4</c:v>
                </c:pt>
                <c:pt idx="3">
                  <c:v>1.0122976079147889E-3</c:v>
                </c:pt>
                <c:pt idx="4">
                  <c:v>1.357948242468628E-3</c:v>
                </c:pt>
                <c:pt idx="5">
                  <c:v>1.3911576687506582E-3</c:v>
                </c:pt>
                <c:pt idx="6">
                  <c:v>1.3937510888386016E-3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AB-4C0C-912E-6455104F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834847"/>
        <c:axId val="817668415"/>
      </c:scatterChart>
      <c:valAx>
        <c:axId val="8218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u-bar [dimensionless]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68415"/>
        <c:crosses val="autoZero"/>
        <c:crossBetween val="midCat"/>
      </c:valAx>
      <c:valAx>
        <c:axId val="8176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p* [millimol/gdw]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3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FB17CF-1244-4FCE-9D27-3C26B7D00D7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3623FF-8D47-4A51-8350-B171674CCB9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06DA6E-ED34-4A1A-8D39-85666021DA9D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7F32-650B-412D-83D0-E18BD7A11E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055DB-0D39-4C42-B821-04AE4A5CE8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B916A-634F-45EB-8A47-42AAEEE85C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FFA5-2A02-4464-A755-73472AF9FC74}">
  <dimension ref="A1:T46"/>
  <sheetViews>
    <sheetView tabSelected="1" workbookViewId="0">
      <selection sqref="A1:B1"/>
    </sheetView>
  </sheetViews>
  <sheetFormatPr defaultRowHeight="14.4" x14ac:dyDescent="0.3"/>
  <cols>
    <col min="1" max="1" width="39.33203125" customWidth="1"/>
    <col min="2" max="2" width="16.33203125" bestFit="1" customWidth="1"/>
    <col min="6" max="6" width="16.33203125" bestFit="1" customWidth="1"/>
    <col min="7" max="7" width="14.44140625" bestFit="1" customWidth="1"/>
    <col min="8" max="9" width="14.44140625" customWidth="1"/>
    <col min="10" max="10" width="16.33203125" bestFit="1" customWidth="1"/>
    <col min="11" max="11" width="15.21875" bestFit="1" customWidth="1"/>
    <col min="12" max="12" width="16.6640625" bestFit="1" customWidth="1"/>
    <col min="13" max="13" width="17.44140625" bestFit="1" customWidth="1"/>
    <col min="14" max="14" width="16.6640625" bestFit="1" customWidth="1"/>
    <col min="15" max="15" width="17.44140625" bestFit="1" customWidth="1"/>
    <col min="16" max="16" width="12" bestFit="1" customWidth="1"/>
  </cols>
  <sheetData>
    <row r="1" spans="1:20" x14ac:dyDescent="0.3">
      <c r="A1" s="43" t="s">
        <v>38</v>
      </c>
      <c r="B1" s="43"/>
      <c r="F1" s="8" t="s">
        <v>0</v>
      </c>
      <c r="G1" s="8" t="s">
        <v>1</v>
      </c>
      <c r="H1" s="8" t="s">
        <v>9</v>
      </c>
      <c r="I1" s="8" t="s">
        <v>6</v>
      </c>
      <c r="J1" s="21" t="s">
        <v>0</v>
      </c>
      <c r="K1" s="21" t="s">
        <v>4</v>
      </c>
      <c r="L1" s="23" t="s">
        <v>7</v>
      </c>
      <c r="M1" s="23" t="s">
        <v>8</v>
      </c>
      <c r="N1" s="23" t="s">
        <v>7</v>
      </c>
      <c r="O1" s="23" t="s">
        <v>8</v>
      </c>
      <c r="P1" s="26" t="s">
        <v>13</v>
      </c>
      <c r="Q1" s="26" t="s">
        <v>14</v>
      </c>
      <c r="R1" s="26" t="s">
        <v>59</v>
      </c>
      <c r="S1" s="26" t="s">
        <v>65</v>
      </c>
      <c r="T1" s="26" t="s">
        <v>64</v>
      </c>
    </row>
    <row r="2" spans="1:20" x14ac:dyDescent="0.3">
      <c r="A2" s="3" t="s">
        <v>2</v>
      </c>
      <c r="B2" s="4">
        <v>40</v>
      </c>
      <c r="F2" s="6">
        <v>0</v>
      </c>
      <c r="G2" s="6">
        <v>19</v>
      </c>
      <c r="H2" s="6">
        <v>18</v>
      </c>
      <c r="I2" s="6">
        <v>20</v>
      </c>
      <c r="J2" s="22">
        <v>9.9999999999999995E-7</v>
      </c>
      <c r="K2" s="22">
        <f t="shared" ref="K2:M8" si="0">((((G2*$B$3*$B$7)/$B$19)*(10^9)/$B$18))</f>
        <v>9.844394841652955E-2</v>
      </c>
      <c r="L2" s="22">
        <f t="shared" si="0"/>
        <v>9.3262687973554317E-2</v>
      </c>
      <c r="M2" s="22">
        <f t="shared" si="0"/>
        <v>0.10362520885950478</v>
      </c>
      <c r="N2" s="22">
        <f t="shared" ref="N2:N8" si="1">K2-((((H2*$B$3*$B$7)/$B$19)*(10^9)/$B$18))</f>
        <v>5.1812604429752329E-3</v>
      </c>
      <c r="O2" s="22">
        <f t="shared" ref="O2:O8" si="2">((((I2*$B$3*$B$7)/$B$19)*(10^9)/$B$18)) - K2</f>
        <v>5.1812604429752329E-3</v>
      </c>
      <c r="P2" s="5">
        <f>((J2^$B$41)/($B$40^$B$41)+(J2^$B$41))</f>
        <v>6.9130612007896044E-10</v>
      </c>
      <c r="Q2" s="4">
        <f>($B$38+($B$39*P2))/(1+$B$38+($B$39*P2))</f>
        <v>0.20000004369054442</v>
      </c>
      <c r="R2" s="5">
        <f>Q2*$B$43</f>
        <v>5.5756542452514222E-5</v>
      </c>
      <c r="S2" s="5">
        <f>Q2*$B$45</f>
        <v>1.1151308490502844E-4</v>
      </c>
      <c r="T2" s="5">
        <f>Q2*$B$46</f>
        <v>2.7878271226257112E-4</v>
      </c>
    </row>
    <row r="3" spans="1:20" x14ac:dyDescent="0.3">
      <c r="A3" s="3" t="s">
        <v>32</v>
      </c>
      <c r="B3" s="5">
        <v>0.57499999999999996</v>
      </c>
      <c r="F3" s="7">
        <v>5.0000000000000001E-4</v>
      </c>
      <c r="G3" s="6">
        <v>21</v>
      </c>
      <c r="H3" s="6">
        <v>17</v>
      </c>
      <c r="I3" s="6">
        <v>26</v>
      </c>
      <c r="J3" s="22">
        <v>5.0000000000000001E-4</v>
      </c>
      <c r="K3" s="22">
        <f t="shared" si="0"/>
        <v>0.10880646930248003</v>
      </c>
      <c r="L3" s="22">
        <f t="shared" si="0"/>
        <v>8.8081427530579071E-2</v>
      </c>
      <c r="M3" s="22">
        <f t="shared" si="0"/>
        <v>0.13471277151735619</v>
      </c>
      <c r="N3" s="22">
        <f t="shared" si="1"/>
        <v>2.0725041771900959E-2</v>
      </c>
      <c r="O3" s="22">
        <f t="shared" si="2"/>
        <v>2.5906302214876165E-2</v>
      </c>
      <c r="P3" s="5">
        <f t="shared" ref="P3:P8" si="3">((J3^$B$41)/($B$40^$B$41)+(J3^$B$41))</f>
        <v>6.8040094745850236E-5</v>
      </c>
      <c r="Q3" s="4">
        <f t="shared" ref="Q3:Q8" si="4">($B$38+($B$39*P3))/(1+$B$38+($B$39*P3))</f>
        <v>0.20427714362459842</v>
      </c>
      <c r="R3" s="5">
        <f t="shared" ref="R3:R8" si="5">Q3*$B$43</f>
        <v>5.694892371226893E-5</v>
      </c>
      <c r="S3" s="5">
        <f t="shared" ref="S3:S8" si="6">Q3*$B$45</f>
        <v>1.1389784742453786E-4</v>
      </c>
      <c r="T3" s="5">
        <f t="shared" ref="T3:T8" si="7">Q3*$B$46</f>
        <v>2.8474461856134464E-4</v>
      </c>
    </row>
    <row r="4" spans="1:20" ht="28.8" x14ac:dyDescent="0.3">
      <c r="A4" s="3" t="s">
        <v>33</v>
      </c>
      <c r="B4" s="4">
        <v>0.3</v>
      </c>
      <c r="F4" s="6">
        <v>5.0000000000000001E-3</v>
      </c>
      <c r="G4" s="6">
        <v>41</v>
      </c>
      <c r="H4" s="6">
        <v>37</v>
      </c>
      <c r="I4" s="6">
        <v>44</v>
      </c>
      <c r="J4" s="22">
        <v>5.0000000000000001E-3</v>
      </c>
      <c r="K4" s="22">
        <f t="shared" si="0"/>
        <v>0.2124316781619848</v>
      </c>
      <c r="L4" s="22">
        <f t="shared" si="0"/>
        <v>0.19170663639008387</v>
      </c>
      <c r="M4" s="22">
        <f t="shared" si="0"/>
        <v>0.22797545949091053</v>
      </c>
      <c r="N4" s="22">
        <f t="shared" si="1"/>
        <v>2.0725041771900932E-2</v>
      </c>
      <c r="O4" s="22">
        <f t="shared" si="2"/>
        <v>1.5543781328925727E-2</v>
      </c>
      <c r="P4" s="5">
        <f t="shared" si="3"/>
        <v>4.8168698244422103E-3</v>
      </c>
      <c r="Q4" s="4">
        <f t="shared" si="4"/>
        <v>0.42051355201340612</v>
      </c>
      <c r="R4" s="5">
        <f t="shared" si="5"/>
        <v>1.1723188296384118E-4</v>
      </c>
      <c r="S4" s="5">
        <f t="shared" si="6"/>
        <v>2.3446376592768236E-4</v>
      </c>
      <c r="T4" s="5">
        <f t="shared" si="7"/>
        <v>5.8615941481920595E-4</v>
      </c>
    </row>
    <row r="5" spans="1:20" x14ac:dyDescent="0.3">
      <c r="A5" s="3" t="s">
        <v>34</v>
      </c>
      <c r="B5" s="4">
        <v>1</v>
      </c>
      <c r="F5" s="6">
        <v>1.2E-2</v>
      </c>
      <c r="G5" s="6">
        <v>67</v>
      </c>
      <c r="H5" s="6">
        <v>65</v>
      </c>
      <c r="I5" s="6">
        <v>69</v>
      </c>
      <c r="J5" s="22">
        <v>1.2E-2</v>
      </c>
      <c r="K5" s="22">
        <f t="shared" si="0"/>
        <v>0.34714444967934105</v>
      </c>
      <c r="L5" s="22">
        <f t="shared" si="0"/>
        <v>0.33678192879339058</v>
      </c>
      <c r="M5" s="22">
        <f t="shared" si="0"/>
        <v>0.35750697056529152</v>
      </c>
      <c r="N5" s="22">
        <f t="shared" si="1"/>
        <v>1.0362520885950466E-2</v>
      </c>
      <c r="O5" s="22">
        <f t="shared" si="2"/>
        <v>1.0362520885950466E-2</v>
      </c>
      <c r="P5" s="5">
        <f t="shared" si="3"/>
        <v>2.4330761793837086E-2</v>
      </c>
      <c r="Q5" s="4">
        <f t="shared" si="4"/>
        <v>0.7262271184882696</v>
      </c>
      <c r="R5" s="5">
        <f t="shared" si="5"/>
        <v>2.0245952158295778E-4</v>
      </c>
      <c r="S5" s="5">
        <f t="shared" si="6"/>
        <v>4.0491904316591556E-4</v>
      </c>
      <c r="T5" s="5">
        <f t="shared" si="7"/>
        <v>1.0122976079147889E-3</v>
      </c>
    </row>
    <row r="6" spans="1:20" x14ac:dyDescent="0.3">
      <c r="A6" s="3" t="s">
        <v>35</v>
      </c>
      <c r="B6" s="5">
        <v>4.2999999999999999E-13</v>
      </c>
      <c r="F6" s="6">
        <v>5.2999999999999999E-2</v>
      </c>
      <c r="G6" s="6">
        <v>86</v>
      </c>
      <c r="H6" s="6">
        <v>84</v>
      </c>
      <c r="I6" s="6">
        <v>88</v>
      </c>
      <c r="J6" s="22">
        <v>5.2999999999999999E-2</v>
      </c>
      <c r="K6" s="22">
        <f t="shared" si="0"/>
        <v>0.44558839809587059</v>
      </c>
      <c r="L6" s="22">
        <f t="shared" si="0"/>
        <v>0.43522587720992012</v>
      </c>
      <c r="M6" s="22">
        <f t="shared" si="0"/>
        <v>0.45595091898182105</v>
      </c>
      <c r="N6" s="22">
        <f t="shared" si="1"/>
        <v>1.0362520885950466E-2</v>
      </c>
      <c r="O6" s="22">
        <f t="shared" si="2"/>
        <v>1.0362520885950466E-2</v>
      </c>
      <c r="P6" s="5">
        <f t="shared" si="3"/>
        <v>0.37982256336368919</v>
      </c>
      <c r="Q6" s="4">
        <f t="shared" si="4"/>
        <v>0.97419852765987591</v>
      </c>
      <c r="R6" s="5">
        <f t="shared" si="5"/>
        <v>2.715896484937256E-4</v>
      </c>
      <c r="S6" s="5">
        <f t="shared" si="6"/>
        <v>5.431792969874512E-4</v>
      </c>
      <c r="T6" s="5">
        <f t="shared" si="7"/>
        <v>1.357948242468628E-3</v>
      </c>
    </row>
    <row r="7" spans="1:20" x14ac:dyDescent="0.3">
      <c r="A7" s="3" t="s">
        <v>36</v>
      </c>
      <c r="B7" s="4">
        <v>0.7</v>
      </c>
      <c r="F7" s="6">
        <v>0.216</v>
      </c>
      <c r="G7" s="6">
        <v>93</v>
      </c>
      <c r="H7" s="6">
        <v>91</v>
      </c>
      <c r="I7" s="6">
        <v>95</v>
      </c>
      <c r="J7" s="22">
        <v>0.216</v>
      </c>
      <c r="K7" s="22">
        <f t="shared" si="0"/>
        <v>0.48185722119669716</v>
      </c>
      <c r="L7" s="22">
        <f t="shared" si="0"/>
        <v>0.47149470031074681</v>
      </c>
      <c r="M7" s="22">
        <f t="shared" si="0"/>
        <v>0.49221974208264763</v>
      </c>
      <c r="N7" s="22">
        <f t="shared" si="1"/>
        <v>1.0362520885950355E-2</v>
      </c>
      <c r="O7" s="22">
        <f t="shared" si="2"/>
        <v>1.0362520885950466E-2</v>
      </c>
      <c r="P7" s="5">
        <f t="shared" si="3"/>
        <v>5.1098698811308276</v>
      </c>
      <c r="Q7" s="4">
        <f t="shared" si="4"/>
        <v>0.99802312802135129</v>
      </c>
      <c r="R7" s="5">
        <f t="shared" si="5"/>
        <v>2.7823153375013164E-4</v>
      </c>
      <c r="S7" s="5">
        <f t="shared" si="6"/>
        <v>5.5646306750026329E-4</v>
      </c>
      <c r="T7" s="5">
        <f t="shared" si="7"/>
        <v>1.3911576687506582E-3</v>
      </c>
    </row>
    <row r="8" spans="1:20" x14ac:dyDescent="0.3">
      <c r="A8" s="30" t="s">
        <v>37</v>
      </c>
      <c r="B8" s="31">
        <v>24</v>
      </c>
      <c r="F8" s="6">
        <v>1</v>
      </c>
      <c r="G8" s="6">
        <v>93</v>
      </c>
      <c r="H8" s="6">
        <v>92</v>
      </c>
      <c r="I8" s="6">
        <v>94</v>
      </c>
      <c r="J8" s="22">
        <v>1</v>
      </c>
      <c r="K8" s="22">
        <f t="shared" si="0"/>
        <v>0.48185722119669716</v>
      </c>
      <c r="L8" s="22">
        <f t="shared" si="0"/>
        <v>0.47667596075372198</v>
      </c>
      <c r="M8" s="22">
        <f t="shared" si="0"/>
        <v>0.48703848163967245</v>
      </c>
      <c r="N8" s="22">
        <f t="shared" si="1"/>
        <v>5.1812604429751774E-3</v>
      </c>
      <c r="O8" s="22">
        <f t="shared" si="2"/>
        <v>5.1812604429752884E-3</v>
      </c>
      <c r="P8" s="5">
        <f t="shared" si="3"/>
        <v>87.030284189623387</v>
      </c>
      <c r="Q8" s="4">
        <f t="shared" si="4"/>
        <v>0.99988365992695982</v>
      </c>
      <c r="R8" s="5">
        <f t="shared" si="5"/>
        <v>2.7875021776772028E-4</v>
      </c>
      <c r="S8" s="5">
        <f t="shared" si="6"/>
        <v>5.5750043553544056E-4</v>
      </c>
      <c r="T8" s="5">
        <f t="shared" si="7"/>
        <v>1.3937510888386016E-3</v>
      </c>
    </row>
    <row r="9" spans="1:20" x14ac:dyDescent="0.3">
      <c r="A9" s="30" t="s">
        <v>39</v>
      </c>
      <c r="B9" s="31">
        <v>1.5</v>
      </c>
      <c r="F9" s="27"/>
      <c r="G9" s="27"/>
      <c r="H9" s="27"/>
      <c r="I9" s="27"/>
      <c r="J9" s="28"/>
      <c r="K9" s="28"/>
      <c r="L9" s="28"/>
      <c r="M9" s="28"/>
      <c r="N9" s="28"/>
      <c r="O9" s="28"/>
      <c r="P9" s="29"/>
      <c r="Q9" s="29"/>
      <c r="R9" s="29"/>
      <c r="S9" s="29"/>
    </row>
    <row r="10" spans="1:20" x14ac:dyDescent="0.3">
      <c r="A10" s="30" t="s">
        <v>40</v>
      </c>
      <c r="B10" s="31">
        <v>333</v>
      </c>
      <c r="F10" s="27"/>
      <c r="G10" s="27"/>
      <c r="H10" s="27"/>
      <c r="I10" s="27"/>
      <c r="J10" s="28"/>
      <c r="K10" s="28"/>
      <c r="L10" s="28"/>
      <c r="M10" s="28"/>
      <c r="N10" s="28"/>
      <c r="O10" s="28"/>
      <c r="P10" s="29"/>
      <c r="Q10" s="29"/>
      <c r="R10" s="29"/>
      <c r="S10" s="29"/>
    </row>
    <row r="11" spans="1:20" ht="28.8" x14ac:dyDescent="0.3">
      <c r="A11" s="30" t="s">
        <v>41</v>
      </c>
      <c r="B11" s="31">
        <v>200</v>
      </c>
      <c r="F11" s="27"/>
      <c r="G11" s="27"/>
      <c r="H11" s="27"/>
      <c r="I11" s="27"/>
      <c r="J11" s="28"/>
      <c r="K11" s="28"/>
      <c r="L11" s="28"/>
      <c r="M11" s="28"/>
      <c r="N11" s="28"/>
      <c r="O11" s="28"/>
      <c r="P11" s="29"/>
      <c r="Q11" s="29"/>
      <c r="R11" s="29"/>
      <c r="S11" s="29"/>
    </row>
    <row r="17" spans="1:10" x14ac:dyDescent="0.3">
      <c r="A17" s="44" t="s">
        <v>5</v>
      </c>
      <c r="B17" s="44"/>
    </row>
    <row r="18" spans="1:10" x14ac:dyDescent="0.3">
      <c r="A18" s="15" t="s">
        <v>42</v>
      </c>
      <c r="B18" s="16">
        <f>(1-$B$7)*($B$6)</f>
        <v>1.2900000000000001E-13</v>
      </c>
      <c r="F18" s="1"/>
      <c r="J18" s="1"/>
    </row>
    <row r="19" spans="1:10" x14ac:dyDescent="0.3">
      <c r="A19" s="2" t="s">
        <v>3</v>
      </c>
      <c r="B19" s="1">
        <v>6.0220000000000003E+23</v>
      </c>
      <c r="E19" s="1"/>
      <c r="F19" s="1"/>
      <c r="G19" s="1"/>
      <c r="H19" s="1"/>
      <c r="I19" s="1"/>
      <c r="J19" s="1"/>
    </row>
    <row r="20" spans="1:10" ht="43.2" x14ac:dyDescent="0.3">
      <c r="A20" s="2" t="s">
        <v>43</v>
      </c>
      <c r="B20" s="10">
        <v>18</v>
      </c>
      <c r="E20" s="1"/>
      <c r="F20" s="1"/>
      <c r="G20" s="1"/>
      <c r="H20" s="1"/>
      <c r="I20" s="1"/>
      <c r="J20" s="1"/>
    </row>
    <row r="21" spans="1:10" x14ac:dyDescent="0.3">
      <c r="A21" s="2" t="s">
        <v>44</v>
      </c>
      <c r="B21" s="10">
        <f>B20*3600</f>
        <v>64800</v>
      </c>
      <c r="E21" s="1"/>
      <c r="F21" s="1"/>
      <c r="G21" s="1"/>
      <c r="H21" s="1"/>
      <c r="I21" s="1"/>
      <c r="J21" s="1"/>
    </row>
    <row r="22" spans="1:10" x14ac:dyDescent="0.3">
      <c r="A22" s="9" t="s">
        <v>45</v>
      </c>
      <c r="B22" s="11">
        <f>B10</f>
        <v>333</v>
      </c>
      <c r="E22" s="1"/>
      <c r="F22" s="1"/>
      <c r="G22" s="1"/>
      <c r="H22" s="1"/>
      <c r="I22" s="1"/>
      <c r="J22" s="1"/>
    </row>
    <row r="23" spans="1:10" ht="28.8" x14ac:dyDescent="0.3">
      <c r="A23" s="2" t="s">
        <v>46</v>
      </c>
      <c r="B23" s="10">
        <f>B21/B22</f>
        <v>194.59459459459458</v>
      </c>
      <c r="E23" s="1"/>
      <c r="F23" s="1"/>
      <c r="G23" s="1"/>
      <c r="H23" s="1"/>
      <c r="I23" s="1"/>
      <c r="J23" s="1"/>
    </row>
    <row r="24" spans="1:10" x14ac:dyDescent="0.3">
      <c r="A24" s="2" t="s">
        <v>47</v>
      </c>
      <c r="B24" s="10">
        <v>300</v>
      </c>
      <c r="E24" s="1"/>
      <c r="F24" s="1"/>
      <c r="G24" s="1"/>
      <c r="H24" s="1"/>
      <c r="I24" s="1"/>
      <c r="J24" s="1"/>
    </row>
    <row r="25" spans="1:10" ht="28.8" x14ac:dyDescent="0.3">
      <c r="A25" s="12" t="s">
        <v>56</v>
      </c>
      <c r="B25" s="13">
        <f>B23*(B22/B24)</f>
        <v>216</v>
      </c>
      <c r="E25" s="1"/>
      <c r="F25" s="1"/>
      <c r="G25" s="1"/>
      <c r="H25" s="1"/>
      <c r="I25" s="1"/>
      <c r="J25" s="1"/>
    </row>
    <row r="26" spans="1:10" ht="43.2" x14ac:dyDescent="0.3">
      <c r="A26" s="9" t="s">
        <v>48</v>
      </c>
      <c r="B26" s="32">
        <v>26000</v>
      </c>
      <c r="E26" s="1"/>
      <c r="F26" s="1"/>
      <c r="G26" s="1"/>
      <c r="H26" s="1"/>
      <c r="I26" s="1"/>
      <c r="J26" s="1"/>
    </row>
    <row r="27" spans="1:10" x14ac:dyDescent="0.3">
      <c r="A27" s="24" t="s">
        <v>49</v>
      </c>
      <c r="B27" s="33">
        <f>(B26)*(1/B18)*(1/B19)*(10^3)</f>
        <v>3.3469011557107144E-4</v>
      </c>
      <c r="E27" s="1"/>
      <c r="F27" s="1"/>
      <c r="G27" s="1"/>
      <c r="H27" s="1"/>
      <c r="I27" s="1"/>
      <c r="J27" s="1"/>
    </row>
    <row r="28" spans="1:10" x14ac:dyDescent="0.3">
      <c r="A28" s="2" t="s">
        <v>50</v>
      </c>
      <c r="B28" s="10">
        <f>1/B9</f>
        <v>0.66666666666666663</v>
      </c>
    </row>
    <row r="29" spans="1:10" x14ac:dyDescent="0.3">
      <c r="A29" s="2" t="s">
        <v>51</v>
      </c>
      <c r="B29" s="10">
        <f>B28*3600</f>
        <v>2400</v>
      </c>
    </row>
    <row r="30" spans="1:10" x14ac:dyDescent="0.3">
      <c r="A30" s="12" t="s">
        <v>52</v>
      </c>
      <c r="B30" s="14">
        <f>B25/B29</f>
        <v>0.09</v>
      </c>
    </row>
    <row r="31" spans="1:10" x14ac:dyDescent="0.3">
      <c r="A31" s="12" t="s">
        <v>53</v>
      </c>
      <c r="B31" s="33">
        <f>(B11)*(10^-3)*(1/1000000000000000000)*(B5)*(1/B18)*(10^3)</f>
        <v>1.550387596899225E-3</v>
      </c>
    </row>
    <row r="32" spans="1:10" x14ac:dyDescent="0.3">
      <c r="A32" s="9" t="s">
        <v>54</v>
      </c>
      <c r="B32">
        <v>24</v>
      </c>
    </row>
    <row r="33" spans="1:10" x14ac:dyDescent="0.3">
      <c r="A33" s="12" t="s">
        <v>55</v>
      </c>
      <c r="B33" s="17">
        <f>LN(2)/B32</f>
        <v>2.8881132523331052E-2</v>
      </c>
    </row>
    <row r="34" spans="1:10" x14ac:dyDescent="0.3">
      <c r="A34" s="9" t="s">
        <v>10</v>
      </c>
      <c r="B34">
        <f>B2/60</f>
        <v>0.66666666666666663</v>
      </c>
    </row>
    <row r="35" spans="1:10" x14ac:dyDescent="0.3">
      <c r="A35" s="12" t="s">
        <v>11</v>
      </c>
      <c r="B35" s="18">
        <f>LN(2)/(B34)</f>
        <v>1.0397207708399181</v>
      </c>
      <c r="G35" s="40"/>
      <c r="H35" s="40"/>
    </row>
    <row r="36" spans="1:10" ht="28.8" x14ac:dyDescent="0.3">
      <c r="A36" s="19" t="s">
        <v>60</v>
      </c>
      <c r="B36" s="34">
        <f>(B3)*(10^-6)</f>
        <v>5.7499999999999989E-7</v>
      </c>
      <c r="G36" s="35"/>
      <c r="H36" s="36"/>
      <c r="J36" s="1"/>
    </row>
    <row r="37" spans="1:10" x14ac:dyDescent="0.3">
      <c r="A37" t="s">
        <v>57</v>
      </c>
      <c r="B37">
        <v>1</v>
      </c>
      <c r="G37" s="37"/>
      <c r="H37" s="38"/>
    </row>
    <row r="38" spans="1:10" x14ac:dyDescent="0.3">
      <c r="A38" t="s">
        <v>29</v>
      </c>
      <c r="B38">
        <v>0.25</v>
      </c>
      <c r="G38" s="39"/>
      <c r="H38" s="36"/>
    </row>
    <row r="39" spans="1:10" x14ac:dyDescent="0.3">
      <c r="A39" t="s">
        <v>30</v>
      </c>
      <c r="B39">
        <v>98.75</v>
      </c>
      <c r="G39" s="39"/>
      <c r="H39" s="36"/>
    </row>
    <row r="40" spans="1:10" x14ac:dyDescent="0.3">
      <c r="A40" t="s">
        <v>58</v>
      </c>
      <c r="B40" s="1">
        <v>0.09</v>
      </c>
      <c r="G40" s="10"/>
      <c r="H40" s="20"/>
    </row>
    <row r="41" spans="1:10" x14ac:dyDescent="0.3">
      <c r="A41" t="s">
        <v>12</v>
      </c>
      <c r="B41">
        <v>1.85</v>
      </c>
    </row>
    <row r="42" spans="1:10" ht="28.8" x14ac:dyDescent="0.3">
      <c r="A42" s="19" t="s">
        <v>61</v>
      </c>
      <c r="B42" s="34">
        <f>(B$25)*(B$27)*(1/(B$35+B$33))*(1/(B$30*B$31))</f>
        <v>484.83939367259489</v>
      </c>
    </row>
    <row r="43" spans="1:10" x14ac:dyDescent="0.3">
      <c r="A43" s="41" t="s">
        <v>62</v>
      </c>
      <c r="B43" s="42">
        <f>B$36*B$42</f>
        <v>2.7878265136174204E-4</v>
      </c>
    </row>
    <row r="44" spans="1:10" ht="28.8" x14ac:dyDescent="0.3">
      <c r="A44" s="19" t="s">
        <v>66</v>
      </c>
      <c r="B44" s="34">
        <f>(B$25)*(B$27)*(1/(B$35+B$33))*(1/(B$30*B$31))*2</f>
        <v>969.67878734518979</v>
      </c>
    </row>
    <row r="45" spans="1:10" x14ac:dyDescent="0.3">
      <c r="A45" s="41" t="s">
        <v>67</v>
      </c>
      <c r="B45" s="42">
        <f>B$36*B$44</f>
        <v>5.5756530272348408E-4</v>
      </c>
    </row>
    <row r="46" spans="1:10" x14ac:dyDescent="0.3">
      <c r="A46" s="41" t="s">
        <v>63</v>
      </c>
      <c r="B46" s="42">
        <f>$B$36*($B$42)*5</f>
        <v>1.3939132568087102E-3</v>
      </c>
    </row>
  </sheetData>
  <mergeCells count="2">
    <mergeCell ref="A1:B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2E87-6440-40DF-B3FD-EAFB3C2B4F43}">
  <dimension ref="B1:E31"/>
  <sheetViews>
    <sheetView workbookViewId="0">
      <selection activeCell="H14" sqref="H14"/>
    </sheetView>
  </sheetViews>
  <sheetFormatPr defaultRowHeight="14.4" x14ac:dyDescent="0.3"/>
  <cols>
    <col min="2" max="2" width="39.33203125" bestFit="1" customWidth="1"/>
    <col min="4" max="4" width="13.21875" bestFit="1" customWidth="1"/>
    <col min="5" max="5" width="43.77734375" customWidth="1"/>
  </cols>
  <sheetData>
    <row r="1" spans="2:5" ht="19.8" x14ac:dyDescent="0.3">
      <c r="B1" s="45" t="s">
        <v>19</v>
      </c>
      <c r="C1" s="45"/>
      <c r="D1" s="45"/>
      <c r="E1" s="45"/>
    </row>
    <row r="2" spans="2:5" x14ac:dyDescent="0.3">
      <c r="B2" s="46" t="s">
        <v>15</v>
      </c>
      <c r="C2" s="46" t="s">
        <v>16</v>
      </c>
      <c r="D2" s="46" t="s">
        <v>17</v>
      </c>
      <c r="E2" s="46" t="s">
        <v>18</v>
      </c>
    </row>
    <row r="3" spans="2:5" x14ac:dyDescent="0.3">
      <c r="B3" s="47" t="s">
        <v>68</v>
      </c>
      <c r="C3" s="47">
        <v>1.2900000000000001E-13</v>
      </c>
      <c r="D3" s="47" t="s">
        <v>69</v>
      </c>
      <c r="E3" s="47" t="s">
        <v>20</v>
      </c>
    </row>
    <row r="4" spans="2:5" x14ac:dyDescent="0.3">
      <c r="B4" s="25" t="s">
        <v>70</v>
      </c>
      <c r="C4" s="25">
        <v>6.0220000000000003E+23</v>
      </c>
      <c r="D4" s="25" t="s">
        <v>21</v>
      </c>
      <c r="E4" s="25" t="s">
        <v>22</v>
      </c>
    </row>
    <row r="5" spans="2:5" ht="28.8" x14ac:dyDescent="0.3">
      <c r="B5" s="25" t="s">
        <v>72</v>
      </c>
      <c r="C5" s="25">
        <v>18</v>
      </c>
      <c r="D5" s="25" t="s">
        <v>73</v>
      </c>
      <c r="E5" s="25" t="s">
        <v>71</v>
      </c>
    </row>
    <row r="6" spans="2:5" x14ac:dyDescent="0.3">
      <c r="B6" s="25" t="s">
        <v>78</v>
      </c>
      <c r="C6" s="25">
        <v>64800</v>
      </c>
      <c r="D6" s="25" t="s">
        <v>74</v>
      </c>
      <c r="E6" s="25" t="s">
        <v>20</v>
      </c>
    </row>
    <row r="7" spans="2:5" x14ac:dyDescent="0.3">
      <c r="B7" s="25" t="s">
        <v>79</v>
      </c>
      <c r="C7" s="25">
        <v>333</v>
      </c>
      <c r="D7" s="25" t="s">
        <v>76</v>
      </c>
      <c r="E7" s="25" t="s">
        <v>23</v>
      </c>
    </row>
    <row r="8" spans="2:5" x14ac:dyDescent="0.3">
      <c r="B8" s="25" t="s">
        <v>83</v>
      </c>
      <c r="C8" s="25">
        <v>194.59459459459458</v>
      </c>
      <c r="D8" s="25" t="s">
        <v>24</v>
      </c>
      <c r="E8" s="25" t="s">
        <v>20</v>
      </c>
    </row>
    <row r="9" spans="2:5" x14ac:dyDescent="0.3">
      <c r="B9" s="25" t="s">
        <v>84</v>
      </c>
      <c r="C9" s="25">
        <v>300</v>
      </c>
      <c r="D9" s="25" t="s">
        <v>76</v>
      </c>
      <c r="E9" s="25" t="s">
        <v>23</v>
      </c>
    </row>
    <row r="10" spans="2:5" x14ac:dyDescent="0.3">
      <c r="B10" s="47" t="s">
        <v>85</v>
      </c>
      <c r="C10" s="47">
        <v>216</v>
      </c>
      <c r="D10" s="47" t="s">
        <v>24</v>
      </c>
      <c r="E10" s="47" t="s">
        <v>20</v>
      </c>
    </row>
    <row r="11" spans="2:5" ht="28.8" x14ac:dyDescent="0.3">
      <c r="B11" s="25" t="s">
        <v>86</v>
      </c>
      <c r="C11" s="25">
        <v>26000</v>
      </c>
      <c r="D11" s="25" t="s">
        <v>77</v>
      </c>
      <c r="E11" s="25" t="s">
        <v>80</v>
      </c>
    </row>
    <row r="12" spans="2:5" x14ac:dyDescent="0.3">
      <c r="B12" s="47" t="s">
        <v>87</v>
      </c>
      <c r="C12" s="47">
        <v>3.3469011557107144E-4</v>
      </c>
      <c r="D12" s="47" t="s">
        <v>75</v>
      </c>
      <c r="E12" s="47" t="s">
        <v>20</v>
      </c>
    </row>
    <row r="13" spans="2:5" x14ac:dyDescent="0.3">
      <c r="B13" s="25" t="s">
        <v>26</v>
      </c>
      <c r="C13" s="25">
        <v>0.66666666666666663</v>
      </c>
      <c r="D13" s="25" t="s">
        <v>25</v>
      </c>
      <c r="E13" s="25" t="s">
        <v>23</v>
      </c>
    </row>
    <row r="14" spans="2:5" x14ac:dyDescent="0.3">
      <c r="B14" s="25" t="s">
        <v>26</v>
      </c>
      <c r="C14" s="25">
        <v>2400</v>
      </c>
      <c r="D14" s="25" t="s">
        <v>24</v>
      </c>
      <c r="E14" s="25" t="s">
        <v>20</v>
      </c>
    </row>
    <row r="15" spans="2:5" x14ac:dyDescent="0.3">
      <c r="B15" s="47" t="s">
        <v>88</v>
      </c>
      <c r="C15" s="47">
        <v>0.09</v>
      </c>
      <c r="D15" s="47" t="s">
        <v>27</v>
      </c>
      <c r="E15" s="47" t="s">
        <v>20</v>
      </c>
    </row>
    <row r="16" spans="2:5" x14ac:dyDescent="0.3">
      <c r="B16" s="47" t="s">
        <v>89</v>
      </c>
      <c r="C16" s="47">
        <v>1.550387596899225E-3</v>
      </c>
      <c r="D16" s="47" t="s">
        <v>75</v>
      </c>
      <c r="E16" s="47" t="s">
        <v>20</v>
      </c>
    </row>
    <row r="17" spans="2:5" x14ac:dyDescent="0.3">
      <c r="B17" s="25" t="s">
        <v>90</v>
      </c>
      <c r="C17" s="25">
        <v>24</v>
      </c>
      <c r="D17" s="25" t="s">
        <v>28</v>
      </c>
      <c r="E17" s="25" t="s">
        <v>23</v>
      </c>
    </row>
    <row r="18" spans="2:5" x14ac:dyDescent="0.3">
      <c r="B18" s="47" t="s">
        <v>91</v>
      </c>
      <c r="C18" s="47">
        <v>2.8881132523331052E-2</v>
      </c>
      <c r="D18" s="47" t="s">
        <v>24</v>
      </c>
      <c r="E18" s="47" t="s">
        <v>20</v>
      </c>
    </row>
    <row r="19" spans="2:5" x14ac:dyDescent="0.3">
      <c r="B19" s="25" t="s">
        <v>92</v>
      </c>
      <c r="C19" s="25">
        <v>0.66666666666666663</v>
      </c>
      <c r="D19" s="25" t="s">
        <v>28</v>
      </c>
      <c r="E19" s="25" t="s">
        <v>23</v>
      </c>
    </row>
    <row r="20" spans="2:5" x14ac:dyDescent="0.3">
      <c r="B20" s="47" t="s">
        <v>93</v>
      </c>
      <c r="C20" s="47">
        <v>1.0397207708399181</v>
      </c>
      <c r="D20" s="47" t="s">
        <v>24</v>
      </c>
      <c r="E20" s="47" t="s">
        <v>20</v>
      </c>
    </row>
    <row r="21" spans="2:5" x14ac:dyDescent="0.3">
      <c r="B21" s="25" t="s">
        <v>94</v>
      </c>
      <c r="C21" s="25">
        <v>5.7499999999999989E-7</v>
      </c>
      <c r="D21" s="25" t="s">
        <v>75</v>
      </c>
      <c r="E21" s="25" t="s">
        <v>81</v>
      </c>
    </row>
    <row r="22" spans="2:5" x14ac:dyDescent="0.3">
      <c r="B22" s="25" t="s">
        <v>95</v>
      </c>
      <c r="C22" s="25">
        <v>1</v>
      </c>
      <c r="D22" s="25" t="s">
        <v>27</v>
      </c>
      <c r="E22" s="25" t="s">
        <v>23</v>
      </c>
    </row>
    <row r="23" spans="2:5" x14ac:dyDescent="0.3">
      <c r="B23" s="25" t="s">
        <v>29</v>
      </c>
      <c r="C23" s="25">
        <v>0.25</v>
      </c>
      <c r="D23" s="25" t="s">
        <v>27</v>
      </c>
      <c r="E23" s="25" t="s">
        <v>81</v>
      </c>
    </row>
    <row r="24" spans="2:5" x14ac:dyDescent="0.3">
      <c r="B24" s="25" t="s">
        <v>30</v>
      </c>
      <c r="C24" s="25">
        <v>98.75</v>
      </c>
      <c r="D24" s="25" t="s">
        <v>27</v>
      </c>
      <c r="E24" s="25" t="s">
        <v>81</v>
      </c>
    </row>
    <row r="25" spans="2:5" x14ac:dyDescent="0.3">
      <c r="B25" s="25" t="s">
        <v>58</v>
      </c>
      <c r="C25" s="25">
        <v>0.09</v>
      </c>
      <c r="D25" s="25" t="s">
        <v>31</v>
      </c>
      <c r="E25" s="25" t="s">
        <v>81</v>
      </c>
    </row>
    <row r="26" spans="2:5" x14ac:dyDescent="0.3">
      <c r="B26" s="25" t="s">
        <v>12</v>
      </c>
      <c r="C26" s="25">
        <v>1.85</v>
      </c>
      <c r="D26" s="25" t="s">
        <v>27</v>
      </c>
      <c r="E26" s="25" t="s">
        <v>81</v>
      </c>
    </row>
    <row r="27" spans="2:5" x14ac:dyDescent="0.3">
      <c r="B27" s="47" t="s">
        <v>96</v>
      </c>
      <c r="C27" s="47">
        <v>484.83939367259489</v>
      </c>
      <c r="D27" s="47" t="s">
        <v>27</v>
      </c>
      <c r="E27" s="47" t="s">
        <v>20</v>
      </c>
    </row>
    <row r="28" spans="2:5" x14ac:dyDescent="0.3">
      <c r="B28" s="48" t="s">
        <v>97</v>
      </c>
      <c r="C28" s="48">
        <v>2.7878265136174204E-4</v>
      </c>
      <c r="D28" s="48" t="s">
        <v>75</v>
      </c>
      <c r="E28" s="48" t="s">
        <v>20</v>
      </c>
    </row>
    <row r="29" spans="2:5" x14ac:dyDescent="0.3">
      <c r="B29" s="25" t="s">
        <v>98</v>
      </c>
      <c r="C29" s="25">
        <v>969.67878734518979</v>
      </c>
      <c r="D29" s="25" t="s">
        <v>27</v>
      </c>
      <c r="E29" s="25" t="s">
        <v>20</v>
      </c>
    </row>
    <row r="30" spans="2:5" x14ac:dyDescent="0.3">
      <c r="B30" s="48" t="s">
        <v>99</v>
      </c>
      <c r="C30" s="48">
        <v>5.5756530272348408E-4</v>
      </c>
      <c r="D30" s="48" t="s">
        <v>75</v>
      </c>
      <c r="E30" s="48" t="s">
        <v>20</v>
      </c>
    </row>
    <row r="31" spans="2:5" x14ac:dyDescent="0.3">
      <c r="B31" s="48" t="s">
        <v>82</v>
      </c>
      <c r="C31" s="48">
        <v>1.3939132568087102E-3</v>
      </c>
      <c r="D31" s="48" t="s">
        <v>75</v>
      </c>
      <c r="E31" s="48" t="s">
        <v>20</v>
      </c>
    </row>
  </sheetData>
  <mergeCells count="1">
    <mergeCell ref="B1:E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Working Sheet</vt:lpstr>
      <vt:lpstr>Parameter Table</vt:lpstr>
      <vt:lpstr>Plot of p vs. u_bar</vt:lpstr>
      <vt:lpstr>Plot of p vs u_bar (with Kp = 2</vt:lpstr>
      <vt:lpstr>Plot of p vs. u_bar (more Kp)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Alwin</dc:creator>
  <cp:lastModifiedBy>Alwin</cp:lastModifiedBy>
  <cp:lastPrinted>2020-05-22T02:18:22Z</cp:lastPrinted>
  <dcterms:created xsi:type="dcterms:W3CDTF">2020-05-09T01:57:33Z</dcterms:created>
  <dcterms:modified xsi:type="dcterms:W3CDTF">2020-05-22T02:19:17Z</dcterms:modified>
</cp:coreProperties>
</file>