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Desktop\5440 Prelim\"/>
    </mc:Choice>
  </mc:AlternateContent>
  <xr:revisionPtr revIDLastSave="0" documentId="13_ncr:1_{55EC572F-3E3C-40D5-9636-2ACCE2D75638}" xr6:coauthVersionLast="45" xr6:coauthVersionMax="45" xr10:uidLastSave="{00000000-0000-0000-0000-000000000000}"/>
  <bookViews>
    <workbookView xWindow="-108" yWindow="-108" windowWidth="23256" windowHeight="12576" activeTab="1" xr2:uid="{9E8706A4-69EB-4262-8C87-0F42AA5E3787}"/>
  </bookViews>
  <sheets>
    <sheet name="Sheet1" sheetId="5" r:id="rId1"/>
    <sheet name="Sheet2" sheetId="2" r:id="rId2"/>
    <sheet name="Chart1" sheetId="3" r:id="rId3"/>
  </sheets>
  <definedNames>
    <definedName name="solver_adj" localSheetId="1" hidden="1">Sheet2!$B$15:$B$35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Sheet2!$J$36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N2" i="2"/>
  <c r="M3" i="2"/>
  <c r="M4" i="2"/>
  <c r="M5" i="2"/>
  <c r="M6" i="2"/>
  <c r="M7" i="2"/>
  <c r="M8" i="2"/>
  <c r="M2" i="2"/>
  <c r="L3" i="2"/>
  <c r="L4" i="2"/>
  <c r="L5" i="2"/>
  <c r="L6" i="2"/>
  <c r="L7" i="2"/>
  <c r="L8" i="2"/>
  <c r="L2" i="2"/>
  <c r="B35" i="2"/>
  <c r="B34" i="2"/>
  <c r="B33" i="2"/>
  <c r="B32" i="2"/>
  <c r="B31" i="2"/>
  <c r="B30" i="2"/>
  <c r="B29" i="2"/>
  <c r="B28" i="2"/>
  <c r="B26" i="2"/>
  <c r="B25" i="2"/>
  <c r="B23" i="2"/>
  <c r="B22" i="2"/>
  <c r="B36" i="2" s="1"/>
  <c r="B20" i="2"/>
  <c r="B18" i="2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2" i="2"/>
  <c r="Q2" i="2" s="1"/>
  <c r="B13" i="2"/>
  <c r="K6" i="2" s="1"/>
  <c r="N6" i="2" s="1"/>
  <c r="O6" i="2" l="1"/>
  <c r="R4" i="2"/>
  <c r="K7" i="2"/>
  <c r="K5" i="2"/>
  <c r="K4" i="2"/>
  <c r="K3" i="2"/>
  <c r="K2" i="2"/>
  <c r="K8" i="2"/>
  <c r="N5" i="2" l="1"/>
  <c r="O5" i="2"/>
  <c r="N7" i="2"/>
  <c r="O7" i="2"/>
  <c r="N8" i="2"/>
  <c r="O8" i="2"/>
  <c r="N4" i="2"/>
  <c r="O4" i="2"/>
  <c r="S4" i="2"/>
  <c r="T4" i="2" s="1"/>
  <c r="N3" i="2"/>
  <c r="O3" i="2"/>
  <c r="R7" i="2"/>
  <c r="S7" i="2" s="1"/>
  <c r="T7" i="2" s="1"/>
  <c r="R5" i="2"/>
  <c r="S5" i="2" s="1"/>
  <c r="T5" i="2" s="1"/>
  <c r="R3" i="2"/>
  <c r="S3" i="2" s="1"/>
  <c r="T3" i="2" s="1"/>
  <c r="R8" i="2"/>
  <c r="S8" i="2" s="1"/>
  <c r="T8" i="2" s="1"/>
  <c r="R2" i="2"/>
  <c r="S2" i="2" s="1"/>
  <c r="T2" i="2" s="1"/>
  <c r="R6" i="2"/>
  <c r="S6" i="2" s="1"/>
  <c r="T6" i="2" s="1"/>
  <c r="T9" i="2" l="1"/>
</calcChain>
</file>

<file path=xl/sharedStrings.xml><?xml version="1.0" encoding="utf-8"?>
<sst xmlns="http://schemas.openxmlformats.org/spreadsheetml/2006/main" count="159" uniqueCount="112">
  <si>
    <t>IPTG (mM)</t>
  </si>
  <si>
    <t>&lt;n&gt; (mRNA/cell)</t>
  </si>
  <si>
    <t>Parameters</t>
  </si>
  <si>
    <t>OD600 = 0.1 (cells/mL)</t>
  </si>
  <si>
    <t>Doubling time (min)</t>
  </si>
  <si>
    <t>LacZ mRNA half life (min)</t>
  </si>
  <si>
    <t>LacZ gene (copies/cell)</t>
  </si>
  <si>
    <t>Transcript length (nt)</t>
  </si>
  <si>
    <t>Sample Volume (mL)</t>
  </si>
  <si>
    <t>Avogadro's constant (molecules/mol)</t>
  </si>
  <si>
    <t>&lt;n&gt; (nmol/gDW)</t>
  </si>
  <si>
    <t>Parameters found from Bionumbers and Papers</t>
  </si>
  <si>
    <t>Specific Volume Basis (B) (Calculated)</t>
  </si>
  <si>
    <t>RNAP concentration (nM) (BID: 100194)</t>
  </si>
  <si>
    <t>Characteristic Transcript Length (L)</t>
  </si>
  <si>
    <t>Characteristic Transcript Length (L) (nt)</t>
  </si>
  <si>
    <t>Coding Region of LacZ gene (BID: 102070) (nt)</t>
  </si>
  <si>
    <t>Time constant (tauX) (dimensionless)</t>
  </si>
  <si>
    <t>kon (McClure) (M^-1 s^-1)</t>
  </si>
  <si>
    <t>LacZ mRNA half-life</t>
  </si>
  <si>
    <t>Gain Function (KappaX) (nmol/gDW)</t>
  </si>
  <si>
    <t>RNAP concentration (nmol/gDW)</t>
  </si>
  <si>
    <t>Gene concentration (nmol/gDW) (Calculated)</t>
  </si>
  <si>
    <t>Saturation constant (Kx) (nmol/gDW)</t>
  </si>
  <si>
    <t>high n</t>
  </si>
  <si>
    <t>low n (nmol/gDW)</t>
  </si>
  <si>
    <t>high n (nmol/gDW)</t>
  </si>
  <si>
    <t xml:space="preserve">low n </t>
  </si>
  <si>
    <t>Average dry weight per cell for E.Coli (BID: 100008) (g)</t>
  </si>
  <si>
    <t xml:space="preserve">RNA polymerase elongation rate (BID: 103021) (kb/min) </t>
  </si>
  <si>
    <t xml:space="preserve">RNA polymerase elongation rate (BID: 103021) (nt/hr) </t>
  </si>
  <si>
    <t>Characteristic Elongation Rate Constant &lt;keX&gt; (calculated) (hr^-1)</t>
  </si>
  <si>
    <t>Corrected Elongation Rate Constant keX (calculated) (hr^-1)</t>
  </si>
  <si>
    <t>kI value (McClure) (s^-1)</t>
  </si>
  <si>
    <t>kI value (McClure) (hr^-1)</t>
  </si>
  <si>
    <t>kon (McClure) ((nmol/mL)^-1 hr^-1)</t>
  </si>
  <si>
    <t>k+/k- ((nmol/mL)^-1)</t>
  </si>
  <si>
    <t>Saturation constant (Kx) (nmol/mL)</t>
  </si>
  <si>
    <t>Degradation Rate Constant (thetham) (hr^-1)</t>
  </si>
  <si>
    <t>E.Coli Doubling Time (hr)</t>
  </si>
  <si>
    <t>LacZ mRNA half-life (hr)</t>
  </si>
  <si>
    <t>Specific Growth Rate (hr^-1)</t>
  </si>
  <si>
    <t>Note intially started with 30 nM but scaled up to 126nM to get the appropriate gain function.</t>
  </si>
  <si>
    <t>w1</t>
  </si>
  <si>
    <t>w2</t>
  </si>
  <si>
    <t>K</t>
  </si>
  <si>
    <t>n</t>
  </si>
  <si>
    <t>fI</t>
  </si>
  <si>
    <t>u</t>
  </si>
  <si>
    <t>m*</t>
  </si>
  <si>
    <t>Residual</t>
  </si>
  <si>
    <t>Residual^2</t>
  </si>
  <si>
    <t>SLS</t>
  </si>
  <si>
    <t>Paramters</t>
  </si>
  <si>
    <t>Values</t>
  </si>
  <si>
    <t>Units</t>
  </si>
  <si>
    <t>Source</t>
  </si>
  <si>
    <t>g</t>
  </si>
  <si>
    <t>Average dry weight per cell for E.Coli  (g)</t>
  </si>
  <si>
    <t>Bionumbers (BID: 100008)</t>
  </si>
  <si>
    <t>Data Table</t>
  </si>
  <si>
    <t>gDW</t>
  </si>
  <si>
    <t>Calculated</t>
  </si>
  <si>
    <t>molecules/mol</t>
  </si>
  <si>
    <t>Avogadro's constant</t>
  </si>
  <si>
    <t>Bionumbers (BID: 101907)</t>
  </si>
  <si>
    <t>Bionumbers (BID: 103021)</t>
  </si>
  <si>
    <t>kb/min</t>
  </si>
  <si>
    <t>RNA polymerase elongation rate</t>
  </si>
  <si>
    <t>nt/hr</t>
  </si>
  <si>
    <t>Given</t>
  </si>
  <si>
    <t>nt</t>
  </si>
  <si>
    <t>hr^-1</t>
  </si>
  <si>
    <t xml:space="preserve">Characteristic Elongation Rate Constant &lt;keX&gt; </t>
  </si>
  <si>
    <t>Bionumbers (BID: 102070)</t>
  </si>
  <si>
    <t>Coding Region of LacZ gene</t>
  </si>
  <si>
    <t xml:space="preserve">Corrected Elongation Rate Constant keX </t>
  </si>
  <si>
    <t>Bionumbers (BID:  100194)</t>
  </si>
  <si>
    <t>nM</t>
  </si>
  <si>
    <t>RNAP concentration</t>
  </si>
  <si>
    <t>Estimated (Correction to above row)</t>
  </si>
  <si>
    <t xml:space="preserve">RNAP concentration </t>
  </si>
  <si>
    <t>nmol/gDW</t>
  </si>
  <si>
    <t>Gene concentration</t>
  </si>
  <si>
    <t>s^-1</t>
  </si>
  <si>
    <t>Table 3 from McClure (2)</t>
  </si>
  <si>
    <t>kI value</t>
  </si>
  <si>
    <t xml:space="preserve">kI value </t>
  </si>
  <si>
    <t xml:space="preserve">Time constant (tauX) </t>
  </si>
  <si>
    <t>dimensionless</t>
  </si>
  <si>
    <t>M^-1 s^-1</t>
  </si>
  <si>
    <t>kon</t>
  </si>
  <si>
    <t>(nmol/mL)^-1 hr^-1</t>
  </si>
  <si>
    <t>(nmol/mL)^-1</t>
  </si>
  <si>
    <t>k+/k-</t>
  </si>
  <si>
    <t>nmol/mL</t>
  </si>
  <si>
    <t>Saturation constant (Kx)</t>
  </si>
  <si>
    <t>hr</t>
  </si>
  <si>
    <t>Degradation Rate Constant (thetam)</t>
  </si>
  <si>
    <t>E.Coli Doubling Time</t>
  </si>
  <si>
    <t>Specific Growth Rate (mew)</t>
  </si>
  <si>
    <t xml:space="preserve">Gain Function (KappaX) </t>
  </si>
  <si>
    <t>W1</t>
  </si>
  <si>
    <t>W2</t>
  </si>
  <si>
    <t>W2 (corrected after Least Squares)</t>
  </si>
  <si>
    <t>K (corrected after Least Squares)</t>
  </si>
  <si>
    <t>n (corrected after Least Squares)</t>
  </si>
  <si>
    <t>unitless</t>
  </si>
  <si>
    <t>mM</t>
  </si>
  <si>
    <t>Estimated</t>
  </si>
  <si>
    <t>Found using Least Squares Error</t>
  </si>
  <si>
    <t>Promoter Function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</si>
</sst>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EE2E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NumberFormat="1"/>
    <xf numFmtId="0" fontId="0" fillId="0" borderId="0" xfId="0" applyNumberFormat="1" applyFill="1"/>
    <xf numFmtId="0" fontId="0" fillId="3" borderId="0" xfId="0" applyFill="1" applyAlignment="1">
      <alignment wrapText="1"/>
    </xf>
    <xf numFmtId="0" fontId="0" fillId="3" borderId="0" xfId="0" applyNumberFormat="1" applyFill="1"/>
    <xf numFmtId="168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0" fontId="0" fillId="5" borderId="0" xfId="0" applyFill="1" applyAlignment="1">
      <alignment wrapText="1"/>
    </xf>
    <xf numFmtId="168" fontId="0" fillId="0" borderId="0" xfId="0" applyNumberFormat="1"/>
    <xf numFmtId="0" fontId="0" fillId="2" borderId="0" xfId="0" applyFill="1" applyAlignment="1"/>
    <xf numFmtId="0" fontId="1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0" fillId="3" borderId="0" xfId="0" applyFill="1" applyAlignment="1"/>
    <xf numFmtId="0" fontId="0" fillId="6" borderId="0" xfId="0" applyFill="1" applyAlignment="1">
      <alignment wrapText="1"/>
    </xf>
    <xf numFmtId="0" fontId="0" fillId="6" borderId="0" xfId="0" applyNumberFormat="1" applyFill="1"/>
    <xf numFmtId="168" fontId="0" fillId="5" borderId="0" xfId="0" applyNumberFormat="1" applyFill="1"/>
    <xf numFmtId="0" fontId="2" fillId="7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&lt;n&gt; (nmol/gDW)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Sheet2!$O$2:$O$8</c:f>
                <c:numCache>
                  <c:formatCode>General</c:formatCode>
                  <c:ptCount val="7"/>
                  <c:pt idx="0">
                    <c:v>5.9306352896522363E-3</c:v>
                  </c:pt>
                  <c:pt idx="1">
                    <c:v>2.965317644826114E-2</c:v>
                  </c:pt>
                  <c:pt idx="2">
                    <c:v>1.7791905868956653E-2</c:v>
                  </c:pt>
                  <c:pt idx="3">
                    <c:v>1.1861270579304528E-2</c:v>
                  </c:pt>
                  <c:pt idx="4">
                    <c:v>1.1861270579304417E-2</c:v>
                  </c:pt>
                  <c:pt idx="5">
                    <c:v>1.1861270579304306E-2</c:v>
                  </c:pt>
                  <c:pt idx="6">
                    <c:v>5.9306352896520975E-3</c:v>
                  </c:pt>
                </c:numCache>
              </c:numRef>
            </c:plus>
            <c:minus>
              <c:numRef>
                <c:f>Sheet2!$N$2:$N$8</c:f>
                <c:numCache>
                  <c:formatCode>General</c:formatCode>
                  <c:ptCount val="7"/>
                  <c:pt idx="0">
                    <c:v>5.9306352896522224E-3</c:v>
                  </c:pt>
                  <c:pt idx="1">
                    <c:v>2.3722541158608904E-2</c:v>
                  </c:pt>
                  <c:pt idx="2">
                    <c:v>2.3722541158608917E-2</c:v>
                  </c:pt>
                  <c:pt idx="3">
                    <c:v>1.1861270579304417E-2</c:v>
                  </c:pt>
                  <c:pt idx="4">
                    <c:v>1.1861270579304473E-2</c:v>
                  </c:pt>
                  <c:pt idx="5">
                    <c:v>1.1861270579304528E-2</c:v>
                  </c:pt>
                  <c:pt idx="6">
                    <c:v>5.9306352896523196E-3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Sheet2!$J$2:$J$8</c:f>
              <c:numCache>
                <c:formatCode>0.000</c:formatCode>
                <c:ptCount val="7"/>
                <c:pt idx="0">
                  <c:v>9.9999999999999995E-7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Sheet2!$K$2:$K$8</c:f>
              <c:numCache>
                <c:formatCode>0.000</c:formatCode>
                <c:ptCount val="7"/>
                <c:pt idx="0">
                  <c:v>0.1126820705033923</c:v>
                </c:pt>
                <c:pt idx="1">
                  <c:v>0.12454334108269675</c:v>
                </c:pt>
                <c:pt idx="2">
                  <c:v>0.2431560468757413</c:v>
                </c:pt>
                <c:pt idx="3">
                  <c:v>0.39735256440669914</c:v>
                </c:pt>
                <c:pt idx="4">
                  <c:v>0.51003463491009149</c:v>
                </c:pt>
                <c:pt idx="5">
                  <c:v>0.55154908193765717</c:v>
                </c:pt>
                <c:pt idx="6">
                  <c:v>0.55154908193765717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2-4B3D-BC74-94CB5C8B547C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Sheet2!$J$2:$J$8</c:f>
              <c:numCache>
                <c:formatCode>0.000</c:formatCode>
                <c:ptCount val="7"/>
                <c:pt idx="0">
                  <c:v>9.9999999999999995E-7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Sheet2!$R$2:$R$8</c:f>
              <c:numCache>
                <c:formatCode>General</c:formatCode>
                <c:ptCount val="7"/>
                <c:pt idx="0">
                  <c:v>0.11431461479272252</c:v>
                </c:pt>
                <c:pt idx="1">
                  <c:v>0.12067931969101554</c:v>
                </c:pt>
                <c:pt idx="2">
                  <c:v>0.2504878261127656</c:v>
                </c:pt>
                <c:pt idx="3">
                  <c:v>0.38734756922129365</c:v>
                </c:pt>
                <c:pt idx="4">
                  <c:v>0.52472899230833092</c:v>
                </c:pt>
                <c:pt idx="5">
                  <c:v>0.54838447061277806</c:v>
                </c:pt>
                <c:pt idx="6">
                  <c:v>0.55158591572304627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2-4B3D-BC74-94CB5C8B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48831"/>
        <c:axId val="1681504047"/>
      </c:scatterChart>
      <c:valAx>
        <c:axId val="16536488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04047"/>
        <c:crosses val="autoZero"/>
        <c:crossBetween val="midCat"/>
      </c:valAx>
      <c:valAx>
        <c:axId val="16815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3DA03B-B17A-4024-A724-C7A1610CA8BB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5538B-58C0-41FC-8FD5-E08E211FD8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F2A9-D679-4888-B068-27013F77FFC3}">
  <dimension ref="A1:G35"/>
  <sheetViews>
    <sheetView workbookViewId="0">
      <selection activeCell="J18" sqref="J18"/>
    </sheetView>
  </sheetViews>
  <sheetFormatPr defaultRowHeight="14.4" x14ac:dyDescent="0.3"/>
  <cols>
    <col min="1" max="1" width="39.88671875" bestFit="1" customWidth="1"/>
    <col min="2" max="2" width="8.5546875" bestFit="1" customWidth="1"/>
    <col min="3" max="3" width="17" bestFit="1" customWidth="1"/>
    <col min="4" max="4" width="31.21875" bestFit="1" customWidth="1"/>
  </cols>
  <sheetData>
    <row r="1" spans="1:7" ht="19.8" x14ac:dyDescent="0.3">
      <c r="A1" s="40" t="s">
        <v>60</v>
      </c>
      <c r="B1" s="40"/>
      <c r="C1" s="40"/>
      <c r="D1" s="40"/>
    </row>
    <row r="2" spans="1:7" x14ac:dyDescent="0.3">
      <c r="A2" s="10" t="s">
        <v>53</v>
      </c>
      <c r="B2" s="10" t="s">
        <v>54</v>
      </c>
      <c r="C2" s="10" t="s">
        <v>55</v>
      </c>
      <c r="D2" s="10" t="s">
        <v>56</v>
      </c>
    </row>
    <row r="3" spans="1:7" x14ac:dyDescent="0.3">
      <c r="A3" s="34" t="s">
        <v>58</v>
      </c>
      <c r="B3" s="9">
        <v>2.8000000000000002E-13</v>
      </c>
      <c r="C3" s="8" t="s">
        <v>57</v>
      </c>
      <c r="D3" s="8" t="s">
        <v>59</v>
      </c>
    </row>
    <row r="4" spans="1:7" x14ac:dyDescent="0.3">
      <c r="A4" s="35" t="s">
        <v>12</v>
      </c>
      <c r="B4" s="35">
        <v>2.8000000000000003E-5</v>
      </c>
      <c r="C4" s="35" t="s">
        <v>61</v>
      </c>
      <c r="D4" s="35" t="s">
        <v>62</v>
      </c>
    </row>
    <row r="5" spans="1:7" ht="15" thickBot="1" x14ac:dyDescent="0.35">
      <c r="A5" s="8" t="s">
        <v>64</v>
      </c>
      <c r="B5" s="9">
        <v>6.0220000000000005E-23</v>
      </c>
      <c r="C5" s="8" t="s">
        <v>63</v>
      </c>
      <c r="D5" s="8" t="s">
        <v>65</v>
      </c>
    </row>
    <row r="6" spans="1:7" ht="15" x14ac:dyDescent="0.3">
      <c r="A6" s="8" t="s">
        <v>68</v>
      </c>
      <c r="B6" s="8">
        <v>3.72</v>
      </c>
      <c r="C6" s="8" t="s">
        <v>67</v>
      </c>
      <c r="D6" s="8" t="s">
        <v>66</v>
      </c>
      <c r="G6" s="33"/>
    </row>
    <row r="7" spans="1:7" x14ac:dyDescent="0.3">
      <c r="A7" s="8" t="s">
        <v>68</v>
      </c>
      <c r="B7" s="8">
        <v>223200</v>
      </c>
      <c r="C7" s="8" t="s">
        <v>69</v>
      </c>
      <c r="D7" s="8" t="s">
        <v>62</v>
      </c>
    </row>
    <row r="8" spans="1:7" x14ac:dyDescent="0.3">
      <c r="A8" s="8" t="s">
        <v>14</v>
      </c>
      <c r="B8" s="8">
        <v>1000</v>
      </c>
      <c r="C8" s="8" t="s">
        <v>71</v>
      </c>
      <c r="D8" s="8" t="s">
        <v>70</v>
      </c>
    </row>
    <row r="9" spans="1:7" x14ac:dyDescent="0.3">
      <c r="A9" s="8" t="s">
        <v>73</v>
      </c>
      <c r="B9" s="8">
        <v>223.2</v>
      </c>
      <c r="C9" s="8" t="s">
        <v>72</v>
      </c>
      <c r="D9" s="8" t="s">
        <v>62</v>
      </c>
    </row>
    <row r="10" spans="1:7" x14ac:dyDescent="0.3">
      <c r="A10" s="8" t="s">
        <v>75</v>
      </c>
      <c r="B10" s="8">
        <v>3075</v>
      </c>
      <c r="C10" s="8" t="s">
        <v>71</v>
      </c>
      <c r="D10" s="8" t="s">
        <v>74</v>
      </c>
    </row>
    <row r="11" spans="1:7" x14ac:dyDescent="0.3">
      <c r="A11" s="35" t="s">
        <v>76</v>
      </c>
      <c r="B11" s="35">
        <v>72.58536585365853</v>
      </c>
      <c r="C11" s="35" t="s">
        <v>72</v>
      </c>
      <c r="D11" s="35" t="s">
        <v>62</v>
      </c>
    </row>
    <row r="12" spans="1:7" x14ac:dyDescent="0.3">
      <c r="A12" s="8" t="s">
        <v>79</v>
      </c>
      <c r="B12" s="8">
        <v>30</v>
      </c>
      <c r="C12" s="8" t="s">
        <v>78</v>
      </c>
      <c r="D12" s="8" t="s">
        <v>77</v>
      </c>
    </row>
    <row r="13" spans="1:7" x14ac:dyDescent="0.3">
      <c r="A13" s="8" t="s">
        <v>81</v>
      </c>
      <c r="B13" s="8">
        <v>126</v>
      </c>
      <c r="C13" s="8" t="s">
        <v>78</v>
      </c>
      <c r="D13" s="8" t="s">
        <v>80</v>
      </c>
    </row>
    <row r="14" spans="1:7" x14ac:dyDescent="0.3">
      <c r="A14" s="35" t="s">
        <v>81</v>
      </c>
      <c r="B14" s="35">
        <v>4499.9999999999991</v>
      </c>
      <c r="C14" s="35" t="s">
        <v>82</v>
      </c>
      <c r="D14" s="35" t="s">
        <v>62</v>
      </c>
    </row>
    <row r="15" spans="1:7" x14ac:dyDescent="0.3">
      <c r="A15" s="35" t="s">
        <v>83</v>
      </c>
      <c r="B15" s="35">
        <v>1.1861270579304454E-2</v>
      </c>
      <c r="C15" s="35" t="s">
        <v>82</v>
      </c>
      <c r="D15" s="35" t="s">
        <v>62</v>
      </c>
    </row>
    <row r="16" spans="1:7" x14ac:dyDescent="0.3">
      <c r="A16" s="8" t="s">
        <v>86</v>
      </c>
      <c r="B16" s="8">
        <v>2.4E-2</v>
      </c>
      <c r="C16" s="8" t="s">
        <v>84</v>
      </c>
      <c r="D16" s="8" t="s">
        <v>85</v>
      </c>
    </row>
    <row r="17" spans="1:4" x14ac:dyDescent="0.3">
      <c r="A17" s="8" t="s">
        <v>87</v>
      </c>
      <c r="B17" s="8">
        <v>86.4</v>
      </c>
      <c r="C17" s="8" t="s">
        <v>72</v>
      </c>
      <c r="D17" s="8" t="s">
        <v>62</v>
      </c>
    </row>
    <row r="18" spans="1:4" x14ac:dyDescent="0.3">
      <c r="A18" s="35" t="s">
        <v>88</v>
      </c>
      <c r="B18" s="35">
        <v>0.84010840108401075</v>
      </c>
      <c r="C18" s="35" t="s">
        <v>89</v>
      </c>
      <c r="D18" s="35" t="s">
        <v>62</v>
      </c>
    </row>
    <row r="19" spans="1:4" x14ac:dyDescent="0.3">
      <c r="A19" s="8" t="s">
        <v>91</v>
      </c>
      <c r="B19" s="8">
        <v>960000</v>
      </c>
      <c r="C19" s="8" t="s">
        <v>90</v>
      </c>
      <c r="D19" s="8" t="s">
        <v>85</v>
      </c>
    </row>
    <row r="20" spans="1:4" x14ac:dyDescent="0.3">
      <c r="A20" s="8" t="s">
        <v>91</v>
      </c>
      <c r="B20" s="8">
        <v>3456.0000000000005</v>
      </c>
      <c r="C20" s="8" t="s">
        <v>92</v>
      </c>
      <c r="D20" s="8" t="s">
        <v>62</v>
      </c>
    </row>
    <row r="21" spans="1:4" x14ac:dyDescent="0.3">
      <c r="A21" s="8" t="s">
        <v>94</v>
      </c>
      <c r="B21" s="8">
        <v>40</v>
      </c>
      <c r="C21" s="8" t="s">
        <v>93</v>
      </c>
      <c r="D21" s="8" t="s">
        <v>62</v>
      </c>
    </row>
    <row r="22" spans="1:4" x14ac:dyDescent="0.3">
      <c r="A22" s="8" t="s">
        <v>96</v>
      </c>
      <c r="B22" s="8">
        <v>2.5000000000000001E-2</v>
      </c>
      <c r="C22" s="8" t="s">
        <v>95</v>
      </c>
      <c r="D22" s="8" t="s">
        <v>62</v>
      </c>
    </row>
    <row r="23" spans="1:4" x14ac:dyDescent="0.3">
      <c r="A23" s="35" t="s">
        <v>96</v>
      </c>
      <c r="B23" s="35">
        <v>892.85714285714278</v>
      </c>
      <c r="C23" s="35" t="s">
        <v>82</v>
      </c>
      <c r="D23" s="35" t="s">
        <v>62</v>
      </c>
    </row>
    <row r="24" spans="1:4" x14ac:dyDescent="0.3">
      <c r="A24" s="8" t="s">
        <v>19</v>
      </c>
      <c r="B24" s="8">
        <v>8.3333333333333329E-2</v>
      </c>
      <c r="C24" s="8" t="s">
        <v>97</v>
      </c>
      <c r="D24" s="8" t="s">
        <v>70</v>
      </c>
    </row>
    <row r="25" spans="1:4" x14ac:dyDescent="0.3">
      <c r="A25" s="35" t="s">
        <v>98</v>
      </c>
      <c r="B25" s="35">
        <v>8.3177661667193448</v>
      </c>
      <c r="C25" s="35" t="s">
        <v>72</v>
      </c>
      <c r="D25" s="35" t="s">
        <v>62</v>
      </c>
    </row>
    <row r="26" spans="1:4" x14ac:dyDescent="0.3">
      <c r="A26" s="8" t="s">
        <v>99</v>
      </c>
      <c r="B26" s="8">
        <v>0.66666666666666663</v>
      </c>
      <c r="C26" s="8" t="s">
        <v>97</v>
      </c>
      <c r="D26" s="8" t="s">
        <v>70</v>
      </c>
    </row>
    <row r="27" spans="1:4" x14ac:dyDescent="0.3">
      <c r="A27" s="35" t="s">
        <v>100</v>
      </c>
      <c r="B27" s="35">
        <v>1.0397207708399181</v>
      </c>
      <c r="C27" s="35" t="s">
        <v>72</v>
      </c>
      <c r="D27" s="35" t="s">
        <v>62</v>
      </c>
    </row>
    <row r="28" spans="1:4" x14ac:dyDescent="0.3">
      <c r="A28" s="36" t="s">
        <v>101</v>
      </c>
      <c r="B28" s="37">
        <v>0.5519549414577265</v>
      </c>
      <c r="C28" s="36" t="s">
        <v>82</v>
      </c>
      <c r="D28" s="36" t="s">
        <v>62</v>
      </c>
    </row>
    <row r="29" spans="1:4" x14ac:dyDescent="0.3">
      <c r="A29" s="8" t="s">
        <v>102</v>
      </c>
      <c r="B29" s="8">
        <v>0.26</v>
      </c>
      <c r="C29" s="8" t="s">
        <v>107</v>
      </c>
      <c r="D29" s="8" t="s">
        <v>109</v>
      </c>
    </row>
    <row r="30" spans="1:4" x14ac:dyDescent="0.3">
      <c r="A30" s="8" t="s">
        <v>103</v>
      </c>
      <c r="B30" s="8">
        <v>300</v>
      </c>
      <c r="C30" s="8" t="s">
        <v>107</v>
      </c>
      <c r="D30" s="8" t="s">
        <v>109</v>
      </c>
    </row>
    <row r="31" spans="1:4" x14ac:dyDescent="0.3">
      <c r="A31" s="8" t="s">
        <v>104</v>
      </c>
      <c r="B31" s="8">
        <v>266</v>
      </c>
      <c r="C31" s="8" t="s">
        <v>107</v>
      </c>
      <c r="D31" s="8" t="s">
        <v>110</v>
      </c>
    </row>
    <row r="32" spans="1:4" x14ac:dyDescent="0.3">
      <c r="A32" s="8" t="s">
        <v>45</v>
      </c>
      <c r="B32" s="8">
        <v>0.3</v>
      </c>
      <c r="C32" s="8" t="s">
        <v>108</v>
      </c>
      <c r="D32" s="8" t="s">
        <v>109</v>
      </c>
    </row>
    <row r="33" spans="1:4" x14ac:dyDescent="0.3">
      <c r="A33" s="8" t="s">
        <v>105</v>
      </c>
      <c r="B33" s="8">
        <v>0.36</v>
      </c>
      <c r="C33" s="8" t="s">
        <v>108</v>
      </c>
      <c r="D33" s="8" t="s">
        <v>110</v>
      </c>
    </row>
    <row r="34" spans="1:4" x14ac:dyDescent="0.3">
      <c r="A34" s="8" t="s">
        <v>46</v>
      </c>
      <c r="B34" s="8">
        <v>1.5</v>
      </c>
      <c r="C34" s="8" t="s">
        <v>107</v>
      </c>
      <c r="D34" s="8" t="s">
        <v>109</v>
      </c>
    </row>
    <row r="35" spans="1:4" x14ac:dyDescent="0.3">
      <c r="A35" s="8" t="s">
        <v>106</v>
      </c>
      <c r="B35" s="8">
        <v>1.49</v>
      </c>
      <c r="C35" s="8" t="s">
        <v>107</v>
      </c>
      <c r="D35" s="8" t="s">
        <v>110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FFA5-2A02-4464-A755-73472AF9FC74}">
  <dimension ref="A1:T40"/>
  <sheetViews>
    <sheetView tabSelected="1" workbookViewId="0">
      <selection activeCell="J33" sqref="J33"/>
    </sheetView>
  </sheetViews>
  <sheetFormatPr defaultRowHeight="14.4" x14ac:dyDescent="0.3"/>
  <cols>
    <col min="1" max="1" width="33.77734375" bestFit="1" customWidth="1"/>
    <col min="2" max="2" width="16.33203125" bestFit="1" customWidth="1"/>
    <col min="6" max="6" width="16.33203125" bestFit="1" customWidth="1"/>
    <col min="7" max="7" width="14.44140625" bestFit="1" customWidth="1"/>
    <col min="8" max="9" width="14.44140625" customWidth="1"/>
    <col min="10" max="10" width="16.33203125" bestFit="1" customWidth="1"/>
    <col min="11" max="11" width="15.21875" bestFit="1" customWidth="1"/>
    <col min="12" max="12" width="16.6640625" bestFit="1" customWidth="1"/>
    <col min="13" max="13" width="17.44140625" bestFit="1" customWidth="1"/>
    <col min="14" max="14" width="16.6640625" bestFit="1" customWidth="1"/>
    <col min="15" max="15" width="17.44140625" bestFit="1" customWidth="1"/>
    <col min="16" max="16" width="12" bestFit="1" customWidth="1"/>
    <col min="20" max="20" width="10" bestFit="1" customWidth="1"/>
  </cols>
  <sheetData>
    <row r="1" spans="1:20" x14ac:dyDescent="0.3">
      <c r="A1" s="38" t="s">
        <v>2</v>
      </c>
      <c r="B1" s="38"/>
      <c r="F1" s="11" t="s">
        <v>0</v>
      </c>
      <c r="G1" s="11" t="s">
        <v>1</v>
      </c>
      <c r="H1" s="11" t="s">
        <v>27</v>
      </c>
      <c r="I1" s="11" t="s">
        <v>24</v>
      </c>
      <c r="J1" s="26" t="s">
        <v>0</v>
      </c>
      <c r="K1" s="26" t="s">
        <v>10</v>
      </c>
      <c r="L1" s="28" t="s">
        <v>25</v>
      </c>
      <c r="M1" s="28" t="s">
        <v>26</v>
      </c>
      <c r="N1" s="28" t="s">
        <v>25</v>
      </c>
      <c r="O1" s="28" t="s">
        <v>26</v>
      </c>
      <c r="P1" s="41" t="s">
        <v>47</v>
      </c>
      <c r="Q1" s="41" t="s">
        <v>48</v>
      </c>
      <c r="R1" s="41" t="s">
        <v>49</v>
      </c>
      <c r="S1" s="41" t="s">
        <v>50</v>
      </c>
      <c r="T1" s="41" t="s">
        <v>51</v>
      </c>
    </row>
    <row r="2" spans="1:20" x14ac:dyDescent="0.3">
      <c r="A2" s="3" t="s">
        <v>4</v>
      </c>
      <c r="B2" s="4">
        <v>40</v>
      </c>
      <c r="F2" s="6">
        <v>0</v>
      </c>
      <c r="G2" s="6">
        <v>19</v>
      </c>
      <c r="H2" s="6">
        <v>18</v>
      </c>
      <c r="I2" s="6">
        <v>20</v>
      </c>
      <c r="J2" s="27">
        <v>9.9999999999999995E-7</v>
      </c>
      <c r="K2" s="27">
        <f>((((G2*$B$3*$B$7)/$B$14)*(10^9)/$B$13))</f>
        <v>0.1126820705033923</v>
      </c>
      <c r="L2" s="27">
        <f>((((H2*$B$3*$B$7)/$B$14)*(10^9)/$B$13))</f>
        <v>0.10675143521374007</v>
      </c>
      <c r="M2" s="27">
        <f>((((I2*$B$3*$B$7)/$B$14)*(10^9)/$B$13))</f>
        <v>0.11861270579304453</v>
      </c>
      <c r="N2" s="27">
        <f>K2-((((H2*$B$3*$B$7)/$B$14)*(10^9)/$B$13))</f>
        <v>5.9306352896522224E-3</v>
      </c>
      <c r="O2" s="27">
        <f>((((I2*$B$3*$B$7)/$B$14)*(10^9)/$B$13)) - K2</f>
        <v>5.9306352896522363E-3</v>
      </c>
      <c r="P2" s="4">
        <f>((J2^$H$39)/($H$38^$H$39)+(J2^$H$39))</f>
        <v>6.8382970422116017E-9</v>
      </c>
      <c r="Q2" s="4">
        <f>($H$36+($H$37*P2))/(1+$H$36+($H$37*P2))</f>
        <v>0.20710859928314951</v>
      </c>
      <c r="R2" s="4">
        <f>Q2*$B$36</f>
        <v>0.11431461479272252</v>
      </c>
      <c r="S2" s="5">
        <f>K2-R2</f>
        <v>-1.6325442893302261E-3</v>
      </c>
      <c r="T2" s="5">
        <f>S2^2</f>
        <v>2.665200856624733E-6</v>
      </c>
    </row>
    <row r="3" spans="1:20" x14ac:dyDescent="0.3">
      <c r="A3" s="3" t="s">
        <v>3</v>
      </c>
      <c r="B3" s="5">
        <v>100000000</v>
      </c>
      <c r="F3" s="7">
        <v>5.0000000000000001E-4</v>
      </c>
      <c r="G3" s="6">
        <v>21</v>
      </c>
      <c r="H3" s="6">
        <v>17</v>
      </c>
      <c r="I3" s="6">
        <v>26</v>
      </c>
      <c r="J3" s="27">
        <v>5.0000000000000001E-4</v>
      </c>
      <c r="K3" s="27">
        <f t="shared" ref="K3:M8" si="0">((((G3*$B$3*$B$7)/$B$14)*(10^9)/$B$13))</f>
        <v>0.12454334108269675</v>
      </c>
      <c r="L3" s="27">
        <f t="shared" si="0"/>
        <v>0.10082079992408785</v>
      </c>
      <c r="M3" s="27">
        <f t="shared" si="0"/>
        <v>0.15419651753095789</v>
      </c>
      <c r="N3" s="27">
        <f t="shared" ref="N3:N8" si="1">K3-((((H3*$B$3*$B$7)/$B$14)*(10^9)/$B$13))</f>
        <v>2.3722541158608904E-2</v>
      </c>
      <c r="O3" s="27">
        <f t="shared" ref="O3:O8" si="2">((((I3*$B$3*$B$7)/$B$14)*(10^9)/$B$13)) - K3</f>
        <v>2.965317644826114E-2</v>
      </c>
      <c r="P3" s="4">
        <f t="shared" ref="P3:P8" si="3">((J3^$H$39)/($H$38^$H$39)+(J3^$H$39))</f>
        <v>6.999119099519301E-5</v>
      </c>
      <c r="Q3" s="4">
        <f t="shared" ref="Q3:Q8" si="4">($H$36+($H$37*P3))/(1+$H$36+($H$37*P3))</f>
        <v>0.21863980304678224</v>
      </c>
      <c r="R3" s="4">
        <f t="shared" ref="R3:R8" si="5">Q3*$B$36</f>
        <v>0.12067931969101554</v>
      </c>
      <c r="S3" s="5">
        <f t="shared" ref="S3:S8" si="6">K3-R3</f>
        <v>3.8640213916812105E-3</v>
      </c>
      <c r="T3" s="5">
        <f t="shared" ref="T3:T8" si="7">S3^2</f>
        <v>1.4930661315369998E-5</v>
      </c>
    </row>
    <row r="4" spans="1:20" x14ac:dyDescent="0.3">
      <c r="A4" s="3" t="s">
        <v>5</v>
      </c>
      <c r="B4" s="4">
        <v>5</v>
      </c>
      <c r="F4" s="6">
        <v>5.0000000000000001E-3</v>
      </c>
      <c r="G4" s="6">
        <v>41</v>
      </c>
      <c r="H4" s="6">
        <v>37</v>
      </c>
      <c r="I4" s="6">
        <v>44</v>
      </c>
      <c r="J4" s="27">
        <v>5.0000000000000001E-3</v>
      </c>
      <c r="K4" s="27">
        <f t="shared" si="0"/>
        <v>0.2431560468757413</v>
      </c>
      <c r="L4" s="27">
        <f t="shared" si="0"/>
        <v>0.21943350571713238</v>
      </c>
      <c r="M4" s="27">
        <f t="shared" si="0"/>
        <v>0.26094795274469795</v>
      </c>
      <c r="N4" s="27">
        <f t="shared" si="1"/>
        <v>2.3722541158608917E-2</v>
      </c>
      <c r="O4" s="27">
        <f t="shared" si="2"/>
        <v>1.7791905868956653E-2</v>
      </c>
      <c r="P4" s="4">
        <f t="shared" si="3"/>
        <v>2.1420554467703906E-3</v>
      </c>
      <c r="Q4" s="4">
        <f t="shared" si="4"/>
        <v>0.45381933795396617</v>
      </c>
      <c r="R4" s="4">
        <f t="shared" si="5"/>
        <v>0.2504878261127656</v>
      </c>
      <c r="S4" s="5">
        <f t="shared" si="6"/>
        <v>-7.3317792370242996E-3</v>
      </c>
      <c r="T4" s="5">
        <f t="shared" si="7"/>
        <v>5.3754986780460621E-5</v>
      </c>
    </row>
    <row r="5" spans="1:20" x14ac:dyDescent="0.3">
      <c r="A5" s="3" t="s">
        <v>6</v>
      </c>
      <c r="B5" s="4">
        <v>2</v>
      </c>
      <c r="F5" s="6">
        <v>1.2E-2</v>
      </c>
      <c r="G5" s="6">
        <v>67</v>
      </c>
      <c r="H5" s="6">
        <v>65</v>
      </c>
      <c r="I5" s="6">
        <v>69</v>
      </c>
      <c r="J5" s="27">
        <v>1.2E-2</v>
      </c>
      <c r="K5" s="27">
        <f t="shared" si="0"/>
        <v>0.39735256440669914</v>
      </c>
      <c r="L5" s="27">
        <f t="shared" si="0"/>
        <v>0.38549129382739472</v>
      </c>
      <c r="M5" s="27">
        <f t="shared" si="0"/>
        <v>0.40921383498600367</v>
      </c>
      <c r="N5" s="27">
        <f t="shared" si="1"/>
        <v>1.1861270579304417E-2</v>
      </c>
      <c r="O5" s="27">
        <f t="shared" si="2"/>
        <v>1.1861270579304528E-2</v>
      </c>
      <c r="P5" s="4">
        <f t="shared" si="3"/>
        <v>7.8658154362131454E-3</v>
      </c>
      <c r="Q5" s="4">
        <f t="shared" si="4"/>
        <v>0.7017738951630712</v>
      </c>
      <c r="R5" s="4">
        <f t="shared" si="5"/>
        <v>0.38734756922129365</v>
      </c>
      <c r="S5" s="5">
        <f t="shared" si="6"/>
        <v>1.0004995185405485E-2</v>
      </c>
      <c r="T5" s="5">
        <f t="shared" si="7"/>
        <v>1.0009992865998694E-4</v>
      </c>
    </row>
    <row r="6" spans="1:20" x14ac:dyDescent="0.3">
      <c r="A6" s="3" t="s">
        <v>7</v>
      </c>
      <c r="B6" s="4">
        <v>1000</v>
      </c>
      <c r="F6" s="6">
        <v>5.2999999999999999E-2</v>
      </c>
      <c r="G6" s="6">
        <v>86</v>
      </c>
      <c r="H6" s="6">
        <v>84</v>
      </c>
      <c r="I6" s="6">
        <v>88</v>
      </c>
      <c r="J6" s="27">
        <v>5.2999999999999999E-2</v>
      </c>
      <c r="K6" s="27">
        <f t="shared" si="0"/>
        <v>0.51003463491009149</v>
      </c>
      <c r="L6" s="27">
        <f t="shared" si="0"/>
        <v>0.49817336433078702</v>
      </c>
      <c r="M6" s="27">
        <f t="shared" si="0"/>
        <v>0.52189590548939591</v>
      </c>
      <c r="N6" s="27">
        <f t="shared" si="1"/>
        <v>1.1861270579304473E-2</v>
      </c>
      <c r="O6" s="27">
        <f t="shared" si="2"/>
        <v>1.1861270579304417E-2</v>
      </c>
      <c r="P6" s="4">
        <f t="shared" si="3"/>
        <v>7.1485369565087553E-2</v>
      </c>
      <c r="Q6" s="4">
        <f t="shared" si="4"/>
        <v>0.95067360194748651</v>
      </c>
      <c r="R6" s="4">
        <f t="shared" si="5"/>
        <v>0.52472899230833092</v>
      </c>
      <c r="S6" s="5">
        <f t="shared" si="6"/>
        <v>-1.4694357398239433E-2</v>
      </c>
      <c r="T6" s="5">
        <f t="shared" si="7"/>
        <v>2.1592413934719395E-4</v>
      </c>
    </row>
    <row r="7" spans="1:20" x14ac:dyDescent="0.3">
      <c r="A7" s="3" t="s">
        <v>8</v>
      </c>
      <c r="B7" s="4">
        <v>1</v>
      </c>
      <c r="F7" s="6">
        <v>0.216</v>
      </c>
      <c r="G7" s="6">
        <v>93</v>
      </c>
      <c r="H7" s="6">
        <v>91</v>
      </c>
      <c r="I7" s="6">
        <v>95</v>
      </c>
      <c r="J7" s="27">
        <v>0.216</v>
      </c>
      <c r="K7" s="27">
        <f t="shared" si="0"/>
        <v>0.55154908193765717</v>
      </c>
      <c r="L7" s="27">
        <f t="shared" si="0"/>
        <v>0.53968781135835264</v>
      </c>
      <c r="M7" s="27">
        <f t="shared" si="0"/>
        <v>0.56341035251696148</v>
      </c>
      <c r="N7" s="27">
        <f t="shared" si="1"/>
        <v>1.1861270579304528E-2</v>
      </c>
      <c r="O7" s="27">
        <f t="shared" si="2"/>
        <v>1.1861270579304306E-2</v>
      </c>
      <c r="P7" s="4">
        <f t="shared" si="3"/>
        <v>0.5765164834084805</v>
      </c>
      <c r="Q7" s="4">
        <f t="shared" si="4"/>
        <v>0.99353122768405933</v>
      </c>
      <c r="R7" s="4">
        <f t="shared" si="5"/>
        <v>0.54838447061277806</v>
      </c>
      <c r="S7" s="5">
        <f t="shared" si="6"/>
        <v>3.1646113248791075E-3</v>
      </c>
      <c r="T7" s="5">
        <f t="shared" si="7"/>
        <v>1.0014764837553099E-5</v>
      </c>
    </row>
    <row r="8" spans="1:20" x14ac:dyDescent="0.3">
      <c r="F8" s="6">
        <v>1</v>
      </c>
      <c r="G8" s="6">
        <v>93</v>
      </c>
      <c r="H8" s="6">
        <v>92</v>
      </c>
      <c r="I8" s="6">
        <v>94</v>
      </c>
      <c r="J8" s="27">
        <v>1</v>
      </c>
      <c r="K8" s="27">
        <f t="shared" si="0"/>
        <v>0.55154908193765717</v>
      </c>
      <c r="L8" s="27">
        <f t="shared" si="0"/>
        <v>0.54561844664800485</v>
      </c>
      <c r="M8" s="27">
        <f t="shared" si="0"/>
        <v>0.55747971722730927</v>
      </c>
      <c r="N8" s="27">
        <f t="shared" si="1"/>
        <v>5.9306352896523196E-3</v>
      </c>
      <c r="O8" s="27">
        <f t="shared" si="2"/>
        <v>5.9306352896520975E-3</v>
      </c>
      <c r="P8" s="4">
        <f t="shared" si="3"/>
        <v>5.6191666115132071</v>
      </c>
      <c r="Q8" s="4">
        <f t="shared" si="4"/>
        <v>0.99933142054366686</v>
      </c>
      <c r="R8" s="4">
        <f t="shared" si="5"/>
        <v>0.55158591572304627</v>
      </c>
      <c r="S8" s="5">
        <f t="shared" si="6"/>
        <v>-3.6833785389100981E-5</v>
      </c>
      <c r="T8" s="5">
        <f t="shared" si="7"/>
        <v>1.3567277460903489E-9</v>
      </c>
    </row>
    <row r="9" spans="1:20" x14ac:dyDescent="0.3">
      <c r="S9" t="s">
        <v>52</v>
      </c>
      <c r="T9" s="1">
        <f>SUM(T2:T8)</f>
        <v>3.9739103852493544E-4</v>
      </c>
    </row>
    <row r="11" spans="1:20" x14ac:dyDescent="0.3">
      <c r="A11" s="39" t="s">
        <v>11</v>
      </c>
      <c r="B11" s="39"/>
    </row>
    <row r="12" spans="1:20" ht="28.8" x14ac:dyDescent="0.3">
      <c r="A12" s="2" t="s">
        <v>28</v>
      </c>
      <c r="B12" s="1">
        <v>2.8000000000000002E-13</v>
      </c>
    </row>
    <row r="13" spans="1:20" x14ac:dyDescent="0.3">
      <c r="A13" s="19" t="s">
        <v>12</v>
      </c>
      <c r="B13" s="20">
        <f>B12*B3*B7</f>
        <v>2.8000000000000003E-5</v>
      </c>
      <c r="F13" s="1"/>
      <c r="J13" s="1"/>
    </row>
    <row r="14" spans="1:20" x14ac:dyDescent="0.3">
      <c r="A14" s="2" t="s">
        <v>9</v>
      </c>
      <c r="B14" s="1">
        <v>6.0220000000000003E+23</v>
      </c>
      <c r="E14" s="1"/>
      <c r="F14" s="1"/>
      <c r="G14" s="1"/>
      <c r="H14" s="1"/>
      <c r="I14" s="1"/>
      <c r="J14" s="1"/>
    </row>
    <row r="15" spans="1:20" ht="28.8" x14ac:dyDescent="0.3">
      <c r="A15" s="2" t="s">
        <v>29</v>
      </c>
      <c r="B15" s="14">
        <v>3.72</v>
      </c>
      <c r="E15" s="1"/>
      <c r="F15" s="1"/>
      <c r="G15" s="1"/>
      <c r="H15" s="1"/>
      <c r="I15" s="1"/>
      <c r="J15" s="1"/>
    </row>
    <row r="16" spans="1:20" ht="28.8" x14ac:dyDescent="0.3">
      <c r="A16" s="2" t="s">
        <v>30</v>
      </c>
      <c r="B16" s="14">
        <v>223200</v>
      </c>
      <c r="E16" s="1"/>
      <c r="F16" s="1"/>
      <c r="G16" s="1"/>
      <c r="H16" s="1"/>
      <c r="I16" s="1"/>
      <c r="J16" s="1"/>
    </row>
    <row r="17" spans="1:10" x14ac:dyDescent="0.3">
      <c r="A17" s="13" t="s">
        <v>15</v>
      </c>
      <c r="B17" s="15">
        <v>1000</v>
      </c>
      <c r="E17" s="1"/>
      <c r="F17" s="1"/>
      <c r="G17" s="1"/>
      <c r="H17" s="1"/>
      <c r="I17" s="1"/>
      <c r="J17" s="1"/>
    </row>
    <row r="18" spans="1:10" ht="28.8" x14ac:dyDescent="0.3">
      <c r="A18" s="2" t="s">
        <v>31</v>
      </c>
      <c r="B18" s="14">
        <f>B16/B17</f>
        <v>223.2</v>
      </c>
      <c r="E18" s="1"/>
      <c r="F18" s="1"/>
      <c r="G18" s="1"/>
      <c r="H18" s="1"/>
      <c r="I18" s="1"/>
      <c r="J18" s="1"/>
    </row>
    <row r="19" spans="1:10" ht="28.8" x14ac:dyDescent="0.3">
      <c r="A19" s="2" t="s">
        <v>16</v>
      </c>
      <c r="B19" s="14">
        <v>3075</v>
      </c>
      <c r="E19" s="1"/>
      <c r="F19" s="1"/>
      <c r="G19" s="1"/>
      <c r="H19" s="1"/>
      <c r="I19" s="1"/>
      <c r="J19" s="1"/>
    </row>
    <row r="20" spans="1:10" ht="28.8" x14ac:dyDescent="0.3">
      <c r="A20" s="16" t="s">
        <v>32</v>
      </c>
      <c r="B20" s="17">
        <f>B18*(B17/B19)</f>
        <v>72.58536585365853</v>
      </c>
      <c r="E20" s="1"/>
      <c r="F20" s="1"/>
      <c r="G20" s="1"/>
      <c r="H20" s="1"/>
      <c r="I20" s="1"/>
      <c r="J20" s="1"/>
    </row>
    <row r="21" spans="1:10" x14ac:dyDescent="0.3">
      <c r="A21" s="25" t="s">
        <v>13</v>
      </c>
      <c r="B21" s="12">
        <v>126</v>
      </c>
      <c r="C21" t="s">
        <v>42</v>
      </c>
      <c r="E21" s="1"/>
      <c r="F21" s="1"/>
      <c r="G21" s="1"/>
      <c r="H21" s="1"/>
      <c r="I21" s="1"/>
      <c r="J21" s="1"/>
    </row>
    <row r="22" spans="1:10" x14ac:dyDescent="0.3">
      <c r="A22" s="29" t="s">
        <v>21</v>
      </c>
      <c r="B22" s="17">
        <f>(B21)*(1/10^3)*(1/B13)</f>
        <v>4499.9999999999991</v>
      </c>
      <c r="E22" s="1"/>
      <c r="F22" s="1"/>
      <c r="G22" s="1"/>
      <c r="H22" s="1"/>
      <c r="I22" s="1"/>
      <c r="J22" s="1"/>
    </row>
    <row r="23" spans="1:10" ht="28.8" x14ac:dyDescent="0.3">
      <c r="A23" s="16" t="s">
        <v>22</v>
      </c>
      <c r="B23" s="17">
        <f>2*(B3)*(1/B14)*(1000000000)*(1/B13)</f>
        <v>1.1861270579304454E-2</v>
      </c>
      <c r="F23" s="1"/>
      <c r="G23" s="1"/>
      <c r="H23" s="1"/>
      <c r="I23" s="1"/>
    </row>
    <row r="24" spans="1:10" x14ac:dyDescent="0.3">
      <c r="A24" s="2" t="s">
        <v>33</v>
      </c>
      <c r="B24" s="14">
        <v>2.4E-2</v>
      </c>
    </row>
    <row r="25" spans="1:10" x14ac:dyDescent="0.3">
      <c r="A25" s="2" t="s">
        <v>34</v>
      </c>
      <c r="B25" s="14">
        <f>B24*3600</f>
        <v>86.4</v>
      </c>
    </row>
    <row r="26" spans="1:10" x14ac:dyDescent="0.3">
      <c r="A26" s="16" t="s">
        <v>17</v>
      </c>
      <c r="B26" s="18">
        <f>B20/B25</f>
        <v>0.84010840108401075</v>
      </c>
    </row>
    <row r="27" spans="1:10" x14ac:dyDescent="0.3">
      <c r="A27" s="2" t="s">
        <v>18</v>
      </c>
      <c r="B27" s="1">
        <v>960000</v>
      </c>
    </row>
    <row r="28" spans="1:10" x14ac:dyDescent="0.3">
      <c r="A28" s="2" t="s">
        <v>35</v>
      </c>
      <c r="B28" s="14">
        <f>(B27)*(3600)*(1/1000000000)*(1000)</f>
        <v>3456.0000000000005</v>
      </c>
    </row>
    <row r="29" spans="1:10" x14ac:dyDescent="0.3">
      <c r="A29" s="13" t="s">
        <v>36</v>
      </c>
      <c r="B29" s="14">
        <f>B28/B25</f>
        <v>40</v>
      </c>
    </row>
    <row r="30" spans="1:10" x14ac:dyDescent="0.3">
      <c r="A30" s="30" t="s">
        <v>37</v>
      </c>
      <c r="B30" s="31">
        <f>1/B29</f>
        <v>2.5000000000000001E-2</v>
      </c>
    </row>
    <row r="31" spans="1:10" x14ac:dyDescent="0.3">
      <c r="A31" s="16" t="s">
        <v>23</v>
      </c>
      <c r="B31" s="17">
        <f>B30/B13</f>
        <v>892.85714285714278</v>
      </c>
    </row>
    <row r="32" spans="1:10" x14ac:dyDescent="0.3">
      <c r="A32" s="13" t="s">
        <v>40</v>
      </c>
      <c r="B32">
        <f>B4/60</f>
        <v>8.3333333333333329E-2</v>
      </c>
    </row>
    <row r="33" spans="1:10" ht="28.8" x14ac:dyDescent="0.3">
      <c r="A33" s="16" t="s">
        <v>38</v>
      </c>
      <c r="B33" s="21">
        <f>LN(2)/B32</f>
        <v>8.3177661667193448</v>
      </c>
    </row>
    <row r="34" spans="1:10" x14ac:dyDescent="0.3">
      <c r="A34" s="13" t="s">
        <v>39</v>
      </c>
      <c r="B34">
        <f>B2/60</f>
        <v>0.66666666666666663</v>
      </c>
    </row>
    <row r="35" spans="1:10" x14ac:dyDescent="0.3">
      <c r="A35" s="16" t="s">
        <v>41</v>
      </c>
      <c r="B35" s="22">
        <f>LN(2)/(B34)</f>
        <v>1.0397207708399181</v>
      </c>
      <c r="G35" s="42" t="s">
        <v>111</v>
      </c>
      <c r="H35" s="43"/>
    </row>
    <row r="36" spans="1:10" x14ac:dyDescent="0.3">
      <c r="A36" s="23" t="s">
        <v>20</v>
      </c>
      <c r="B36" s="32">
        <f>((B20*B22)/(B35+B33))*(B23/((B26*B31)+((B26+1)*B23)))</f>
        <v>0.5519549414577265</v>
      </c>
      <c r="G36" s="8" t="s">
        <v>43</v>
      </c>
      <c r="H36" s="44">
        <v>0.26120494821727874</v>
      </c>
      <c r="J36" s="1"/>
    </row>
    <row r="37" spans="1:10" x14ac:dyDescent="0.3">
      <c r="G37" s="9" t="s">
        <v>44</v>
      </c>
      <c r="H37" s="45">
        <v>265.95533370400335</v>
      </c>
    </row>
    <row r="38" spans="1:10" x14ac:dyDescent="0.3">
      <c r="G38" s="46" t="s">
        <v>45</v>
      </c>
      <c r="H38" s="44">
        <v>0.35704219779567198</v>
      </c>
    </row>
    <row r="39" spans="1:10" x14ac:dyDescent="0.3">
      <c r="G39" s="46" t="s">
        <v>46</v>
      </c>
      <c r="H39" s="44">
        <v>1.485787324599247</v>
      </c>
    </row>
    <row r="40" spans="1:10" x14ac:dyDescent="0.3">
      <c r="G40" s="14"/>
      <c r="H40" s="24"/>
    </row>
  </sheetData>
  <mergeCells count="3">
    <mergeCell ref="A1:B1"/>
    <mergeCell ref="A11:B11"/>
    <mergeCell ref="G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</dc:creator>
  <cp:lastModifiedBy>Alwin</cp:lastModifiedBy>
  <cp:lastPrinted>2020-05-11T21:59:01Z</cp:lastPrinted>
  <dcterms:created xsi:type="dcterms:W3CDTF">2020-05-09T01:57:33Z</dcterms:created>
  <dcterms:modified xsi:type="dcterms:W3CDTF">2020-05-12T16:53:37Z</dcterms:modified>
</cp:coreProperties>
</file>