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iago\Dropbox\Excel Avançado\Exercicios\"/>
    </mc:Choice>
  </mc:AlternateContent>
  <bookViews>
    <workbookView xWindow="0" yWindow="315" windowWidth="15360" windowHeight="8085" tabRatio="939" activeTab="3"/>
  </bookViews>
  <sheets>
    <sheet name="Planeamento" sheetId="1" r:id="rId1"/>
    <sheet name="A folha" sheetId="2" r:id="rId2"/>
    <sheet name="Cursor" sheetId="3" r:id="rId3"/>
    <sheet name="Calculo" sheetId="4" r:id="rId4"/>
    <sheet name="contar_somar" sheetId="5" r:id="rId5"/>
    <sheet name="Médias" sheetId="11" r:id="rId6"/>
    <sheet name="Arredondamento" sheetId="9" r:id="rId7"/>
    <sheet name="Ordem" sheetId="12" r:id="rId8"/>
    <sheet name="Teste1" sheetId="6" r:id="rId9"/>
    <sheet name="Teste2" sheetId="7" r:id="rId10"/>
    <sheet name="Teste3" sheetId="8" r:id="rId11"/>
    <sheet name="Teste4" sheetId="16" r:id="rId12"/>
  </sheets>
  <definedNames>
    <definedName name="data">#REF!</definedName>
    <definedName name="Units">#REF!</definedName>
  </definedNames>
  <calcPr calcId="152511"/>
</workbook>
</file>

<file path=xl/calcChain.xml><?xml version="1.0" encoding="utf-8"?>
<calcChain xmlns="http://schemas.openxmlformats.org/spreadsheetml/2006/main">
  <c r="G20" i="11" l="1"/>
  <c r="G22" i="11"/>
  <c r="G23" i="11"/>
  <c r="J12" i="11"/>
  <c r="J13" i="11"/>
  <c r="J14" i="11"/>
  <c r="J15" i="11"/>
  <c r="J16" i="11"/>
  <c r="J17" i="11"/>
  <c r="C41" i="9"/>
  <c r="C42" i="9"/>
  <c r="C43" i="9"/>
  <c r="C44" i="9"/>
  <c r="C45" i="9"/>
  <c r="J24" i="9"/>
  <c r="J25" i="9"/>
  <c r="J26" i="9"/>
  <c r="J27" i="9"/>
  <c r="J28" i="9"/>
  <c r="J29" i="9"/>
  <c r="J23" i="9"/>
  <c r="I24" i="9"/>
  <c r="I25" i="9"/>
  <c r="I26" i="9"/>
  <c r="I27" i="9"/>
  <c r="I28" i="9"/>
  <c r="I29" i="9"/>
  <c r="I23" i="9"/>
  <c r="K116" i="5"/>
  <c r="L116" i="5"/>
  <c r="M116" i="5"/>
  <c r="K117" i="5"/>
  <c r="L117" i="5"/>
  <c r="M117" i="5"/>
  <c r="L115" i="5"/>
  <c r="M115" i="5"/>
  <c r="K115" i="5"/>
  <c r="E110" i="4"/>
  <c r="D110" i="4"/>
  <c r="E109" i="4"/>
  <c r="F109" i="4" s="1"/>
  <c r="C27" i="8"/>
  <c r="C24" i="8"/>
  <c r="C21" i="8"/>
  <c r="C19" i="8"/>
  <c r="C17" i="8"/>
  <c r="C14" i="8"/>
  <c r="E2" i="8"/>
  <c r="I41" i="4"/>
  <c r="H41" i="4"/>
  <c r="H40" i="4"/>
  <c r="H39" i="4"/>
  <c r="H38" i="4"/>
  <c r="D26" i="4"/>
  <c r="D27" i="4"/>
  <c r="D28" i="4"/>
  <c r="E18" i="4"/>
  <c r="E19" i="4"/>
  <c r="E20" i="4"/>
  <c r="G109" i="4" l="1"/>
  <c r="H109" i="4" s="1"/>
  <c r="D26" i="6"/>
  <c r="D23" i="6"/>
  <c r="D21" i="6"/>
  <c r="D19" i="6"/>
  <c r="D16" i="6"/>
  <c r="H73" i="5"/>
  <c r="F6" i="16"/>
  <c r="F7" i="16"/>
  <c r="C23" i="16" s="1"/>
  <c r="F8" i="16"/>
  <c r="C24" i="16" s="1"/>
  <c r="F9" i="16"/>
  <c r="F10" i="16"/>
  <c r="F11" i="16"/>
  <c r="F5" i="16"/>
  <c r="J14" i="16"/>
  <c r="M85" i="4"/>
  <c r="N85" i="4"/>
  <c r="O85" i="4"/>
  <c r="P85" i="4"/>
  <c r="Q85" i="4"/>
  <c r="R85" i="4"/>
  <c r="S85" i="4"/>
  <c r="T85" i="4"/>
  <c r="U85" i="4"/>
  <c r="V85" i="4"/>
  <c r="M86" i="4"/>
  <c r="N86" i="4"/>
  <c r="O86" i="4"/>
  <c r="P86" i="4"/>
  <c r="Q86" i="4"/>
  <c r="R86" i="4"/>
  <c r="S86" i="4"/>
  <c r="T86" i="4"/>
  <c r="U86" i="4"/>
  <c r="V86" i="4"/>
  <c r="M87" i="4"/>
  <c r="N87" i="4"/>
  <c r="O87" i="4"/>
  <c r="P87" i="4"/>
  <c r="Q87" i="4"/>
  <c r="R87" i="4"/>
  <c r="S87" i="4"/>
  <c r="T87" i="4"/>
  <c r="U87" i="4"/>
  <c r="V87" i="4"/>
  <c r="M88" i="4"/>
  <c r="N88" i="4"/>
  <c r="O88" i="4"/>
  <c r="P88" i="4"/>
  <c r="Q88" i="4"/>
  <c r="R88" i="4"/>
  <c r="S88" i="4"/>
  <c r="T88" i="4"/>
  <c r="U88" i="4"/>
  <c r="V88" i="4"/>
  <c r="M89" i="4"/>
  <c r="N89" i="4"/>
  <c r="O89" i="4"/>
  <c r="P89" i="4"/>
  <c r="Q89" i="4"/>
  <c r="R89" i="4"/>
  <c r="S89" i="4"/>
  <c r="T89" i="4"/>
  <c r="U89" i="4"/>
  <c r="V89" i="4"/>
  <c r="M90" i="4"/>
  <c r="N90" i="4"/>
  <c r="O90" i="4"/>
  <c r="P90" i="4"/>
  <c r="Q90" i="4"/>
  <c r="R90" i="4"/>
  <c r="S90" i="4"/>
  <c r="T90" i="4"/>
  <c r="U90" i="4"/>
  <c r="V90" i="4"/>
  <c r="M91" i="4"/>
  <c r="N91" i="4"/>
  <c r="O91" i="4"/>
  <c r="P91" i="4"/>
  <c r="Q91" i="4"/>
  <c r="R91" i="4"/>
  <c r="S91" i="4"/>
  <c r="T91" i="4"/>
  <c r="U91" i="4"/>
  <c r="V91" i="4"/>
  <c r="M92" i="4"/>
  <c r="N92" i="4"/>
  <c r="O92" i="4"/>
  <c r="P92" i="4"/>
  <c r="Q92" i="4"/>
  <c r="R92" i="4"/>
  <c r="S92" i="4"/>
  <c r="T92" i="4"/>
  <c r="U92" i="4"/>
  <c r="V92" i="4"/>
  <c r="M93" i="4"/>
  <c r="N93" i="4"/>
  <c r="O93" i="4"/>
  <c r="P93" i="4"/>
  <c r="Q93" i="4"/>
  <c r="R93" i="4"/>
  <c r="S93" i="4"/>
  <c r="T93" i="4"/>
  <c r="U93" i="4"/>
  <c r="V93" i="4"/>
  <c r="M94" i="4"/>
  <c r="N94" i="4"/>
  <c r="O94" i="4"/>
  <c r="P94" i="4"/>
  <c r="Q94" i="4"/>
  <c r="R94" i="4"/>
  <c r="S94" i="4"/>
  <c r="T94" i="4"/>
  <c r="U94" i="4"/>
  <c r="V94" i="4"/>
  <c r="N84" i="4"/>
  <c r="O84" i="4"/>
  <c r="P84" i="4"/>
  <c r="Q84" i="4"/>
  <c r="R84" i="4"/>
  <c r="S84" i="4"/>
  <c r="T84" i="4"/>
  <c r="U84" i="4"/>
  <c r="V84" i="4"/>
  <c r="M84" i="4"/>
  <c r="J18" i="16" l="1"/>
  <c r="J17" i="16"/>
  <c r="J19" i="16"/>
  <c r="J15" i="16"/>
  <c r="J16" i="16"/>
  <c r="D111" i="4"/>
  <c r="C111" i="4"/>
  <c r="F110" i="4"/>
  <c r="G110" i="4" s="1"/>
  <c r="G111" i="4" s="1"/>
  <c r="D109" i="4"/>
  <c r="E80" i="4"/>
  <c r="F78" i="4"/>
  <c r="F77" i="4"/>
  <c r="E78" i="4"/>
  <c r="E79" i="4"/>
  <c r="F79" i="4" s="1"/>
  <c r="E77" i="4"/>
  <c r="G57" i="4"/>
  <c r="G62" i="4"/>
  <c r="G56" i="4"/>
  <c r="D57" i="4"/>
  <c r="E57" i="4"/>
  <c r="F57" i="4"/>
  <c r="D58" i="4"/>
  <c r="G58" i="4" s="1"/>
  <c r="E58" i="4"/>
  <c r="E65" i="4" s="1"/>
  <c r="F58" i="4"/>
  <c r="D59" i="4"/>
  <c r="E59" i="4"/>
  <c r="G59" i="4" s="1"/>
  <c r="F59" i="4"/>
  <c r="D60" i="4"/>
  <c r="G60" i="4" s="1"/>
  <c r="E60" i="4"/>
  <c r="F60" i="4"/>
  <c r="D61" i="4"/>
  <c r="G61" i="4" s="1"/>
  <c r="E61" i="4"/>
  <c r="F61" i="4"/>
  <c r="D62" i="4"/>
  <c r="E62" i="4"/>
  <c r="F62" i="4"/>
  <c r="D63" i="4"/>
  <c r="E63" i="4"/>
  <c r="F63" i="4"/>
  <c r="F65" i="4" s="1"/>
  <c r="D64" i="4"/>
  <c r="G64" i="4" s="1"/>
  <c r="E64" i="4"/>
  <c r="F64" i="4"/>
  <c r="E56" i="4"/>
  <c r="F56" i="4"/>
  <c r="D56" i="4"/>
  <c r="D65" i="4" s="1"/>
  <c r="D39" i="4"/>
  <c r="E39" i="4" s="1"/>
  <c r="D40" i="4"/>
  <c r="E40" i="4" s="1"/>
  <c r="D41" i="4"/>
  <c r="D38" i="4"/>
  <c r="E38" i="4" s="1"/>
  <c r="D25" i="4"/>
  <c r="E17" i="4"/>
  <c r="H11" i="4"/>
  <c r="E11" i="4"/>
  <c r="C11" i="4"/>
  <c r="L109" i="5"/>
  <c r="L107" i="5"/>
  <c r="L108" i="5"/>
  <c r="L106" i="5"/>
  <c r="K107" i="5"/>
  <c r="K108" i="5"/>
  <c r="K106" i="5"/>
  <c r="I85" i="5"/>
  <c r="I86" i="5"/>
  <c r="I87" i="5"/>
  <c r="I88" i="5"/>
  <c r="I89" i="5"/>
  <c r="I90" i="5"/>
  <c r="I91" i="5"/>
  <c r="I92" i="5"/>
  <c r="I93" i="5"/>
  <c r="I94" i="5"/>
  <c r="I95" i="5"/>
  <c r="I96" i="5"/>
  <c r="I84" i="5"/>
  <c r="I97" i="5" s="1"/>
  <c r="D70" i="5"/>
  <c r="E55" i="5"/>
  <c r="E70" i="5" s="1"/>
  <c r="E56" i="5"/>
  <c r="E57" i="5"/>
  <c r="E58" i="5"/>
  <c r="E59" i="5"/>
  <c r="E60" i="5"/>
  <c r="E61" i="5"/>
  <c r="E62" i="5"/>
  <c r="E63" i="5"/>
  <c r="E64" i="5"/>
  <c r="E65" i="5"/>
  <c r="E66" i="5"/>
  <c r="E67" i="5"/>
  <c r="E68" i="5"/>
  <c r="E69" i="5"/>
  <c r="E54" i="5"/>
  <c r="N49" i="5"/>
  <c r="N48" i="5"/>
  <c r="L47" i="5"/>
  <c r="L44" i="5"/>
  <c r="G41" i="5"/>
  <c r="G40" i="5"/>
  <c r="F23" i="5"/>
  <c r="F22" i="5"/>
  <c r="F21" i="5"/>
  <c r="F20" i="5"/>
  <c r="D14" i="5"/>
  <c r="D13" i="5"/>
  <c r="D12" i="5"/>
  <c r="D11" i="5"/>
  <c r="K82" i="11"/>
  <c r="D83" i="11"/>
  <c r="D84" i="11"/>
  <c r="D85" i="11"/>
  <c r="D82" i="11"/>
  <c r="L68" i="11"/>
  <c r="L67" i="11"/>
  <c r="J52" i="11"/>
  <c r="J53" i="11"/>
  <c r="J54" i="11"/>
  <c r="J55" i="11"/>
  <c r="J56" i="11"/>
  <c r="J51" i="11"/>
  <c r="I52" i="11"/>
  <c r="I53" i="11"/>
  <c r="I54" i="11"/>
  <c r="I55" i="11"/>
  <c r="I56" i="11"/>
  <c r="I51" i="11"/>
  <c r="D41" i="11"/>
  <c r="E41" i="11"/>
  <c r="F41" i="11"/>
  <c r="C41" i="11"/>
  <c r="D40" i="11"/>
  <c r="E40" i="11"/>
  <c r="F40" i="11"/>
  <c r="C40" i="11"/>
  <c r="D39" i="11"/>
  <c r="E39" i="11"/>
  <c r="F39" i="11"/>
  <c r="C39" i="11"/>
  <c r="D38" i="11"/>
  <c r="E38" i="11"/>
  <c r="F38" i="11"/>
  <c r="C38" i="11"/>
  <c r="G19" i="11"/>
  <c r="G21" i="11" s="1"/>
  <c r="J11" i="11"/>
  <c r="H12" i="11"/>
  <c r="C23" i="11" s="1"/>
  <c r="H13" i="11"/>
  <c r="H14" i="11"/>
  <c r="C22" i="11" s="1"/>
  <c r="H15" i="11"/>
  <c r="H16" i="11"/>
  <c r="H17" i="11"/>
  <c r="H11" i="11"/>
  <c r="J18" i="12"/>
  <c r="J19" i="12"/>
  <c r="J17" i="12"/>
  <c r="I18" i="12"/>
  <c r="I19" i="12"/>
  <c r="I17" i="12"/>
  <c r="J13" i="12"/>
  <c r="J12" i="12"/>
  <c r="H24" i="9"/>
  <c r="H25" i="9"/>
  <c r="H26" i="9"/>
  <c r="H27" i="9"/>
  <c r="H28" i="9"/>
  <c r="H29" i="9"/>
  <c r="H23" i="9"/>
  <c r="E7" i="9"/>
  <c r="F7" i="9"/>
  <c r="G7" i="9"/>
  <c r="H7" i="9"/>
  <c r="E8" i="9"/>
  <c r="F8" i="9"/>
  <c r="G8" i="9"/>
  <c r="H8" i="9"/>
  <c r="E9" i="9"/>
  <c r="F9" i="9"/>
  <c r="G9" i="9"/>
  <c r="H9" i="9"/>
  <c r="E10" i="9"/>
  <c r="F10" i="9"/>
  <c r="G10" i="9"/>
  <c r="H10" i="9"/>
  <c r="E11" i="9"/>
  <c r="F11" i="9"/>
  <c r="G11" i="9"/>
  <c r="H11" i="9"/>
  <c r="E12" i="9"/>
  <c r="F12" i="9"/>
  <c r="G12" i="9"/>
  <c r="H12" i="9"/>
  <c r="E13" i="9"/>
  <c r="F13" i="9"/>
  <c r="G13" i="9"/>
  <c r="H13" i="9"/>
  <c r="E14" i="9"/>
  <c r="F14" i="9"/>
  <c r="G14" i="9"/>
  <c r="H14" i="9"/>
  <c r="E15" i="9"/>
  <c r="F15" i="9"/>
  <c r="G15" i="9"/>
  <c r="H15" i="9"/>
  <c r="E16" i="9"/>
  <c r="F16" i="9"/>
  <c r="G16" i="9"/>
  <c r="H16" i="9"/>
  <c r="H6" i="9"/>
  <c r="G6" i="9"/>
  <c r="F6" i="9"/>
  <c r="E6" i="9"/>
  <c r="H20" i="11" l="1"/>
  <c r="H22" i="11"/>
  <c r="H23" i="11"/>
  <c r="H19" i="11"/>
  <c r="I59" i="11"/>
  <c r="K53" i="11" s="1"/>
  <c r="H110" i="4"/>
  <c r="D112" i="4"/>
  <c r="J92" i="5"/>
  <c r="J84" i="5"/>
  <c r="J90" i="5"/>
  <c r="J97" i="5"/>
  <c r="J89" i="5"/>
  <c r="J96" i="5"/>
  <c r="J88" i="5"/>
  <c r="G65" i="4"/>
  <c r="J87" i="5"/>
  <c r="J95" i="5"/>
  <c r="J94" i="5"/>
  <c r="J86" i="5"/>
  <c r="J93" i="5"/>
  <c r="J85" i="5"/>
  <c r="M106" i="5"/>
  <c r="J91" i="5"/>
  <c r="M107" i="5"/>
  <c r="E41" i="4"/>
  <c r="G63" i="4"/>
  <c r="E111" i="4"/>
  <c r="H111" i="4" s="1"/>
  <c r="K109" i="5"/>
  <c r="F80" i="4"/>
  <c r="G77" i="4" s="1"/>
  <c r="I38" i="4"/>
  <c r="I39" i="4" s="1"/>
  <c r="I40" i="4" s="1"/>
  <c r="C112" i="4"/>
  <c r="C21" i="11"/>
  <c r="F111" i="4"/>
  <c r="D86" i="11"/>
  <c r="E84" i="11" s="1"/>
  <c r="E23" i="1"/>
  <c r="G23" i="1"/>
  <c r="K51" i="11" l="1"/>
  <c r="K55" i="11"/>
  <c r="H21" i="11"/>
  <c r="K52" i="11"/>
  <c r="K59" i="11" s="1"/>
  <c r="E83" i="11"/>
  <c r="K56" i="11"/>
  <c r="E82" i="11"/>
  <c r="K54" i="11"/>
  <c r="G112" i="4"/>
  <c r="E112" i="4"/>
  <c r="F112" i="4"/>
  <c r="G78" i="4"/>
  <c r="G80" i="4"/>
  <c r="M108" i="5"/>
  <c r="M109" i="5"/>
  <c r="G79" i="4"/>
  <c r="E85" i="11"/>
  <c r="D45" i="9"/>
  <c r="D44" i="9"/>
  <c r="D43" i="9"/>
  <c r="D42" i="9"/>
  <c r="D41" i="9"/>
  <c r="D40" i="9"/>
  <c r="C40" i="9"/>
  <c r="M13" i="9"/>
  <c r="M12" i="9"/>
  <c r="E87" i="11" l="1"/>
  <c r="H8" i="8"/>
  <c r="E7" i="8"/>
  <c r="H7" i="8" s="1"/>
  <c r="E6" i="8"/>
  <c r="E5" i="8"/>
  <c r="E4" i="8"/>
  <c r="E3" i="8"/>
  <c r="D18" i="7"/>
  <c r="C18" i="7"/>
  <c r="D17" i="7"/>
  <c r="C17" i="7"/>
  <c r="E16" i="7"/>
  <c r="E15" i="7"/>
  <c r="E14" i="7"/>
  <c r="E13" i="7"/>
  <c r="E12" i="7"/>
  <c r="E11" i="7"/>
  <c r="E10" i="7"/>
  <c r="E9" i="7"/>
  <c r="E8" i="7"/>
  <c r="E7" i="7"/>
  <c r="E6" i="7"/>
  <c r="E5" i="7"/>
  <c r="E4" i="7"/>
  <c r="E3" i="7"/>
  <c r="H6" i="8" l="1"/>
  <c r="E17" i="7"/>
  <c r="H12" i="8"/>
  <c r="H9" i="8"/>
  <c r="H10" i="8"/>
  <c r="H5" i="8"/>
  <c r="H11" i="8"/>
  <c r="O67" i="5" l="1"/>
  <c r="K65" i="5"/>
  <c r="K1" i="4"/>
  <c r="D24" i="4" s="1"/>
  <c r="K66" i="5" l="1"/>
  <c r="K69" i="5"/>
  <c r="C24" i="4"/>
  <c r="B11" i="4"/>
  <c r="E16" i="4" s="1"/>
  <c r="B9" i="4"/>
  <c r="C16" i="4" s="1"/>
  <c r="B14" i="4"/>
</calcChain>
</file>

<file path=xl/sharedStrings.xml><?xml version="1.0" encoding="utf-8"?>
<sst xmlns="http://schemas.openxmlformats.org/spreadsheetml/2006/main" count="889" uniqueCount="574">
  <si>
    <t>PLANEAMENTO DAS AULAS</t>
  </si>
  <si>
    <t>Aula nº</t>
  </si>
  <si>
    <t>Actividades Lectivas
(Sumário)</t>
  </si>
  <si>
    <t>Instrumento de Avaliação</t>
  </si>
  <si>
    <t>Obs.</t>
  </si>
  <si>
    <t>Horas de Contacto</t>
  </si>
  <si>
    <t>Trabalho Autónomo</t>
  </si>
  <si>
    <t>Horas de TA</t>
  </si>
  <si>
    <t>Total</t>
  </si>
  <si>
    <t>Frequência</t>
  </si>
  <si>
    <t>Aspectos metodológicos de utilização do excel</t>
  </si>
  <si>
    <t>1. Introdução às folhas de cálculo</t>
  </si>
  <si>
    <t>A folha de cálculo</t>
  </si>
  <si>
    <t>Movimentos de cursos</t>
  </si>
  <si>
    <t>Nomes de células</t>
  </si>
  <si>
    <t>Inserção de dados</t>
  </si>
  <si>
    <t>Formatação</t>
  </si>
  <si>
    <t>Editar, copiar e mover fórmulas e dados</t>
  </si>
  <si>
    <t>Inserção de fórmulas</t>
  </si>
  <si>
    <t>Operadores Aritméticos</t>
  </si>
  <si>
    <t xml:space="preserve"> +   -  *   /  ^  =  &amp;</t>
  </si>
  <si>
    <t>Operadores lógicos</t>
  </si>
  <si>
    <t>&lt;  &gt;  &gt;=  &lt;=  &lt;&gt;</t>
  </si>
  <si>
    <t>Operadores de referência</t>
  </si>
  <si>
    <r>
      <rPr>
        <b/>
        <sz val="12"/>
        <rFont val="Arial"/>
        <family val="2"/>
      </rPr>
      <t xml:space="preserve">: </t>
    </r>
    <r>
      <rPr>
        <sz val="8"/>
        <rFont val="Arial"/>
        <family val="2"/>
      </rPr>
      <t>Intervalo</t>
    </r>
    <r>
      <rPr>
        <sz val="10"/>
        <rFont val="Arial"/>
        <family val="2"/>
      </rPr>
      <t xml:space="preserve">     </t>
    </r>
    <r>
      <rPr>
        <b/>
        <sz val="12"/>
        <rFont val="Arial"/>
        <family val="2"/>
      </rPr>
      <t>;</t>
    </r>
    <r>
      <rPr>
        <sz val="10"/>
        <rFont val="Arial"/>
        <family val="2"/>
      </rPr>
      <t xml:space="preserve">  </t>
    </r>
    <r>
      <rPr>
        <sz val="8"/>
        <rFont val="Arial"/>
        <family val="2"/>
      </rPr>
      <t>União</t>
    </r>
  </si>
  <si>
    <t xml:space="preserve">   Listas e geração de séries</t>
  </si>
  <si>
    <t xml:space="preserve">   Inserir e eliminar linhas e colunas</t>
  </si>
  <si>
    <t xml:space="preserve">   Abrir, guardar e fechar ficheiros</t>
  </si>
  <si>
    <t>Listas personalizadas</t>
  </si>
  <si>
    <t>P1</t>
  </si>
  <si>
    <t>Proj 2</t>
  </si>
  <si>
    <t>1 v</t>
  </si>
  <si>
    <t>1v</t>
  </si>
  <si>
    <t>Seg</t>
  </si>
  <si>
    <t>C</t>
  </si>
  <si>
    <t>Processo de Cálculo</t>
  </si>
  <si>
    <t xml:space="preserve">   Processo de cálculo</t>
  </si>
  <si>
    <t xml:space="preserve">   Referências relativas e absolutas</t>
  </si>
  <si>
    <t>Exemplo 1</t>
  </si>
  <si>
    <t>Calcule o salário para o ano 1998.</t>
  </si>
  <si>
    <t>Exemplo 2</t>
  </si>
  <si>
    <t>Comprou um DVD e pagou 120€.</t>
  </si>
  <si>
    <t>Compra</t>
  </si>
  <si>
    <t>Aumento</t>
  </si>
  <si>
    <t>Tx Iva</t>
  </si>
  <si>
    <t>Valor merc.</t>
  </si>
  <si>
    <t>Exemplo3</t>
  </si>
  <si>
    <t>Nome</t>
  </si>
  <si>
    <t>Ze</t>
  </si>
  <si>
    <t>Ana</t>
  </si>
  <si>
    <t>Luis</t>
  </si>
  <si>
    <t>Sonia</t>
  </si>
  <si>
    <t>Exemplo 4</t>
  </si>
  <si>
    <t>Aumento geral</t>
  </si>
  <si>
    <r>
      <t xml:space="preserve"> =C25+C25*D</t>
    </r>
    <r>
      <rPr>
        <sz val="11"/>
        <color rgb="FFFF0000"/>
        <rFont val="Calibri"/>
        <family val="2"/>
        <scheme val="minor"/>
      </rPr>
      <t>23</t>
    </r>
  </si>
  <si>
    <r>
      <t xml:space="preserve"> =C26+C26*D</t>
    </r>
    <r>
      <rPr>
        <b/>
        <sz val="11"/>
        <color rgb="FFFF0000"/>
        <rFont val="Calibri"/>
        <family val="2"/>
        <scheme val="minor"/>
      </rPr>
      <t>24</t>
    </r>
  </si>
  <si>
    <r>
      <t xml:space="preserve"> =C27+C27*D</t>
    </r>
    <r>
      <rPr>
        <b/>
        <sz val="11"/>
        <color rgb="FFFF0000"/>
        <rFont val="Calibri"/>
        <family val="2"/>
        <scheme val="minor"/>
      </rPr>
      <t>25</t>
    </r>
  </si>
  <si>
    <r>
      <t xml:space="preserve"> =C28+C28*D</t>
    </r>
    <r>
      <rPr>
        <b/>
        <sz val="11"/>
        <color rgb="FFFF0000"/>
        <rFont val="Calibri"/>
        <family val="2"/>
        <scheme val="minor"/>
      </rPr>
      <t>26</t>
    </r>
  </si>
  <si>
    <r>
      <t xml:space="preserve">Exercício prático 1 - </t>
    </r>
    <r>
      <rPr>
        <sz val="10"/>
        <rFont val="Arial"/>
        <family val="2"/>
      </rPr>
      <t>Cálculo de valores acumulados</t>
    </r>
  </si>
  <si>
    <t xml:space="preserve">Considerando o quadro de vendas seguinte e que o preço unitário do produto X é de 15,23€, </t>
  </si>
  <si>
    <t>calcule os valores em falta.</t>
  </si>
  <si>
    <t>Vendas</t>
  </si>
  <si>
    <t>Meses</t>
  </si>
  <si>
    <t>Quantidades</t>
  </si>
  <si>
    <t>Valores</t>
  </si>
  <si>
    <t>Valores Acumulados</t>
  </si>
  <si>
    <t>Jan</t>
  </si>
  <si>
    <t>Fev</t>
  </si>
  <si>
    <t>Mar</t>
  </si>
  <si>
    <t>Abr</t>
  </si>
  <si>
    <t>Totais</t>
  </si>
  <si>
    <r>
      <t xml:space="preserve">Exercício prático 2 - </t>
    </r>
    <r>
      <rPr>
        <sz val="10"/>
        <rFont val="Arial"/>
        <family val="2"/>
      </rPr>
      <t>Distribuição de valores por projectos</t>
    </r>
  </si>
  <si>
    <t xml:space="preserve">Considere que existe um consórcio de 3 empresas para a execução de um projecto. </t>
  </si>
  <si>
    <t>As empresas E1,E2 e E3 suportam respectivamente 50%, 30% e 20% das despesas.</t>
  </si>
  <si>
    <r>
      <t>1.</t>
    </r>
    <r>
      <rPr>
        <sz val="7"/>
        <color indexed="8"/>
        <rFont val="Times New Roman"/>
        <family val="1"/>
      </rPr>
      <t> </t>
    </r>
    <r>
      <rPr>
        <sz val="10"/>
        <color indexed="8"/>
        <rFont val="Arial"/>
        <family val="2"/>
      </rPr>
      <t>Preencha o resto por forma a distribuir cada um dos lucros pelos sócios.</t>
    </r>
  </si>
  <si>
    <r>
      <t>2.</t>
    </r>
    <r>
      <rPr>
        <sz val="7"/>
        <color indexed="8"/>
        <rFont val="Times New Roman"/>
        <family val="1"/>
      </rPr>
      <t> </t>
    </r>
    <r>
      <rPr>
        <sz val="10"/>
        <color indexed="8"/>
        <rFont val="Arial"/>
        <family val="2"/>
      </rPr>
      <t>Calcule os totais em linha e em coluna</t>
    </r>
  </si>
  <si>
    <t>Projectos</t>
  </si>
  <si>
    <t>E1</t>
  </si>
  <si>
    <t>E2</t>
  </si>
  <si>
    <t>E3</t>
  </si>
  <si>
    <t>Designação</t>
  </si>
  <si>
    <t>Valor</t>
  </si>
  <si>
    <t>Deslocações</t>
  </si>
  <si>
    <t>Maquinaria</t>
  </si>
  <si>
    <t>Despesa 2</t>
  </si>
  <si>
    <t>Totais:</t>
  </si>
  <si>
    <t>Exercício prático 3 - Calculo de valores de vendas</t>
  </si>
  <si>
    <t>1. Calcule a coluna IVA e a Total, considerando que o preço unitário é sem iva e que a taxa de iva em vigor é de 23%.</t>
  </si>
  <si>
    <t>2. Calcule os totais e a coluna da percentagem de cada venda em relação ao total das vendas do quadro</t>
  </si>
  <si>
    <t>Produto</t>
  </si>
  <si>
    <t>Q</t>
  </si>
  <si>
    <t>Preço Unitário</t>
  </si>
  <si>
    <t>Iva</t>
  </si>
  <si>
    <t>%</t>
  </si>
  <si>
    <t>Caixa</t>
  </si>
  <si>
    <t>Teclado</t>
  </si>
  <si>
    <t>Rato</t>
  </si>
  <si>
    <r>
      <t xml:space="preserve">Exercício prático 5 - </t>
    </r>
    <r>
      <rPr>
        <sz val="10"/>
        <rFont val="Arial"/>
        <family val="2"/>
      </rPr>
      <t>Tabuada</t>
    </r>
  </si>
  <si>
    <t>Que formula escrevia na célula M84 (copiável para todo o quadro) para obter a tabuada da multiplicação</t>
  </si>
  <si>
    <t>X</t>
  </si>
  <si>
    <r>
      <t xml:space="preserve">Exercício prático 4 - </t>
    </r>
    <r>
      <rPr>
        <sz val="10"/>
        <rFont val="Arial"/>
        <family val="2"/>
      </rPr>
      <t>Projecção de resultados</t>
    </r>
  </si>
  <si>
    <t>Considere que as vendas evoluem a  uma taxa de 5% ao ano e os custos a uma taxa de 8%. Preencha o  quadro</t>
  </si>
  <si>
    <t>Quadro de vendas</t>
  </si>
  <si>
    <t>Anos</t>
  </si>
  <si>
    <t>Rubricas</t>
  </si>
  <si>
    <r>
      <t xml:space="preserve">Vendas </t>
    </r>
    <r>
      <rPr>
        <sz val="8"/>
        <color indexed="8"/>
        <rFont val="Arial"/>
        <family val="2"/>
      </rPr>
      <t>(1)</t>
    </r>
  </si>
  <si>
    <t>50.20€</t>
  </si>
  <si>
    <r>
      <t>Custos</t>
    </r>
    <r>
      <rPr>
        <sz val="8"/>
        <color indexed="8"/>
        <rFont val="Arial"/>
        <family val="2"/>
      </rPr>
      <t xml:space="preserve"> (2)</t>
    </r>
  </si>
  <si>
    <t>90.00€</t>
  </si>
  <si>
    <r>
      <t>Margem Bruta</t>
    </r>
    <r>
      <rPr>
        <sz val="8"/>
        <color indexed="8"/>
        <rFont val="Arial"/>
        <family val="2"/>
      </rPr>
      <t xml:space="preserve"> (1)-(2)</t>
    </r>
  </si>
  <si>
    <t>Margem acumulada</t>
  </si>
  <si>
    <t>Contagens e somas no Excel</t>
  </si>
  <si>
    <t>Contagem por natureza e valor</t>
  </si>
  <si>
    <t>Factura</t>
  </si>
  <si>
    <t>Zona</t>
  </si>
  <si>
    <t>Vendedor</t>
  </si>
  <si>
    <t>Somas simples e condicionadas</t>
  </si>
  <si>
    <t>Norte</t>
  </si>
  <si>
    <t>Borges</t>
  </si>
  <si>
    <t>LLX</t>
  </si>
  <si>
    <t>Sul</t>
  </si>
  <si>
    <t>BBX</t>
  </si>
  <si>
    <t>Centro</t>
  </si>
  <si>
    <t>CCX</t>
  </si>
  <si>
    <t>Exemplo 1 - Contagem por natureza</t>
  </si>
  <si>
    <t>Machado</t>
  </si>
  <si>
    <t>a) Quantas celulas são numéricas</t>
  </si>
  <si>
    <t>b) Quantas  celulas estão preenchidas</t>
  </si>
  <si>
    <t>c) Quantas células estão vazias</t>
  </si>
  <si>
    <t>d) Quantas células são alfanuméricas</t>
  </si>
  <si>
    <t>ola</t>
  </si>
  <si>
    <t>excel</t>
  </si>
  <si>
    <t>Exemplo 2 - Contagem por natureza</t>
  </si>
  <si>
    <t xml:space="preserve">Número </t>
  </si>
  <si>
    <t>Nota</t>
  </si>
  <si>
    <t>a) Quantos alunos estão na pauta</t>
  </si>
  <si>
    <t>Paula</t>
  </si>
  <si>
    <t>b) Quantos alunos foram avalidados</t>
  </si>
  <si>
    <t>Maria</t>
  </si>
  <si>
    <t>c) Quantos alunos não têm nota</t>
  </si>
  <si>
    <t>Joana</t>
  </si>
  <si>
    <t>d) Quantos alunos reprovaram</t>
  </si>
  <si>
    <t>António</t>
  </si>
  <si>
    <t>Rep</t>
  </si>
  <si>
    <t xml:space="preserve">Pedro </t>
  </si>
  <si>
    <t>Joaquim</t>
  </si>
  <si>
    <t>Tomás</t>
  </si>
  <si>
    <t>Vera</t>
  </si>
  <si>
    <t>Susana</t>
  </si>
  <si>
    <t>Exemplo 3 - Contagem por valor (condicionada)</t>
  </si>
  <si>
    <t>Venda de Frangos</t>
  </si>
  <si>
    <t>NºFact</t>
  </si>
  <si>
    <t>Quant.</t>
  </si>
  <si>
    <t>Desconto</t>
  </si>
  <si>
    <t>Carlos</t>
  </si>
  <si>
    <t>a) Quantas vendas foram realizadas</t>
  </si>
  <si>
    <t>b) Quantas vezes é que a Ana comprou Frangos</t>
  </si>
  <si>
    <t>Exemplo 4 - Soma condicionada</t>
  </si>
  <si>
    <t>a) Calcule a coluna valor sabendo que cada frango é vendida a 15€</t>
  </si>
  <si>
    <t>b) Quantos frangos é que Ana já nos comprou</t>
  </si>
  <si>
    <t>Em quantidade</t>
  </si>
  <si>
    <t>Em valor</t>
  </si>
  <si>
    <t>c) Qual o valor de vendas de frangos até ao momento</t>
  </si>
  <si>
    <t>d) em H17 escreve um nome</t>
  </si>
  <si>
    <t>Obtenha em H18 o valor de compra realizado por esse cliente</t>
  </si>
  <si>
    <t>e) Calcule os totais (Quant. E Valor)</t>
  </si>
  <si>
    <r>
      <t xml:space="preserve">Exercício prático 1 - </t>
    </r>
    <r>
      <rPr>
        <sz val="10"/>
        <rFont val="Arial"/>
        <family val="2"/>
      </rPr>
      <t>Gestão de Pautas</t>
    </r>
  </si>
  <si>
    <t>Calcule o Mapa de resumo das notas a partir da Pauta. Freq significa frequência (número de notas registadas em cada uma das categorias).</t>
  </si>
  <si>
    <t>Indique apenas um a formula para a 1ª célula de cada uma das colunas.</t>
  </si>
  <si>
    <t>Pauta</t>
  </si>
  <si>
    <t>Resumo das notas</t>
  </si>
  <si>
    <t>notas</t>
  </si>
  <si>
    <t>Freq.</t>
  </si>
  <si>
    <t>Oral</t>
  </si>
  <si>
    <t>rep</t>
  </si>
  <si>
    <t>oral</t>
  </si>
  <si>
    <r>
      <t xml:space="preserve">Exercício prático 2 - </t>
    </r>
    <r>
      <rPr>
        <sz val="10"/>
        <rFont val="Arial"/>
        <family val="2"/>
      </rPr>
      <t>Quadro Resumo de Vendas</t>
    </r>
  </si>
  <si>
    <t>P/médio</t>
  </si>
  <si>
    <t>Quadro resumo das vendas</t>
  </si>
  <si>
    <t>Vendedores</t>
  </si>
  <si>
    <t>Vendas (Valor)</t>
  </si>
  <si>
    <t>Nº vendas</t>
  </si>
  <si>
    <t>%  Vendas (Valor)</t>
  </si>
  <si>
    <t>Quadro Resumo - Vendas em Valor</t>
  </si>
  <si>
    <t>Countblank()</t>
  </si>
  <si>
    <t>Count()</t>
  </si>
  <si>
    <t>Counta()</t>
  </si>
  <si>
    <t>A</t>
  </si>
  <si>
    <t>B</t>
  </si>
  <si>
    <t>D</t>
  </si>
  <si>
    <t>E</t>
  </si>
  <si>
    <t>F</t>
  </si>
  <si>
    <t>G</t>
  </si>
  <si>
    <t>H</t>
  </si>
  <si>
    <t>I</t>
  </si>
  <si>
    <t>J</t>
  </si>
  <si>
    <t>Acima</t>
  </si>
  <si>
    <t>Maior venda</t>
  </si>
  <si>
    <t>Luís</t>
  </si>
  <si>
    <t>Media</t>
  </si>
  <si>
    <t>Vendas no Sul</t>
  </si>
  <si>
    <t>nª vendas</t>
  </si>
  <si>
    <t>José</t>
  </si>
  <si>
    <t>1)</t>
  </si>
  <si>
    <r>
      <t xml:space="preserve">Indique a formula que permite obter a maior venda (use a coluna </t>
    </r>
    <r>
      <rPr>
        <u/>
        <sz val="10"/>
        <rFont val="Arial"/>
        <family val="2"/>
      </rPr>
      <t>Valor</t>
    </r>
    <r>
      <rPr>
        <sz val="10"/>
        <rFont val="Arial"/>
        <family val="2"/>
      </rPr>
      <t>)</t>
    </r>
  </si>
  <si>
    <t>J1=</t>
  </si>
  <si>
    <t>2)</t>
  </si>
  <si>
    <r>
      <t xml:space="preserve">Calcule a média da coluna </t>
    </r>
    <r>
      <rPr>
        <u/>
        <sz val="10"/>
        <rFont val="Arial"/>
        <family val="2"/>
      </rPr>
      <t>Valor</t>
    </r>
    <r>
      <rPr>
        <sz val="10"/>
        <rFont val="Arial"/>
        <family val="2"/>
      </rPr>
      <t xml:space="preserve"> arredondada a zero casas decimais</t>
    </r>
  </si>
  <si>
    <t>J2=</t>
  </si>
  <si>
    <t>3)</t>
  </si>
  <si>
    <t>Calcule o total das vendas na zona Sul</t>
  </si>
  <si>
    <t>J4=</t>
  </si>
  <si>
    <t>4)</t>
  </si>
  <si>
    <t>Calcule o número de vendas das zonas centro e Sul</t>
  </si>
  <si>
    <t>J6=</t>
  </si>
  <si>
    <t>5)</t>
  </si>
  <si>
    <t>E2=</t>
  </si>
  <si>
    <t>6)</t>
  </si>
  <si>
    <r>
      <t>Calcule a coluna das percentagens (</t>
    </r>
    <r>
      <rPr>
        <u/>
        <sz val="10"/>
        <rFont val="Arial"/>
        <family val="2"/>
      </rPr>
      <t>%</t>
    </r>
    <r>
      <rPr>
        <sz val="10"/>
        <rFont val="Arial"/>
        <family val="2"/>
      </rPr>
      <t>) que indica qual o peso relativo de cada venda em relação ao total vendido (coluna valor)</t>
    </r>
  </si>
  <si>
    <t>D2=</t>
  </si>
  <si>
    <t>Tipo</t>
  </si>
  <si>
    <t>Quantidade</t>
  </si>
  <si>
    <t>Tipo Música</t>
  </si>
  <si>
    <t>Rádios</t>
  </si>
  <si>
    <t>Vendas CD</t>
  </si>
  <si>
    <t>Downloads Mp3</t>
  </si>
  <si>
    <t>Clássica / religiosa</t>
  </si>
  <si>
    <t>FM</t>
  </si>
  <si>
    <t>Quadro resumo</t>
  </si>
  <si>
    <t>Alternativa / Indie</t>
  </si>
  <si>
    <t>Online</t>
  </si>
  <si>
    <t>Dança</t>
  </si>
  <si>
    <t>FM/online</t>
  </si>
  <si>
    <t>Quantos Tipos de Música?</t>
  </si>
  <si>
    <t>Pop / rock / grunge</t>
  </si>
  <si>
    <t>Quantas Vendas CD superiores a 1000</t>
  </si>
  <si>
    <t>Disco sound / Funk</t>
  </si>
  <si>
    <t>Média de downloads de FM/online</t>
  </si>
  <si>
    <t>Latina</t>
  </si>
  <si>
    <t>Quantas Rádios só FM ou só online</t>
  </si>
  <si>
    <t>Portuguesa</t>
  </si>
  <si>
    <t>Quantos Tipos de Música terminam "a"</t>
  </si>
  <si>
    <t>Jazz / Blues / Rock and blues</t>
  </si>
  <si>
    <t>Electrónica</t>
  </si>
  <si>
    <t>Tipo Rádios</t>
  </si>
  <si>
    <t>Nº Rádios</t>
  </si>
  <si>
    <t>Média</t>
  </si>
  <si>
    <t>Metal / gótica</t>
  </si>
  <si>
    <t>Brasileira / Africana</t>
  </si>
  <si>
    <t>Hip hop / Rap</t>
  </si>
  <si>
    <t>Reggae</t>
  </si>
  <si>
    <t>World music</t>
  </si>
  <si>
    <t>Vendas Médias por género</t>
  </si>
  <si>
    <t>Fornecedor</t>
  </si>
  <si>
    <t>P. Unit.</t>
  </si>
  <si>
    <t>Preço Unit</t>
  </si>
  <si>
    <t>Vendas não Ana</t>
  </si>
  <si>
    <t>% vendas Borges</t>
  </si>
  <si>
    <t>Vendas &gt; 500000</t>
  </si>
  <si>
    <t>Media Vendas Ana</t>
  </si>
  <si>
    <t>Valor da maior Venda</t>
  </si>
  <si>
    <r>
      <t xml:space="preserve">Calcule a coluna Valor (tendo em conta as </t>
    </r>
    <r>
      <rPr>
        <b/>
        <u/>
        <sz val="10"/>
        <rFont val="Arial"/>
        <family val="2"/>
      </rPr>
      <t>Q</t>
    </r>
    <r>
      <rPr>
        <sz val="10"/>
        <rFont val="Arial"/>
        <family val="2"/>
      </rPr>
      <t xml:space="preserve">uantidades e o </t>
    </r>
    <r>
      <rPr>
        <b/>
        <u/>
        <sz val="10"/>
        <rFont val="Arial"/>
        <family val="2"/>
      </rPr>
      <t>P.Unit</t>
    </r>
    <r>
      <rPr>
        <sz val="10"/>
        <rFont val="Arial"/>
        <family val="2"/>
      </rPr>
      <t>) arredondado a 2 casas decimais</t>
    </r>
  </si>
  <si>
    <t>Quantas vendas foram (em valor) superiores a 500.000,00€</t>
  </si>
  <si>
    <t>H10=</t>
  </si>
  <si>
    <r>
      <t xml:space="preserve">Quantas vendas </t>
    </r>
    <r>
      <rPr>
        <b/>
        <sz val="10"/>
        <rFont val="Arial"/>
        <family val="2"/>
      </rPr>
      <t>não</t>
    </r>
    <r>
      <rPr>
        <sz val="10"/>
        <rFont val="Arial"/>
        <family val="2"/>
      </rPr>
      <t xml:space="preserve"> foram realizadas pela Ana</t>
    </r>
  </si>
  <si>
    <t>H8=</t>
  </si>
  <si>
    <t>Calcule o total de Compras feitas ao fornecedor Borges copiável para a Ana  e Carlos</t>
  </si>
  <si>
    <t>H5=</t>
  </si>
  <si>
    <t>Calcule a percentagem de compras feitas ao fornecedor Borges em relação a todas as compras efectuadas.</t>
  </si>
  <si>
    <t>H9=</t>
  </si>
  <si>
    <t>Qual a média das vendas (use a coluna valor) realizadas pela Ana</t>
  </si>
  <si>
    <t>H11=</t>
  </si>
  <si>
    <t>Arredondamentos</t>
  </si>
  <si>
    <t>1. Funções matemáticas de arredondamento</t>
  </si>
  <si>
    <t>ARRED</t>
  </si>
  <si>
    <t>Exemplo 1 - Diferentes formas de arrendondar</t>
  </si>
  <si>
    <t>ARRED.DEFEITO</t>
  </si>
  <si>
    <t>ARRED.EXCESSO</t>
  </si>
  <si>
    <t>Inteiro</t>
  </si>
  <si>
    <t>Arred</t>
  </si>
  <si>
    <r>
      <t xml:space="preserve">Arred </t>
    </r>
    <r>
      <rPr>
        <sz val="11"/>
        <color theme="1"/>
        <rFont val="Calibri"/>
        <family val="2"/>
      </rPr>
      <t>↑</t>
    </r>
  </si>
  <si>
    <r>
      <t xml:space="preserve">Arred </t>
    </r>
    <r>
      <rPr>
        <sz val="11"/>
        <color theme="1"/>
        <rFont val="Calibri"/>
        <family val="2"/>
      </rPr>
      <t>↓</t>
    </r>
  </si>
  <si>
    <t>INT</t>
  </si>
  <si>
    <t>TRUNCAR</t>
  </si>
  <si>
    <t>PAR</t>
  </si>
  <si>
    <t>ÍMPAR</t>
  </si>
  <si>
    <t>2. Diferença entre formatar e arredondar</t>
  </si>
  <si>
    <t>3. Outras funções matemáticas</t>
  </si>
  <si>
    <t>Exemplos:</t>
  </si>
  <si>
    <t>SOMARPRODUTO</t>
  </si>
  <si>
    <t xml:space="preserve"> =ARRED(K10;2)  →</t>
  </si>
  <si>
    <t>QUOCIENTE e RESTO</t>
  </si>
  <si>
    <t xml:space="preserve"> =ARRED(K10;-2)  →</t>
  </si>
  <si>
    <t>Exemplo 2 - Gestão de Pauta 2</t>
  </si>
  <si>
    <t>Turma</t>
  </si>
  <si>
    <t>PP1</t>
  </si>
  <si>
    <t>PP2</t>
  </si>
  <si>
    <t>Projecto</t>
  </si>
  <si>
    <t>Frequencia</t>
  </si>
  <si>
    <t>Final</t>
  </si>
  <si>
    <t>Final 2</t>
  </si>
  <si>
    <t>Final 3</t>
  </si>
  <si>
    <t>a</t>
  </si>
  <si>
    <t>GRH1</t>
  </si>
  <si>
    <t>b</t>
  </si>
  <si>
    <t>GA1</t>
  </si>
  <si>
    <t>c</t>
  </si>
  <si>
    <t>d</t>
  </si>
  <si>
    <t>GRH2</t>
  </si>
  <si>
    <t>e</t>
  </si>
  <si>
    <t>f</t>
  </si>
  <si>
    <t>g</t>
  </si>
  <si>
    <t>a) Calcule Nota final (ponderada)</t>
  </si>
  <si>
    <t>b) calcule Final 2 arredondado para zero casas decimais</t>
  </si>
  <si>
    <t>c) Calcule Final 3 arredondado a 2 casas decimais e formate essas células para zero casas decimais</t>
  </si>
  <si>
    <t>Exemplo 3 - Encomendas por excesso e defeito</t>
  </si>
  <si>
    <t>Encomenda de garrafas</t>
  </si>
  <si>
    <t>Grade</t>
  </si>
  <si>
    <t>Pedidos</t>
  </si>
  <si>
    <t>Necessidades</t>
  </si>
  <si>
    <t>Por excesso</t>
  </si>
  <si>
    <t>Por defeito</t>
  </si>
  <si>
    <t xml:space="preserve"> =ARRED.EXCESSO(D2;5)</t>
  </si>
  <si>
    <t xml:space="preserve"> =ARRED.DEFEITO(D2;5)</t>
  </si>
  <si>
    <t>Função</t>
  </si>
  <si>
    <t>Res.</t>
  </si>
  <si>
    <t xml:space="preserve"> =INT(G54)</t>
  </si>
  <si>
    <t>-&gt;</t>
  </si>
  <si>
    <t xml:space="preserve"> =ÍMPAR(G55)</t>
  </si>
  <si>
    <t xml:space="preserve"> =PAR(G56)</t>
  </si>
  <si>
    <t>Calculo de médias</t>
  </si>
  <si>
    <t>Média simples e ponderada</t>
  </si>
  <si>
    <t>Médias condicionadas</t>
  </si>
  <si>
    <t>Médias moveis</t>
  </si>
  <si>
    <t>Exemplo 1 - Gestão de Pauta</t>
  </si>
  <si>
    <t>Média Simples</t>
  </si>
  <si>
    <t>Aprovados</t>
  </si>
  <si>
    <t>Turmas</t>
  </si>
  <si>
    <t>Médias</t>
  </si>
  <si>
    <t>Reprovados</t>
  </si>
  <si>
    <t>Média Aprovados</t>
  </si>
  <si>
    <t>Média Reprovados</t>
  </si>
  <si>
    <t>a) Calcule a Média Simples das notas (J11)</t>
  </si>
  <si>
    <t>b) Calcule a média ponderada</t>
  </si>
  <si>
    <t>c) Preencha os quadros de apoio à pauta</t>
  </si>
  <si>
    <t>Exemplo 2 - Consumo de frangos</t>
  </si>
  <si>
    <t>Frangos consumidos</t>
  </si>
  <si>
    <t>Convivas</t>
  </si>
  <si>
    <t>H1</t>
  </si>
  <si>
    <t>H2</t>
  </si>
  <si>
    <t>H3</t>
  </si>
  <si>
    <t>H4</t>
  </si>
  <si>
    <t>Zé</t>
  </si>
  <si>
    <t>Inês</t>
  </si>
  <si>
    <t>Variância</t>
  </si>
  <si>
    <t>Desvio padrão</t>
  </si>
  <si>
    <t>Exemplo 3 - Gestão de despesas</t>
  </si>
  <si>
    <t>a) calcule o total de despesa em cada rubrica</t>
  </si>
  <si>
    <t>Nomes</t>
  </si>
  <si>
    <t>valor</t>
  </si>
  <si>
    <t>b) Calcule a coluna de percentagem</t>
  </si>
  <si>
    <t>alim</t>
  </si>
  <si>
    <t>c) Calcule a média de cada um dos tipos de despesa</t>
  </si>
  <si>
    <t>transporte</t>
  </si>
  <si>
    <t>vestuario</t>
  </si>
  <si>
    <t>Tipo de despesa</t>
  </si>
  <si>
    <t>% (total)</t>
  </si>
  <si>
    <t>danka</t>
  </si>
  <si>
    <t>festas</t>
  </si>
  <si>
    <t>ferias</t>
  </si>
  <si>
    <r>
      <t xml:space="preserve">Exercício prático 1 - </t>
    </r>
    <r>
      <rPr>
        <sz val="10"/>
        <rFont val="Arial"/>
        <family val="2"/>
      </rPr>
      <t>Médias de vendas</t>
    </r>
  </si>
  <si>
    <t>Data</t>
  </si>
  <si>
    <t>Cliente</t>
  </si>
  <si>
    <t>a) calcule a média das vendas do Luis</t>
  </si>
  <si>
    <t>Jose</t>
  </si>
  <si>
    <t>b) Calcule a médias de vendas do Luis do Produto A</t>
  </si>
  <si>
    <t>c) Calcule a média das vendas e Abril.</t>
  </si>
  <si>
    <r>
      <t xml:space="preserve">Exercício prático 2 - </t>
    </r>
    <r>
      <rPr>
        <sz val="10"/>
        <rFont val="Arial"/>
        <family val="2"/>
      </rPr>
      <t>Custo médio de capital ponderado</t>
    </r>
  </si>
  <si>
    <t>Considere que uma empresa tem os seguintes empréstimos com respectiva taxa de juro</t>
  </si>
  <si>
    <t>Taxa</t>
  </si>
  <si>
    <t>a) Calcule a taxa média ponderada de juros que a empresa suporte</t>
  </si>
  <si>
    <t>b) Qual a média simples das taxas de juro</t>
  </si>
  <si>
    <t>Ordem - Ranking</t>
  </si>
  <si>
    <t>Calculo do máximo e minimo</t>
  </si>
  <si>
    <t>Maior e menor</t>
  </si>
  <si>
    <t>Exemplo 1 - Maiores e piores vendas</t>
  </si>
  <si>
    <t>a) Qual o maior valor</t>
  </si>
  <si>
    <t>b) Qual o menor</t>
  </si>
  <si>
    <t>c) Preencha o quadro seguinte</t>
  </si>
  <si>
    <t>Ordem</t>
  </si>
  <si>
    <t>Maiores</t>
  </si>
  <si>
    <t>menores</t>
  </si>
  <si>
    <t>Género</t>
  </si>
  <si>
    <t>M</t>
  </si>
  <si>
    <t>Unidade Curricular (UC):CT -Excel Avançado</t>
  </si>
  <si>
    <t xml:space="preserve">Início das aulas: </t>
  </si>
  <si>
    <r>
      <t xml:space="preserve">Ano lectivo: </t>
    </r>
    <r>
      <rPr>
        <b/>
        <sz val="12"/>
        <rFont val="Arial"/>
        <family val="2"/>
      </rPr>
      <t xml:space="preserve">2013/2014            </t>
    </r>
    <r>
      <rPr>
        <sz val="12"/>
        <rFont val="Arial"/>
        <family val="2"/>
      </rPr>
      <t xml:space="preserve"> Semestre: </t>
    </r>
    <r>
      <rPr>
        <b/>
        <sz val="12"/>
        <rFont val="Arial"/>
        <family val="2"/>
      </rPr>
      <t xml:space="preserve">2º         </t>
    </r>
    <r>
      <rPr>
        <sz val="12"/>
        <rFont val="Arial"/>
        <family val="2"/>
      </rPr>
      <t>Curso:</t>
    </r>
    <r>
      <rPr>
        <b/>
        <sz val="12"/>
        <rFont val="Arial"/>
        <family val="2"/>
      </rPr>
      <t xml:space="preserve">Competências Transversais    </t>
    </r>
    <r>
      <rPr>
        <sz val="12"/>
        <rFont val="Arial"/>
        <family val="2"/>
      </rPr>
      <t xml:space="preserve">       </t>
    </r>
  </si>
  <si>
    <t>Fim das aulas:</t>
  </si>
  <si>
    <t>Código Unidade: 00667</t>
  </si>
  <si>
    <t>Datas</t>
  </si>
  <si>
    <r>
      <t>·</t>
    </r>
    <r>
      <rPr>
        <sz val="7"/>
        <rFont val="Times New Roman"/>
        <family val="1"/>
      </rPr>
      <t xml:space="preserve">         </t>
    </r>
    <r>
      <rPr>
        <sz val="10"/>
        <rFont val="Arial"/>
        <family val="2"/>
      </rPr>
      <t>Folhas de exercícios da equipa docente disponibilizadas na plataforma de e_learning (Blackboard).</t>
    </r>
  </si>
  <si>
    <r>
      <t>·</t>
    </r>
    <r>
      <rPr>
        <sz val="7"/>
        <rFont val="Times New Roman"/>
        <family val="1"/>
      </rPr>
      <t xml:space="preserve">         </t>
    </r>
    <r>
      <rPr>
        <sz val="10"/>
        <rFont val="Arial"/>
        <family val="2"/>
      </rPr>
      <t>Help Online das aplicações estudadas e Manuais da Microsoft.</t>
    </r>
  </si>
  <si>
    <t>Exercicio 1</t>
  </si>
  <si>
    <t>N</t>
  </si>
  <si>
    <t>Mini</t>
  </si>
  <si>
    <t>Obs</t>
  </si>
  <si>
    <t>Subiu</t>
  </si>
  <si>
    <t>N1</t>
  </si>
  <si>
    <t>N2</t>
  </si>
  <si>
    <t>N3</t>
  </si>
  <si>
    <t>N4</t>
  </si>
  <si>
    <t>N5</t>
  </si>
  <si>
    <t>N6</t>
  </si>
  <si>
    <t>N7</t>
  </si>
  <si>
    <t>1) Calcule a nota final (F5)</t>
  </si>
  <si>
    <t xml:space="preserve">2) Em Obs (G5), escreva reprovado ou a nota se o aluno teve nota &gt;=10
</t>
  </si>
  <si>
    <t>4) Calcule a média dos aprovados arredondada a 1 casa decimal</t>
  </si>
  <si>
    <t>5) Qual a percentagem dos alunos reprovados</t>
  </si>
  <si>
    <t>6) Qual a maior nota</t>
  </si>
  <si>
    <t>7) preencha o seguinte Quadro</t>
  </si>
  <si>
    <t>Médias (Final) por Género</t>
  </si>
  <si>
    <t>Revisões: Funções Matemáticas e condicionadas.</t>
  </si>
  <si>
    <t>Funções Lógicas: Optar por soluções alternativas; Se´s encadeados; Relacionar condições; mensagens de erro e função If.Error.</t>
  </si>
  <si>
    <t xml:space="preserve"> Aritmética de datas e funções de texto;</t>
  </si>
  <si>
    <r>
      <t>Funções de pesquisa e referência</t>
    </r>
    <r>
      <rPr>
        <sz val="10"/>
        <rFont val="Arial"/>
        <family val="2"/>
      </rPr>
      <t>.</t>
    </r>
  </si>
  <si>
    <r>
      <rPr>
        <b/>
        <sz val="10"/>
        <rFont val="Arial"/>
        <family val="2"/>
      </rPr>
      <t>Gestão de tabelas</t>
    </r>
    <r>
      <rPr>
        <sz val="10"/>
        <rFont val="Arial"/>
        <family val="2"/>
      </rPr>
      <t>:  Importação e exportação de dados; Filtragem, tabelas dinâmicas e validação.</t>
    </r>
  </si>
  <si>
    <t>Preparação para teste/Avaliação</t>
  </si>
  <si>
    <r>
      <rPr>
        <b/>
        <sz val="10"/>
        <rFont val="Arial"/>
        <family val="2"/>
      </rPr>
      <t>Gestão de livros</t>
    </r>
    <r>
      <rPr>
        <sz val="10"/>
        <rFont val="Arial"/>
        <family val="2"/>
      </rPr>
      <t xml:space="preserve">: Protecção, Propriedades e templates. </t>
    </r>
    <r>
      <rPr>
        <b/>
        <sz val="10"/>
        <rFont val="Arial"/>
        <family val="2"/>
      </rPr>
      <t>Macros de comandos</t>
    </r>
    <r>
      <rPr>
        <sz val="10"/>
        <rFont val="Arial"/>
        <family val="2"/>
      </rPr>
      <t>.</t>
    </r>
  </si>
  <si>
    <t>Preparação: Leitura Cap. 6 (Excel Aplicado à Gestão)</t>
  </si>
  <si>
    <t>Preparação: Leitura Cap. 8 (Excel Aplicado à Gestão)</t>
  </si>
  <si>
    <t>Preparação: Leitura Cap. 1 a 5 (Excel Aplicado à Gestão)</t>
  </si>
  <si>
    <t>Preparação: Leitura Cap.11 e 12 (Excel Aplicado à Gestão)</t>
  </si>
  <si>
    <t>Preparação: Leitura Cap.13 (Excel Aplicado à Gestão)</t>
  </si>
  <si>
    <t>Preparação: Leitura Cap.10, 17, 18 e 21 (Excel Aplicado à Gestão)</t>
  </si>
  <si>
    <t>Resolução de testes e exames tipo</t>
  </si>
  <si>
    <t>Exame
Prova Prática</t>
  </si>
  <si>
    <t>Avaliação:</t>
  </si>
  <si>
    <t>Teste individual (sem computador)</t>
  </si>
  <si>
    <t>Bibliografia:</t>
  </si>
  <si>
    <r>
      <t>·</t>
    </r>
    <r>
      <rPr>
        <sz val="7"/>
        <rFont val="Times New Roman"/>
        <family val="1"/>
      </rPr>
      <t xml:space="preserve">         </t>
    </r>
    <r>
      <rPr>
        <sz val="10"/>
        <rFont val="Arial"/>
        <family val="2"/>
      </rPr>
      <t>Martins, António (2013). Excel Aplicado à Gestão, 3ª Edição, Edições. Sílabo, Lisboa.</t>
    </r>
  </si>
  <si>
    <t>Preparação: Leitura Cap.19 e 23 (Excel Aplicado à Gestão)</t>
  </si>
  <si>
    <t>c) Quantas vezes é que o cliente escrito na célula K44 comprou Frangos</t>
  </si>
  <si>
    <t>d) Quantas vendas fez a Ana na zona Sul</t>
  </si>
  <si>
    <t>e) Quantos vendas foram feitas na zona sul com mais de 10 Unidades</t>
  </si>
  <si>
    <t>f) Quantas vendas foram realizadas nas zonas centro e sul</t>
  </si>
  <si>
    <t>Coordenador: Antonio Martins</t>
  </si>
  <si>
    <t xml:space="preserve">Não é possivel calcular porque funções condicionadas só admitem </t>
  </si>
  <si>
    <t>condição que estas funções não aceitam</t>
  </si>
  <si>
    <t>condições de &lt;;&gt;;&gt;=&lt;= e &lt;&gt;. Neste caso tinhamos que isolar o mês da data</t>
  </si>
  <si>
    <t>Coloca-se para limitar as condições das f. condicionadas</t>
  </si>
  <si>
    <t>Resolve-se mais à frente</t>
  </si>
  <si>
    <t>ou</t>
  </si>
  <si>
    <t>Hip.1</t>
  </si>
  <si>
    <t>Hip.2</t>
  </si>
  <si>
    <t>Custos</t>
  </si>
  <si>
    <t>Não fazer =&gt; IF</t>
  </si>
  <si>
    <r>
      <t xml:space="preserve">Preencha a coluna </t>
    </r>
    <r>
      <rPr>
        <u/>
        <sz val="10"/>
        <color rgb="FFFF0000"/>
        <rFont val="Arial"/>
        <family val="2"/>
      </rPr>
      <t>Acima</t>
    </r>
    <r>
      <rPr>
        <sz val="10"/>
        <color rgb="FFFF0000"/>
        <rFont val="Arial"/>
        <family val="2"/>
      </rPr>
      <t xml:space="preserve"> assinalando com um </t>
    </r>
    <r>
      <rPr>
        <u/>
        <sz val="10"/>
        <color rgb="FFFF0000"/>
        <rFont val="Arial"/>
        <family val="2"/>
      </rPr>
      <t>X</t>
    </r>
    <r>
      <rPr>
        <sz val="10"/>
        <color rgb="FFFF0000"/>
        <rFont val="Arial"/>
        <family val="2"/>
      </rPr>
      <t xml:space="preserve"> as vendas superiores à média das vendas (utilize a coluna Valor)</t>
    </r>
  </si>
  <si>
    <r>
      <t xml:space="preserve">3) Preencha a coluna Subiu, assinalando com </t>
    </r>
    <r>
      <rPr>
        <b/>
        <sz val="11"/>
        <color rgb="FFFF0000"/>
        <rFont val="Arial"/>
        <family val="2"/>
      </rPr>
      <t>X</t>
    </r>
    <r>
      <rPr>
        <sz val="11"/>
        <color rgb="FFFF0000"/>
        <rFont val="Arial"/>
        <family val="2"/>
      </rPr>
      <t xml:space="preserve"> se Final for  maior que a nota do mini-teste
</t>
    </r>
  </si>
  <si>
    <t>Apresentação da unidade curricular: programa, avaliação e calendarização do programa; Revisões: Inserção de dados,  cópia e referências relativas e absolutas.</t>
  </si>
  <si>
    <t xml:space="preserve"> =MAXIMO(C2:C8)</t>
  </si>
  <si>
    <t xml:space="preserve"> =ARRED(MED(E4:E10);0)</t>
  </si>
  <si>
    <t xml:space="preserve"> =SOMA.SE(C4:C10;"=Sul";E4:E10)</t>
  </si>
  <si>
    <t xml:space="preserve"> =CONTAR.SE(C4:C10;"=Sul")+CONTAR.SE(C4:C10;"=Centro")</t>
  </si>
  <si>
    <t xml:space="preserve"> =SE(E4&gt;D19;"X";" ")</t>
  </si>
  <si>
    <t xml:space="preserve"> =SOMA.SE(C5:C11;"=F";F5:F11)/CONTAR.SE(C5:C11;"=F")</t>
  </si>
  <si>
    <t xml:space="preserve"> =SOMA.SE(C5:C11;"=M";F5:F11)/CONTAR.SE(C5:C11;"=M")</t>
  </si>
  <si>
    <t xml:space="preserve"> =MÁXIMO(F5:F11)</t>
  </si>
  <si>
    <t xml:space="preserve"> =CONTAR.SE(F5:F11;"&lt;9,5")</t>
  </si>
  <si>
    <t xml:space="preserve"> =SOMA.SE(F5:F11;"&gt;9,5")/CONTAR.SE(F5:F11;"&gt;9,5")</t>
  </si>
  <si>
    <t xml:space="preserve"> =(D5*D3)+(E5*E3)</t>
  </si>
  <si>
    <t xml:space="preserve"> =C9+C9*C10</t>
  </si>
  <si>
    <t xml:space="preserve"> =C9*(1+C10)</t>
  </si>
  <si>
    <t xml:space="preserve"> =H9/(1+H10)</t>
  </si>
  <si>
    <t xml:space="preserve"> =ANO(HOJE())</t>
  </si>
  <si>
    <t xml:space="preserve"> =C17+C17*D17</t>
  </si>
  <si>
    <t>Arrastar</t>
  </si>
  <si>
    <t xml:space="preserve"> =SOMA(D$38:D38)</t>
  </si>
  <si>
    <t xml:space="preserve"> =SOMA(D$38:D39)</t>
  </si>
  <si>
    <t xml:space="preserve"> =SOMA(D$38:D40)</t>
  </si>
  <si>
    <t xml:space="preserve"> =SOMA(D$38:D41)</t>
  </si>
  <si>
    <t>Hip2</t>
  </si>
  <si>
    <t xml:space="preserve"> =SOMA(E37;D38)</t>
  </si>
  <si>
    <t>Hip1</t>
  </si>
  <si>
    <t xml:space="preserve"> =D38+Anterior</t>
  </si>
  <si>
    <t>M4 =$L84*M$83</t>
  </si>
  <si>
    <t xml:space="preserve"> =D$55*$C56</t>
  </si>
  <si>
    <t xml:space="preserve"> =E$55*$C56</t>
  </si>
  <si>
    <t xml:space="preserve"> =F$55*$C56</t>
  </si>
  <si>
    <t xml:space="preserve"> =SOMA(D56:F56)</t>
  </si>
  <si>
    <t xml:space="preserve"> =SOMA(D56:D64)</t>
  </si>
  <si>
    <t xml:space="preserve"> =D77*I$74</t>
  </si>
  <si>
    <t xml:space="preserve"> =E77+D77</t>
  </si>
  <si>
    <t xml:space="preserve"> =F77/F$80</t>
  </si>
  <si>
    <t xml:space="preserve"> =D2*H$1</t>
  </si>
  <si>
    <t xml:space="preserve"> =CONTAR.SE(E2:E7;"&gt;500000,00")</t>
  </si>
  <si>
    <t xml:space="preserve"> =CONTAR.SE(B2:B7;"&lt;&gt;Ana")</t>
  </si>
  <si>
    <t xml:space="preserve"> =MÁXIMO(E2:E12)</t>
  </si>
  <si>
    <t xml:space="preserve"> =SOMA.SE(B2:B7;G6;E2:E7)/CONTAR.SE(B2:B7;G6)</t>
  </si>
  <si>
    <t xml:space="preserve"> =CONTAR.SE(E2:E7;"&gt;500000")</t>
  </si>
  <si>
    <t xml:space="preserve"> =SOMA.SE(B2:B7;G5;E2:E7)/SOMA(E2:E7)</t>
  </si>
  <si>
    <t xml:space="preserve"> =SOMA.SE(B$2:B$7;G7;E$2:E$7)</t>
  </si>
  <si>
    <t xml:space="preserve"> =SOMA.SE(B$2:B$7;G6;E$2:E$7)</t>
  </si>
  <si>
    <t xml:space="preserve"> =SOMA.SE(B$2:B$7;G5;E$2:E$7)</t>
  </si>
  <si>
    <t xml:space="preserve"> =SE(F5&gt;=10;"Aprovado";"Reprovado")</t>
  </si>
  <si>
    <t xml:space="preserve"> =SE(F5&gt;=D5;"Subiu";"Não Subiu")</t>
  </si>
  <si>
    <t xml:space="preserve"> =MÁXIMO(E9:E23)</t>
  </si>
  <si>
    <t xml:space="preserve"> =MÍNIMO(E9:E23)</t>
  </si>
  <si>
    <t xml:space="preserve"> =MAIOR(E$9:E$23;H17)</t>
  </si>
  <si>
    <t xml:space="preserve"> =MENOR(E$9:E$23;H17)</t>
  </si>
  <si>
    <t xml:space="preserve"> =SE($E73=F$72;$D73)</t>
  </si>
  <si>
    <t xml:space="preserve"> =D109+D109*$H103</t>
  </si>
  <si>
    <t xml:space="preserve"> =E109+E109*$H103</t>
  </si>
  <si>
    <t xml:space="preserve"> =F109+F109*$H103</t>
  </si>
  <si>
    <t xml:space="preserve"> =D109-D110</t>
  </si>
  <si>
    <t xml:space="preserve"> =CONTAR.VAL(D21:D29)</t>
  </si>
  <si>
    <t xml:space="preserve"> =CONTAR.VAL(E21:E29)</t>
  </si>
  <si>
    <t xml:space="preserve"> =CONTAR.VAZIO(E21:E29)</t>
  </si>
  <si>
    <t xml:space="preserve"> =CONTAR.VAL(E21:E29)-CONTAR(E21:E29)</t>
  </si>
  <si>
    <t xml:space="preserve"> =CONTAR(C11:C16)</t>
  </si>
  <si>
    <t xml:space="preserve"> =CONTAR.VAL(C11:C16)</t>
  </si>
  <si>
    <t xml:space="preserve"> =CONTAR.VAZIO(C11:C16)</t>
  </si>
  <si>
    <t xml:space="preserve"> =CONTAR.VAL(C11:C16)-CONTAR(C11:C16)</t>
  </si>
  <si>
    <t xml:space="preserve"> =CONTAR(B37:B44)</t>
  </si>
  <si>
    <t xml:space="preserve"> =CONTAR.SE(C37:C44;"Ana")</t>
  </si>
  <si>
    <t xml:space="preserve"> =CONTAR.SE(C37:C44;K44)</t>
  </si>
  <si>
    <t xml:space="preserve"> =CONTAR.SE.S(C37:C44;"Ana";D37:D44;"Sul")</t>
  </si>
  <si>
    <t xml:space="preserve"> =CONTAR.SE.S(D37:D44;"Sul";E37:E44;"&gt;10")</t>
  </si>
  <si>
    <t xml:space="preserve"> =CONTAR.SE(D37:D44;"Centro")+CONTAR.SE(D37:D44;"Sul")</t>
  </si>
  <si>
    <t xml:space="preserve"> =D54*G$52</t>
  </si>
  <si>
    <t xml:space="preserve"> =SOMA.SE(B54:B69;"=Ana";D54:D69)</t>
  </si>
  <si>
    <t xml:space="preserve"> =SOMA.SE(B54:B69;"=Ana";E54:E69)</t>
  </si>
  <si>
    <t xml:space="preserve"> =CONTAR.SE(C37:C44;”=ANA”)</t>
  </si>
  <si>
    <t xml:space="preserve"> =SOMA(E54:E69)</t>
  </si>
  <si>
    <t xml:space="preserve"> =SOMA.SE(B54:B69;H72;E54:E69)</t>
  </si>
  <si>
    <t xml:space="preserve"> =SOMA(D54:D69)</t>
  </si>
  <si>
    <t xml:space="preserve"> =CONTAR.SE(C$83:C$98;H84)</t>
  </si>
  <si>
    <t xml:space="preserve"> =I84/I$97</t>
  </si>
  <si>
    <t>K106</t>
  </si>
  <si>
    <t xml:space="preserve"> =SOMA.SE(D$104:D$118;J106;G$104:G$118)</t>
  </si>
  <si>
    <t>L106</t>
  </si>
  <si>
    <t xml:space="preserve"> =CONTAR.SE(D$104:D$118;J106)</t>
  </si>
  <si>
    <t>M106</t>
  </si>
  <si>
    <t xml:space="preserve"> =K106/K$109</t>
  </si>
  <si>
    <t xml:space="preserve"> =SOMA.SE.S($G$104:$G$118;$D$104:$D$118;$J115;$C$104:$C$118;K$114)</t>
  </si>
  <si>
    <t xml:space="preserve"> =INT(D6)</t>
  </si>
  <si>
    <t xml:space="preserve"> =ARRED(D6;0)</t>
  </si>
  <si>
    <t xml:space="preserve"> =ARRED.PARA.CIMA(D6;0)</t>
  </si>
  <si>
    <t xml:space="preserve"> =ARRED.PARA.BAIXO(D6;0)</t>
  </si>
  <si>
    <t xml:space="preserve"> =SOMARPRODUTO(D$21:G$21;D29:G29)</t>
  </si>
  <si>
    <t xml:space="preserve"> =ARRED(H23;0)</t>
  </si>
  <si>
    <t xml:space="preserve"> =SOMARPRODUTO(D$21:G$21;D23:G23)</t>
  </si>
  <si>
    <t xml:space="preserve"> =ARRED.EXCESSO(B40;F$37)</t>
  </si>
  <si>
    <t xml:space="preserve"> =ARRED.DEFEITO(B40;F$37)</t>
  </si>
  <si>
    <t xml:space="preserve"> =SOMARPRODUTO(D$9:G$9;D17:G17)</t>
  </si>
  <si>
    <t xml:space="preserve"> =MÉDIA(D11:G11)</t>
  </si>
  <si>
    <t xml:space="preserve"> =CONTAR.SE(G11:G17;"&gt;=9,5")</t>
  </si>
  <si>
    <t xml:space="preserve"> =CONTAR.SE(G11:G17;"&lt;9,5")</t>
  </si>
  <si>
    <t xml:space="preserve"> =MÉDIA.SE(G11:G17;"&gt;=9,5";G11:G17)</t>
  </si>
  <si>
    <t xml:space="preserve"> =MÉDIA.SE(G11:G17;"&lt;9,5";G11:G17)</t>
  </si>
  <si>
    <t xml:space="preserve"> =MÉDIA.SE(C$11:C$17;B21;H$11:H$17)</t>
  </si>
  <si>
    <t xml:space="preserve"> =SOMA(C34:C37)</t>
  </si>
  <si>
    <t xml:space="preserve"> =MÉDIA(C34:C37)</t>
  </si>
  <si>
    <t xml:space="preserve">  =VAR(C34:C37)</t>
  </si>
  <si>
    <t xml:space="preserve"> =DESVPAD(C34:C37)</t>
  </si>
  <si>
    <t xml:space="preserve">  Total =SOMA.SE(B$48:B$62;G51;C$48:C$62)</t>
  </si>
  <si>
    <t xml:space="preserve"> Media=MÉDIA.SE(B$48:B$62;G51;C$48:C$62)</t>
  </si>
  <si>
    <t>% (total) = =I51/I$59</t>
  </si>
  <si>
    <t xml:space="preserve"> =SOMA(I51:I58)</t>
  </si>
  <si>
    <t xml:space="preserve"> =MÉDIA.SE(C67:C72;"Luis";E67:E72)</t>
  </si>
  <si>
    <t xml:space="preserve"> =MÉDIA.SE.S(E67:E72;C67:C72;"Luis";D67:D72;"A")</t>
  </si>
  <si>
    <t xml:space="preserve"> =SOMARPRODUTO(C82:C85;E82:E85)</t>
  </si>
  <si>
    <t xml:space="preserve"> =MÉDIA(C82:C85)</t>
  </si>
  <si>
    <t xml:space="preserve"> =C82*B82</t>
  </si>
  <si>
    <t xml:space="preserve"> =D82/D$86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</si>
</sst>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0\ &quot;€&quot;;[Red]\-#,##0\ &quot;€&quot;"/>
    <numFmt numFmtId="8" formatCode="#,##0.00\ &quot;€&quot;;[Red]\-#,##0.00\ &quot;€&quot;"/>
    <numFmt numFmtId="44" formatCode="_-* #,##0.00\ &quot;€&quot;_-;\-* #,##0.00\ &quot;€&quot;_-;_-* &quot;-&quot;??\ &quot;€&quot;_-;_-@_-"/>
    <numFmt numFmtId="164" formatCode="#,##0\ [$€-1];[Red]\-#,##0\ [$€-1]"/>
    <numFmt numFmtId="165" formatCode="_-* #,##0.00\ [$€-1]_-;\-* #,##0.00\ [$€-1]_-;_-* &quot;-&quot;??\ [$€-1]_-"/>
    <numFmt numFmtId="166" formatCode="[$€-2]\ #,##0"/>
    <numFmt numFmtId="167" formatCode="0.0"/>
    <numFmt numFmtId="168" formatCode="#,##0.00\ &quot;€&quot;"/>
    <numFmt numFmtId="169" formatCode="0.000"/>
    <numFmt numFmtId="170" formatCode="_-* #,##0.00\ [$€-1]_-;\-* #,##0.00\ [$€-1]_-;_-* &quot;-&quot;??\ [$€-1]_-;_-@_-"/>
    <numFmt numFmtId="171" formatCode="0000"/>
  </numFmts>
  <fonts count="65" x14ac:knownFonts="1">
    <font>
      <sz val="10"/>
      <name val="Arial"/>
    </font>
    <font>
      <sz val="10"/>
      <name val="Arial"/>
      <family val="2"/>
    </font>
    <font>
      <b/>
      <sz val="16"/>
      <name val="Arial"/>
      <family val="2"/>
    </font>
    <font>
      <sz val="12"/>
      <name val="Arial"/>
      <family val="2"/>
    </font>
    <font>
      <b/>
      <sz val="12"/>
      <name val="Arial"/>
      <family val="2"/>
    </font>
    <font>
      <b/>
      <sz val="11"/>
      <name val="Arial"/>
      <family val="2"/>
    </font>
    <font>
      <sz val="11"/>
      <name val="Arial"/>
      <family val="2"/>
    </font>
    <font>
      <b/>
      <sz val="10"/>
      <name val="Arial"/>
      <family val="2"/>
    </font>
    <font>
      <sz val="10"/>
      <name val="Arial"/>
      <family val="2"/>
    </font>
    <font>
      <b/>
      <sz val="12"/>
      <name val="Arial"/>
      <family val="2"/>
    </font>
    <font>
      <sz val="11"/>
      <color theme="1"/>
      <name val="Calibri"/>
      <family val="2"/>
      <scheme val="minor"/>
    </font>
    <font>
      <sz val="11"/>
      <color rgb="FFFF0000"/>
      <name val="Calibri"/>
      <family val="2"/>
      <scheme val="minor"/>
    </font>
    <font>
      <b/>
      <sz val="12"/>
      <color indexed="9"/>
      <name val="Arial"/>
      <family val="2"/>
    </font>
    <font>
      <sz val="8"/>
      <name val="Arial"/>
      <family val="2"/>
    </font>
    <font>
      <sz val="10"/>
      <color indexed="8"/>
      <name val="Arial"/>
      <family val="2"/>
    </font>
    <font>
      <b/>
      <sz val="10"/>
      <color indexed="8"/>
      <name val="Arial"/>
      <family val="2"/>
    </font>
    <font>
      <i/>
      <sz val="10"/>
      <name val="Arial"/>
      <family val="2"/>
    </font>
    <font>
      <b/>
      <sz val="11"/>
      <color rgb="FFFF0000"/>
      <name val="Calibri"/>
      <family val="2"/>
      <scheme val="minor"/>
    </font>
    <font>
      <sz val="12"/>
      <color indexed="8"/>
      <name val="Arial"/>
      <family val="2"/>
    </font>
    <font>
      <sz val="12"/>
      <name val="Times New Roman"/>
      <family val="1"/>
    </font>
    <font>
      <sz val="10"/>
      <name val="Times New Roman"/>
      <family val="1"/>
    </font>
    <font>
      <sz val="8"/>
      <color indexed="8"/>
      <name val="Arial"/>
      <family val="2"/>
    </font>
    <font>
      <b/>
      <i/>
      <sz val="10"/>
      <color indexed="8"/>
      <name val="Arial"/>
      <family val="2"/>
    </font>
    <font>
      <sz val="7"/>
      <color indexed="8"/>
      <name val="Times New Roman"/>
      <family val="1"/>
    </font>
    <font>
      <sz val="9"/>
      <name val="Arial"/>
      <family val="2"/>
    </font>
    <font>
      <sz val="10"/>
      <color theme="1"/>
      <name val="Calibri"/>
      <family val="2"/>
      <scheme val="minor"/>
    </font>
    <font>
      <sz val="10"/>
      <color theme="1"/>
      <name val="Arial"/>
      <family val="2"/>
    </font>
    <font>
      <b/>
      <sz val="12"/>
      <color theme="1"/>
      <name val="Times New Roman"/>
      <family val="1"/>
    </font>
    <font>
      <sz val="8"/>
      <color theme="1"/>
      <name val="Calibri"/>
      <family val="2"/>
      <scheme val="minor"/>
    </font>
    <font>
      <sz val="10"/>
      <name val="Arial"/>
      <family val="2"/>
    </font>
    <font>
      <b/>
      <sz val="11"/>
      <color theme="1"/>
      <name val="Calibri"/>
      <family val="2"/>
      <scheme val="minor"/>
    </font>
    <font>
      <vertAlign val="subscript"/>
      <sz val="8"/>
      <name val="Arial"/>
      <family val="2"/>
    </font>
    <font>
      <u/>
      <sz val="10"/>
      <name val="Arial"/>
      <family val="2"/>
    </font>
    <font>
      <sz val="10"/>
      <color rgb="FFFF0000"/>
      <name val="Arial"/>
      <family val="2"/>
    </font>
    <font>
      <sz val="8"/>
      <name val="Arial"/>
      <family val="2"/>
    </font>
    <font>
      <b/>
      <sz val="8"/>
      <name val="Arial"/>
      <family val="2"/>
    </font>
    <font>
      <b/>
      <sz val="10"/>
      <name val="Arial"/>
      <family val="2"/>
    </font>
    <font>
      <b/>
      <u/>
      <sz val="10"/>
      <name val="Arial"/>
      <family val="2"/>
    </font>
    <font>
      <sz val="11"/>
      <color theme="1"/>
      <name val="Calibri"/>
      <family val="2"/>
    </font>
    <font>
      <b/>
      <sz val="12"/>
      <color theme="1"/>
      <name val="Calibri"/>
      <family val="2"/>
      <scheme val="minor"/>
    </font>
    <font>
      <i/>
      <sz val="11"/>
      <color theme="1"/>
      <name val="Calibri"/>
      <family val="2"/>
      <scheme val="minor"/>
    </font>
    <font>
      <sz val="9"/>
      <color theme="1"/>
      <name val="Calibri"/>
      <family val="2"/>
      <scheme val="minor"/>
    </font>
    <font>
      <sz val="11"/>
      <name val="Calibri"/>
      <family val="2"/>
      <scheme val="minor"/>
    </font>
    <font>
      <sz val="11"/>
      <color theme="6" tint="0.59999389629810485"/>
      <name val="Calibri"/>
      <family val="2"/>
      <scheme val="minor"/>
    </font>
    <font>
      <b/>
      <sz val="16"/>
      <color indexed="9"/>
      <name val="Arial"/>
      <family val="2"/>
    </font>
    <font>
      <sz val="10"/>
      <name val="Symbol"/>
      <family val="1"/>
      <charset val="2"/>
    </font>
    <font>
      <sz val="7"/>
      <name val="Times New Roman"/>
      <family val="1"/>
    </font>
    <font>
      <sz val="10"/>
      <name val="Arial Narrow"/>
      <family val="2"/>
    </font>
    <font>
      <b/>
      <sz val="10"/>
      <color indexed="12"/>
      <name val="Arial Narrow"/>
      <family val="2"/>
    </font>
    <font>
      <sz val="10"/>
      <color indexed="12"/>
      <name val="Arial"/>
      <family val="2"/>
    </font>
    <font>
      <b/>
      <i/>
      <sz val="10"/>
      <color indexed="12"/>
      <name val="Arial"/>
      <family val="2"/>
    </font>
    <font>
      <sz val="10"/>
      <name val="Arial"/>
      <family val="2"/>
    </font>
    <font>
      <b/>
      <sz val="10"/>
      <color theme="3" tint="-0.249977111117893"/>
      <name val="Arial"/>
      <family val="2"/>
    </font>
    <font>
      <b/>
      <sz val="9"/>
      <color theme="3" tint="-0.249977111117893"/>
      <name val="Calibri"/>
      <family val="2"/>
      <scheme val="minor"/>
    </font>
    <font>
      <b/>
      <sz val="10"/>
      <color theme="3" tint="-0.249977111117893"/>
      <name val="Calibri"/>
      <family val="2"/>
      <scheme val="minor"/>
    </font>
    <font>
      <b/>
      <sz val="10"/>
      <color rgb="FFFF0000"/>
      <name val="Arial"/>
      <family val="2"/>
    </font>
    <font>
      <sz val="10"/>
      <color theme="4" tint="-0.249977111117893"/>
      <name val="Arial"/>
      <family val="2"/>
    </font>
    <font>
      <b/>
      <sz val="10"/>
      <color theme="4" tint="-0.249977111117893"/>
      <name val="Arial"/>
      <family val="2"/>
    </font>
    <font>
      <b/>
      <sz val="8"/>
      <color theme="4" tint="-0.249977111117893"/>
      <name val="Calibri"/>
      <family val="2"/>
      <scheme val="minor"/>
    </font>
    <font>
      <b/>
      <i/>
      <sz val="10"/>
      <color theme="4" tint="-0.249977111117893"/>
      <name val="Arial"/>
      <family val="2"/>
    </font>
    <font>
      <b/>
      <sz val="10"/>
      <color theme="4" tint="-0.249977111117893"/>
      <name val="Times New Roman"/>
      <family val="1"/>
    </font>
    <font>
      <u/>
      <sz val="10"/>
      <color rgb="FFFF0000"/>
      <name val="Arial"/>
      <family val="2"/>
    </font>
    <font>
      <sz val="11"/>
      <color rgb="FFFF0000"/>
      <name val="Arial"/>
      <family val="2"/>
    </font>
    <font>
      <b/>
      <sz val="11"/>
      <color rgb="FFFF0000"/>
      <name val="Arial"/>
      <family val="2"/>
    </font>
    <font>
      <b/>
      <sz val="10"/>
      <color theme="1"/>
      <name val="Arial"/>
      <family val="2"/>
    </font>
  </fonts>
  <fills count="15">
    <fill>
      <patternFill patternType="none"/>
    </fill>
    <fill>
      <patternFill patternType="gray125"/>
    </fill>
    <fill>
      <patternFill patternType="solid">
        <fgColor indexed="14"/>
        <bgColor indexed="64"/>
      </patternFill>
    </fill>
    <fill>
      <patternFill patternType="solid">
        <fgColor indexed="22"/>
        <bgColor indexed="64"/>
      </patternFill>
    </fill>
    <fill>
      <patternFill patternType="solid">
        <fgColor theme="2" tint="-0.249977111117893"/>
        <bgColor indexed="64"/>
      </patternFill>
    </fill>
    <fill>
      <patternFill patternType="solid">
        <fgColor rgb="FFFFFF0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indexed="13"/>
        <bgColor indexed="64"/>
      </patternFill>
    </fill>
    <fill>
      <patternFill patternType="solid">
        <fgColor indexed="43"/>
        <bgColor indexed="26"/>
      </patternFill>
    </fill>
    <fill>
      <patternFill patternType="solid">
        <fgColor indexed="42"/>
        <bgColor indexed="64"/>
      </patternFill>
    </fill>
  </fills>
  <borders count="8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8"/>
      </left>
      <right style="thin">
        <color indexed="64"/>
      </right>
      <top style="thin">
        <color indexed="8"/>
      </top>
      <bottom/>
      <diagonal/>
    </border>
    <border>
      <left style="thin">
        <color indexed="8"/>
      </left>
      <right style="thin">
        <color indexed="8"/>
      </right>
      <top/>
      <bottom style="medium">
        <color indexed="64"/>
      </bottom>
      <diagonal/>
    </border>
    <border>
      <left/>
      <right style="thin">
        <color indexed="8"/>
      </right>
      <top style="thin">
        <color indexed="64"/>
      </top>
      <bottom style="medium">
        <color indexed="64"/>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right style="thin">
        <color indexed="8"/>
      </right>
      <top/>
      <bottom/>
      <diagonal/>
    </border>
    <border>
      <left style="medium">
        <color indexed="64"/>
      </left>
      <right style="thin">
        <color indexed="8"/>
      </right>
      <top style="medium">
        <color indexed="64"/>
      </top>
      <bottom style="medium">
        <color indexed="64"/>
      </bottom>
      <diagonal/>
    </border>
    <border>
      <left/>
      <right style="thin">
        <color indexed="8"/>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double">
        <color indexed="64"/>
      </bottom>
      <diagonal/>
    </border>
    <border>
      <left/>
      <right/>
      <top/>
      <bottom style="thin">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double">
        <color indexed="64"/>
      </top>
      <bottom style="double">
        <color indexed="64"/>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bottom style="double">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style="thin">
        <color indexed="64"/>
      </left>
      <right/>
      <top style="thin">
        <color indexed="64"/>
      </top>
      <bottom style="double">
        <color indexed="64"/>
      </bottom>
      <diagonal/>
    </border>
    <border>
      <left style="double">
        <color indexed="64"/>
      </left>
      <right style="thin">
        <color indexed="64"/>
      </right>
      <top/>
      <bottom style="thin">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right style="thin">
        <color indexed="64"/>
      </right>
      <top/>
      <bottom style="double">
        <color indexed="64"/>
      </bottom>
      <diagonal/>
    </border>
    <border>
      <left/>
      <right style="thin">
        <color indexed="64"/>
      </right>
      <top/>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double">
        <color indexed="8"/>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double">
        <color indexed="64"/>
      </left>
      <right style="thin">
        <color indexed="64"/>
      </right>
      <top style="thin">
        <color indexed="64"/>
      </top>
      <bottom style="double">
        <color indexed="64"/>
      </bottom>
      <diagonal/>
    </border>
    <border>
      <left/>
      <right/>
      <top/>
      <bottom style="thin">
        <color indexed="8"/>
      </bottom>
      <diagonal/>
    </border>
    <border>
      <left/>
      <right style="thin">
        <color indexed="8"/>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6">
    <xf numFmtId="0" fontId="0" fillId="0" borderId="0"/>
    <xf numFmtId="9" fontId="1" fillId="0" borderId="0" applyFont="0" applyFill="0" applyBorder="0" applyAlignment="0" applyProtection="0"/>
    <xf numFmtId="165" fontId="8" fillId="0" borderId="0" applyFont="0" applyFill="0" applyBorder="0" applyAlignment="0" applyProtection="0"/>
    <xf numFmtId="0" fontId="28" fillId="0" borderId="0"/>
    <xf numFmtId="0" fontId="1" fillId="0" borderId="0"/>
    <xf numFmtId="44" fontId="51" fillId="0" borderId="0" applyFont="0" applyFill="0" applyBorder="0" applyAlignment="0" applyProtection="0"/>
  </cellStyleXfs>
  <cellXfs count="471">
    <xf numFmtId="0" fontId="0" fillId="0" borderId="0" xfId="0"/>
    <xf numFmtId="0" fontId="2" fillId="0" borderId="0" xfId="0" applyFont="1" applyBorder="1" applyAlignment="1">
      <alignment vertical="top" wrapText="1"/>
    </xf>
    <xf numFmtId="0" fontId="3" fillId="0" borderId="0" xfId="0" applyFont="1" applyBorder="1" applyAlignment="1">
      <alignment horizontal="left"/>
    </xf>
    <xf numFmtId="0" fontId="5" fillId="0" borderId="0" xfId="0" applyFont="1" applyBorder="1" applyAlignment="1">
      <alignment horizontal="left"/>
    </xf>
    <xf numFmtId="0" fontId="5" fillId="0" borderId="0" xfId="0" applyFont="1" applyBorder="1" applyAlignment="1">
      <alignment horizontal="center"/>
    </xf>
    <xf numFmtId="0" fontId="6" fillId="0" borderId="0" xfId="0" applyFont="1"/>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Border="1" applyAlignment="1">
      <alignment horizontal="center" vertical="center" wrapText="1"/>
    </xf>
    <xf numFmtId="0" fontId="0" fillId="0" borderId="0" xfId="0" applyBorder="1" applyAlignment="1">
      <alignment vertical="top" wrapText="1"/>
    </xf>
    <xf numFmtId="0" fontId="0" fillId="0" borderId="0" xfId="0" applyBorder="1" applyAlignment="1">
      <alignment horizontal="center" vertical="top" wrapText="1"/>
    </xf>
    <xf numFmtId="0" fontId="0" fillId="0" borderId="0" xfId="0" applyNumberFormat="1"/>
    <xf numFmtId="0" fontId="0" fillId="0" borderId="17" xfId="0" applyBorder="1" applyAlignment="1">
      <alignment horizontal="right"/>
    </xf>
    <xf numFmtId="0" fontId="0" fillId="0" borderId="17" xfId="0" applyBorder="1"/>
    <xf numFmtId="0" fontId="13" fillId="0" borderId="17" xfId="0" applyFont="1" applyBorder="1"/>
    <xf numFmtId="0" fontId="8" fillId="0" borderId="0" xfId="0" applyNumberFormat="1" applyFont="1"/>
    <xf numFmtId="0" fontId="8" fillId="0" borderId="0" xfId="0" applyFont="1"/>
    <xf numFmtId="0" fontId="7" fillId="0" borderId="18" xfId="0" quotePrefix="1" applyFont="1" applyBorder="1"/>
    <xf numFmtId="0" fontId="7" fillId="0" borderId="18" xfId="0" applyFont="1" applyBorder="1"/>
    <xf numFmtId="0" fontId="7" fillId="0" borderId="0" xfId="0" applyFont="1"/>
    <xf numFmtId="0" fontId="14" fillId="0" borderId="19" xfId="0" applyNumberFormat="1" applyFont="1" applyFill="1" applyBorder="1" applyAlignment="1">
      <alignment vertical="top" wrapText="1"/>
    </xf>
    <xf numFmtId="0" fontId="14" fillId="0" borderId="20" xfId="0" applyNumberFormat="1" applyFont="1" applyFill="1" applyBorder="1" applyAlignment="1">
      <alignment vertical="top" wrapText="1"/>
    </xf>
    <xf numFmtId="0" fontId="14" fillId="0" borderId="7" xfId="0" applyNumberFormat="1" applyFont="1" applyFill="1" applyBorder="1" applyAlignment="1">
      <alignment horizontal="right" vertical="top" wrapText="1"/>
    </xf>
    <xf numFmtId="0" fontId="14" fillId="0" borderId="7" xfId="0" applyNumberFormat="1" applyFont="1" applyFill="1" applyBorder="1" applyAlignment="1">
      <alignment vertical="top" wrapText="1"/>
    </xf>
    <xf numFmtId="0" fontId="0" fillId="0" borderId="7" xfId="0" applyBorder="1"/>
    <xf numFmtId="0" fontId="15" fillId="3" borderId="0" xfId="0" applyFont="1" applyFill="1"/>
    <xf numFmtId="0" fontId="16" fillId="0" borderId="0" xfId="0" applyFont="1"/>
    <xf numFmtId="164" fontId="16" fillId="0" borderId="0" xfId="0" applyNumberFormat="1" applyFont="1"/>
    <xf numFmtId="9" fontId="16" fillId="0" borderId="0" xfId="0" applyNumberFormat="1" applyFont="1"/>
    <xf numFmtId="0" fontId="16" fillId="0" borderId="0" xfId="0" applyNumberFormat="1" applyFont="1" applyBorder="1"/>
    <xf numFmtId="0" fontId="16" fillId="0" borderId="0" xfId="0" applyFont="1" applyBorder="1"/>
    <xf numFmtId="0" fontId="13" fillId="0" borderId="0" xfId="0" applyFont="1"/>
    <xf numFmtId="0" fontId="0" fillId="0" borderId="21" xfId="0" applyBorder="1"/>
    <xf numFmtId="0" fontId="0" fillId="0" borderId="21" xfId="0" applyBorder="1" applyAlignment="1">
      <alignment horizontal="center"/>
    </xf>
    <xf numFmtId="0" fontId="0" fillId="0" borderId="8" xfId="0" applyBorder="1"/>
    <xf numFmtId="165" fontId="14" fillId="0" borderId="8" xfId="2" applyFont="1" applyBorder="1" applyAlignment="1">
      <alignment horizontal="right" vertical="top" wrapText="1"/>
    </xf>
    <xf numFmtId="9" fontId="0" fillId="0" borderId="8" xfId="0" applyNumberFormat="1" applyBorder="1"/>
    <xf numFmtId="165" fontId="14" fillId="0" borderId="7" xfId="2" applyFont="1" applyBorder="1" applyAlignment="1">
      <alignment horizontal="right" vertical="top" wrapText="1"/>
    </xf>
    <xf numFmtId="9" fontId="0" fillId="0" borderId="7" xfId="0" applyNumberFormat="1" applyBorder="1"/>
    <xf numFmtId="0" fontId="0" fillId="0" borderId="0" xfId="0" applyBorder="1"/>
    <xf numFmtId="165" fontId="14" fillId="0" borderId="0" xfId="2" applyFont="1" applyBorder="1" applyAlignment="1">
      <alignment horizontal="right" vertical="top" wrapText="1"/>
    </xf>
    <xf numFmtId="9" fontId="0" fillId="0" borderId="0" xfId="0" applyNumberFormat="1" applyBorder="1"/>
    <xf numFmtId="9" fontId="0" fillId="0" borderId="0" xfId="0" applyNumberFormat="1"/>
    <xf numFmtId="0" fontId="8" fillId="0" borderId="17" xfId="0" applyFont="1" applyBorder="1" applyAlignment="1">
      <alignment horizontal="center"/>
    </xf>
    <xf numFmtId="0" fontId="0" fillId="0" borderId="17" xfId="0" applyBorder="1" applyAlignment="1">
      <alignment horizontal="center"/>
    </xf>
    <xf numFmtId="165" fontId="18" fillId="0" borderId="0" xfId="2" applyFont="1" applyBorder="1" applyAlignment="1">
      <alignment horizontal="right" vertical="top" wrapText="1"/>
    </xf>
    <xf numFmtId="0" fontId="19" fillId="0" borderId="0" xfId="0" applyFont="1" applyBorder="1" applyAlignment="1">
      <alignment vertical="top" wrapText="1"/>
    </xf>
    <xf numFmtId="0" fontId="7" fillId="0" borderId="0" xfId="0" applyFont="1" applyBorder="1" applyAlignment="1">
      <alignment horizontal="right"/>
    </xf>
    <xf numFmtId="3" fontId="7" fillId="0" borderId="0" xfId="0" applyNumberFormat="1" applyFont="1" applyBorder="1"/>
    <xf numFmtId="0" fontId="19" fillId="0" borderId="0" xfId="0" applyFont="1" applyBorder="1" applyAlignment="1">
      <alignment horizontal="right" vertical="top" wrapText="1"/>
    </xf>
    <xf numFmtId="0" fontId="9" fillId="3" borderId="0" xfId="0" applyFont="1" applyFill="1"/>
    <xf numFmtId="0" fontId="7" fillId="3" borderId="0" xfId="0" applyFont="1" applyFill="1" applyBorder="1" applyAlignment="1">
      <alignment horizontal="right"/>
    </xf>
    <xf numFmtId="3" fontId="7" fillId="3" borderId="0" xfId="0" applyNumberFormat="1" applyFont="1" applyFill="1" applyBorder="1"/>
    <xf numFmtId="0" fontId="19" fillId="3" borderId="0" xfId="0" applyFont="1" applyFill="1" applyBorder="1" applyAlignment="1">
      <alignment vertical="top" wrapText="1"/>
    </xf>
    <xf numFmtId="0" fontId="19" fillId="3" borderId="0" xfId="0" applyFont="1" applyFill="1" applyBorder="1" applyAlignment="1">
      <alignment horizontal="right" vertical="top" wrapText="1"/>
    </xf>
    <xf numFmtId="0" fontId="0" fillId="3" borderId="0" xfId="0" applyFill="1"/>
    <xf numFmtId="0" fontId="9" fillId="0" borderId="0" xfId="0" applyFont="1" applyFill="1"/>
    <xf numFmtId="0" fontId="7" fillId="0" borderId="0" xfId="0" applyFont="1" applyFill="1" applyBorder="1" applyAlignment="1">
      <alignment horizontal="right"/>
    </xf>
    <xf numFmtId="3" fontId="7" fillId="0" borderId="0" xfId="0" applyNumberFormat="1" applyFont="1" applyFill="1" applyBorder="1"/>
    <xf numFmtId="0" fontId="19" fillId="0" borderId="0" xfId="0" applyFont="1" applyFill="1" applyBorder="1" applyAlignment="1">
      <alignment vertical="top" wrapText="1"/>
    </xf>
    <xf numFmtId="0" fontId="19" fillId="0" borderId="0" xfId="0" applyFont="1" applyFill="1" applyBorder="1" applyAlignment="1">
      <alignment horizontal="right" vertical="top" wrapText="1"/>
    </xf>
    <xf numFmtId="0" fontId="0" fillId="0" borderId="0" xfId="0" applyFill="1"/>
    <xf numFmtId="0" fontId="20" fillId="0" borderId="22" xfId="0" applyFont="1" applyBorder="1" applyAlignment="1">
      <alignment horizontal="right" vertical="top" wrapText="1"/>
    </xf>
    <xf numFmtId="0" fontId="21" fillId="0" borderId="23" xfId="0" applyFont="1" applyBorder="1" applyAlignment="1">
      <alignment horizontal="center" vertical="top" wrapText="1"/>
    </xf>
    <xf numFmtId="0" fontId="21" fillId="0" borderId="24" xfId="0" applyFont="1" applyBorder="1" applyAlignment="1">
      <alignment horizontal="center" vertical="top" wrapText="1"/>
    </xf>
    <xf numFmtId="0" fontId="14" fillId="0" borderId="25" xfId="0" applyFont="1" applyBorder="1" applyAlignment="1">
      <alignment vertical="top" wrapText="1"/>
    </xf>
    <xf numFmtId="0" fontId="14" fillId="0" borderId="26" xfId="0" applyFont="1" applyBorder="1" applyAlignment="1">
      <alignment horizontal="right" vertical="top" wrapText="1"/>
    </xf>
    <xf numFmtId="0" fontId="14" fillId="0" borderId="27" xfId="0" applyFont="1" applyBorder="1" applyAlignment="1">
      <alignment vertical="top" wrapText="1"/>
    </xf>
    <xf numFmtId="0" fontId="14" fillId="0" borderId="28" xfId="0" applyFont="1" applyBorder="1" applyAlignment="1">
      <alignment horizontal="right" vertical="top" wrapText="1"/>
    </xf>
    <xf numFmtId="0" fontId="14" fillId="0" borderId="29" xfId="0" applyFont="1" applyBorder="1" applyAlignment="1">
      <alignment vertical="top" wrapText="1"/>
    </xf>
    <xf numFmtId="0" fontId="20" fillId="0" borderId="30" xfId="0" applyFont="1" applyBorder="1" applyAlignment="1">
      <alignment horizontal="right" vertical="top" wrapText="1"/>
    </xf>
    <xf numFmtId="0" fontId="22" fillId="0" borderId="0" xfId="0" applyFont="1" applyBorder="1" applyAlignment="1">
      <alignment horizontal="center" vertical="top" wrapText="1"/>
    </xf>
    <xf numFmtId="0" fontId="9" fillId="0" borderId="0" xfId="0" applyFont="1"/>
    <xf numFmtId="0" fontId="14" fillId="0" borderId="0" xfId="0" applyFont="1" applyAlignment="1">
      <alignment horizontal="left"/>
    </xf>
    <xf numFmtId="0" fontId="0" fillId="0" borderId="15" xfId="0" applyBorder="1"/>
    <xf numFmtId="0" fontId="8" fillId="0" borderId="32" xfId="0" applyFont="1" applyBorder="1"/>
    <xf numFmtId="0" fontId="8" fillId="0" borderId="33" xfId="0" applyFont="1" applyBorder="1"/>
    <xf numFmtId="0" fontId="8" fillId="0" borderId="33" xfId="0" applyFont="1" applyBorder="1" applyAlignment="1">
      <alignment horizontal="center"/>
    </xf>
    <xf numFmtId="0" fontId="8" fillId="0" borderId="34" xfId="0" applyFont="1" applyBorder="1" applyAlignment="1">
      <alignment horizontal="center"/>
    </xf>
    <xf numFmtId="0" fontId="8" fillId="0" borderId="33" xfId="0" applyNumberFormat="1" applyFont="1" applyBorder="1"/>
    <xf numFmtId="0" fontId="8" fillId="0" borderId="35" xfId="0" applyFont="1" applyBorder="1"/>
    <xf numFmtId="0" fontId="8" fillId="0" borderId="20" xfId="0" applyFont="1" applyBorder="1"/>
    <xf numFmtId="0" fontId="24" fillId="0" borderId="33" xfId="0" applyFont="1" applyBorder="1"/>
    <xf numFmtId="0" fontId="13" fillId="0" borderId="33" xfId="0" applyFont="1" applyBorder="1" applyAlignment="1">
      <alignment horizontal="right"/>
    </xf>
    <xf numFmtId="0" fontId="13" fillId="0" borderId="0" xfId="0" applyFont="1" applyBorder="1" applyAlignment="1">
      <alignment horizontal="right"/>
    </xf>
    <xf numFmtId="0" fontId="8" fillId="0" borderId="0" xfId="0" applyFont="1" applyBorder="1"/>
    <xf numFmtId="0" fontId="20" fillId="0" borderId="28" xfId="0" applyNumberFormat="1" applyFont="1" applyBorder="1" applyAlignment="1">
      <alignment horizontal="right" vertical="top" wrapText="1"/>
    </xf>
    <xf numFmtId="0" fontId="14" fillId="0" borderId="1" xfId="0" applyNumberFormat="1" applyFont="1" applyBorder="1" applyAlignment="1">
      <alignment horizontal="center" vertical="top" wrapText="1"/>
    </xf>
    <xf numFmtId="0" fontId="25" fillId="0" borderId="2" xfId="0" applyNumberFormat="1" applyFont="1" applyBorder="1" applyAlignment="1">
      <alignment horizontal="center"/>
    </xf>
    <xf numFmtId="0" fontId="14" fillId="0" borderId="2" xfId="0" applyNumberFormat="1" applyFont="1" applyBorder="1" applyAlignment="1">
      <alignment horizontal="center" vertical="top" wrapText="1"/>
    </xf>
    <xf numFmtId="0" fontId="14" fillId="0" borderId="4" xfId="0" applyNumberFormat="1" applyFont="1" applyBorder="1" applyAlignment="1">
      <alignment horizontal="center" vertical="top" wrapText="1"/>
    </xf>
    <xf numFmtId="0" fontId="14" fillId="0" borderId="10" xfId="0" applyNumberFormat="1" applyFont="1" applyBorder="1" applyAlignment="1">
      <alignment vertical="top" wrapText="1"/>
    </xf>
    <xf numFmtId="0" fontId="25" fillId="0" borderId="8" xfId="0" applyNumberFormat="1" applyFont="1" applyBorder="1"/>
    <xf numFmtId="0" fontId="14" fillId="0" borderId="8" xfId="2" applyNumberFormat="1" applyFont="1" applyBorder="1" applyAlignment="1">
      <alignment horizontal="right" vertical="top" wrapText="1"/>
    </xf>
    <xf numFmtId="0" fontId="14" fillId="0" borderId="9" xfId="0" applyNumberFormat="1" applyFont="1" applyBorder="1" applyAlignment="1">
      <alignment vertical="top" wrapText="1"/>
    </xf>
    <xf numFmtId="0" fontId="25" fillId="0" borderId="7" xfId="0" applyNumberFormat="1" applyFont="1" applyBorder="1"/>
    <xf numFmtId="0" fontId="14" fillId="0" borderId="7" xfId="2" applyNumberFormat="1" applyFont="1" applyBorder="1" applyAlignment="1">
      <alignment horizontal="right" vertical="top" wrapText="1"/>
    </xf>
    <xf numFmtId="0" fontId="14" fillId="0" borderId="14" xfId="0" applyNumberFormat="1" applyFont="1" applyBorder="1" applyAlignment="1">
      <alignment vertical="top" wrapText="1"/>
    </xf>
    <xf numFmtId="0" fontId="25" fillId="0" borderId="15" xfId="0" applyNumberFormat="1" applyFont="1" applyBorder="1"/>
    <xf numFmtId="0" fontId="14" fillId="0" borderId="15" xfId="2" applyNumberFormat="1" applyFont="1" applyBorder="1" applyAlignment="1">
      <alignment horizontal="right" vertical="top" wrapText="1"/>
    </xf>
    <xf numFmtId="0" fontId="8" fillId="0" borderId="1" xfId="0" applyNumberFormat="1" applyFont="1" applyBorder="1" applyAlignment="1">
      <alignment vertical="top" wrapText="1"/>
    </xf>
    <xf numFmtId="0" fontId="25" fillId="4" borderId="2" xfId="0" applyNumberFormat="1" applyFont="1" applyFill="1" applyBorder="1"/>
    <xf numFmtId="0" fontId="20" fillId="4" borderId="2" xfId="0" applyNumberFormat="1" applyFont="1" applyFill="1" applyBorder="1" applyAlignment="1">
      <alignment vertical="top" wrapText="1"/>
    </xf>
    <xf numFmtId="0" fontId="0" fillId="0" borderId="36" xfId="0" applyBorder="1" applyAlignment="1">
      <alignment horizontal="center"/>
    </xf>
    <xf numFmtId="0" fontId="0" fillId="0" borderId="37" xfId="0" applyBorder="1"/>
    <xf numFmtId="0" fontId="0" fillId="0" borderId="38" xfId="0" applyBorder="1"/>
    <xf numFmtId="0" fontId="0" fillId="0" borderId="12" xfId="0" applyBorder="1"/>
    <xf numFmtId="0" fontId="0" fillId="0" borderId="35" xfId="0" applyBorder="1"/>
    <xf numFmtId="0" fontId="0" fillId="0" borderId="6" xfId="0" applyBorder="1"/>
    <xf numFmtId="0" fontId="0" fillId="0" borderId="20" xfId="0" applyBorder="1"/>
    <xf numFmtId="0" fontId="13" fillId="0" borderId="0" xfId="0" applyFont="1" applyBorder="1" applyAlignment="1">
      <alignment horizontal="left"/>
    </xf>
    <xf numFmtId="0" fontId="15" fillId="0" borderId="7" xfId="0" applyFont="1" applyBorder="1" applyAlignment="1">
      <alignment horizontal="center" wrapText="1"/>
    </xf>
    <xf numFmtId="0" fontId="8" fillId="0" borderId="15" xfId="0" applyFont="1" applyBorder="1" applyAlignment="1">
      <alignment horizontal="center" wrapText="1"/>
    </xf>
    <xf numFmtId="0" fontId="8" fillId="0" borderId="21" xfId="0" applyFont="1" applyBorder="1" applyAlignment="1">
      <alignment horizontal="center" wrapText="1"/>
    </xf>
    <xf numFmtId="0" fontId="14" fillId="0" borderId="21" xfId="0" applyFont="1" applyBorder="1" applyAlignment="1">
      <alignment horizontal="center" wrapText="1"/>
    </xf>
    <xf numFmtId="0" fontId="14" fillId="0" borderId="39" xfId="0" applyFont="1" applyBorder="1" applyAlignment="1">
      <alignment horizontal="center" wrapText="1"/>
    </xf>
    <xf numFmtId="0" fontId="14" fillId="0" borderId="8" xfId="0" applyFont="1" applyBorder="1" applyAlignment="1">
      <alignment wrapText="1"/>
    </xf>
    <xf numFmtId="0" fontId="14" fillId="0" borderId="8" xfId="0" applyFont="1" applyBorder="1" applyAlignment="1">
      <alignment horizontal="right" wrapText="1"/>
    </xf>
    <xf numFmtId="0" fontId="8" fillId="0" borderId="8" xfId="0" applyFont="1" applyBorder="1" applyAlignment="1">
      <alignment horizontal="right" wrapText="1"/>
    </xf>
    <xf numFmtId="0" fontId="14" fillId="0" borderId="7" xfId="0" applyFont="1" applyBorder="1" applyAlignment="1">
      <alignment wrapText="1"/>
    </xf>
    <xf numFmtId="0" fontId="14" fillId="0" borderId="7" xfId="0" applyFont="1" applyBorder="1" applyAlignment="1">
      <alignment horizontal="right" wrapText="1"/>
    </xf>
    <xf numFmtId="0" fontId="8" fillId="0" borderId="7" xfId="0" applyFont="1" applyBorder="1" applyAlignment="1">
      <alignment horizontal="right" wrapText="1"/>
    </xf>
    <xf numFmtId="0" fontId="14" fillId="0" borderId="7" xfId="0" applyFont="1" applyBorder="1" applyAlignment="1">
      <alignment horizontal="left" wrapText="1"/>
    </xf>
    <xf numFmtId="0" fontId="8" fillId="0" borderId="0" xfId="0" applyFont="1" applyBorder="1" applyAlignment="1">
      <alignment wrapText="1"/>
    </xf>
    <xf numFmtId="0" fontId="8" fillId="0" borderId="0" xfId="0" applyFont="1" applyBorder="1" applyAlignment="1">
      <alignment horizontal="right" wrapText="1"/>
    </xf>
    <xf numFmtId="0" fontId="26" fillId="0" borderId="0" xfId="0" applyFont="1" applyBorder="1"/>
    <xf numFmtId="0" fontId="13" fillId="0" borderId="7" xfId="0" applyFont="1" applyBorder="1" applyAlignment="1">
      <alignment horizontal="center"/>
    </xf>
    <xf numFmtId="0" fontId="13" fillId="0" borderId="7" xfId="0" applyFont="1" applyBorder="1"/>
    <xf numFmtId="166" fontId="13" fillId="0" borderId="7" xfId="0" applyNumberFormat="1" applyFont="1" applyBorder="1"/>
    <xf numFmtId="0" fontId="0" fillId="5" borderId="7" xfId="0" applyFill="1" applyBorder="1"/>
    <xf numFmtId="0" fontId="0" fillId="0" borderId="0" xfId="0" applyFill="1" applyBorder="1" applyAlignment="1">
      <alignment horizontal="left"/>
    </xf>
    <xf numFmtId="0" fontId="0" fillId="3" borderId="8" xfId="0" applyFill="1" applyBorder="1" applyAlignment="1">
      <alignment horizontal="left"/>
    </xf>
    <xf numFmtId="0" fontId="0" fillId="3" borderId="8" xfId="0" applyFill="1" applyBorder="1"/>
    <xf numFmtId="0" fontId="0" fillId="0" borderId="8" xfId="0" applyBorder="1" applyAlignment="1">
      <alignment horizontal="center"/>
    </xf>
    <xf numFmtId="0" fontId="0" fillId="3" borderId="7" xfId="0" applyFill="1" applyBorder="1" applyAlignment="1">
      <alignment horizontal="left"/>
    </xf>
    <xf numFmtId="0" fontId="0" fillId="3" borderId="7" xfId="0" applyFill="1" applyBorder="1"/>
    <xf numFmtId="0" fontId="0" fillId="0" borderId="7" xfId="0" applyBorder="1" applyAlignment="1">
      <alignment horizontal="left"/>
    </xf>
    <xf numFmtId="0" fontId="0" fillId="0" borderId="7" xfId="0" applyBorder="1" applyAlignment="1">
      <alignment horizontal="center"/>
    </xf>
    <xf numFmtId="0" fontId="27" fillId="0" borderId="0" xfId="0" applyFont="1"/>
    <xf numFmtId="9" fontId="0" fillId="0" borderId="0" xfId="1" applyFont="1" applyBorder="1"/>
    <xf numFmtId="0" fontId="0" fillId="0" borderId="40" xfId="0" applyBorder="1" applyAlignment="1"/>
    <xf numFmtId="0" fontId="0" fillId="0" borderId="7" xfId="0" applyFill="1" applyBorder="1" applyAlignment="1">
      <alignment horizontal="center"/>
    </xf>
    <xf numFmtId="0" fontId="0" fillId="6" borderId="7" xfId="0" applyFill="1" applyBorder="1"/>
    <xf numFmtId="0" fontId="0" fillId="0" borderId="7" xfId="0" applyFill="1" applyBorder="1"/>
    <xf numFmtId="0" fontId="0" fillId="7" borderId="7" xfId="0" applyFill="1" applyBorder="1"/>
    <xf numFmtId="0" fontId="0" fillId="8" borderId="8" xfId="0" applyFill="1" applyBorder="1"/>
    <xf numFmtId="0" fontId="0" fillId="9" borderId="7" xfId="0" applyFill="1" applyBorder="1"/>
    <xf numFmtId="0" fontId="0" fillId="0" borderId="41" xfId="0" applyBorder="1"/>
    <xf numFmtId="0" fontId="0" fillId="0" borderId="42" xfId="0" applyBorder="1" applyAlignment="1">
      <alignment horizontal="center"/>
    </xf>
    <xf numFmtId="0" fontId="0" fillId="0" borderId="43" xfId="0" applyBorder="1"/>
    <xf numFmtId="0" fontId="0" fillId="0" borderId="44" xfId="0" applyBorder="1"/>
    <xf numFmtId="9" fontId="10" fillId="0" borderId="0" xfId="1" applyFont="1"/>
    <xf numFmtId="0" fontId="13" fillId="0" borderId="7" xfId="0" applyFont="1" applyFill="1" applyBorder="1"/>
    <xf numFmtId="0" fontId="0" fillId="0" borderId="20" xfId="0" applyBorder="1" applyAlignment="1"/>
    <xf numFmtId="0" fontId="13" fillId="0" borderId="21" xfId="0" applyFont="1" applyFill="1" applyBorder="1"/>
    <xf numFmtId="0" fontId="13" fillId="0" borderId="21" xfId="0" applyFont="1" applyFill="1" applyBorder="1" applyAlignment="1">
      <alignment horizontal="center"/>
    </xf>
    <xf numFmtId="0" fontId="13" fillId="0" borderId="8" xfId="0" applyFont="1" applyFill="1" applyBorder="1"/>
    <xf numFmtId="0" fontId="13" fillId="0" borderId="15" xfId="0" applyFont="1" applyFill="1" applyBorder="1"/>
    <xf numFmtId="0" fontId="13" fillId="0" borderId="45" xfId="0" applyFont="1" applyFill="1" applyBorder="1"/>
    <xf numFmtId="0" fontId="13" fillId="0" borderId="0" xfId="0" applyFont="1" applyFill="1" applyBorder="1"/>
    <xf numFmtId="0" fontId="28" fillId="0" borderId="7" xfId="0" applyFont="1" applyBorder="1"/>
    <xf numFmtId="0" fontId="28" fillId="0" borderId="7" xfId="0" applyFont="1" applyBorder="1" applyAlignment="1">
      <alignment horizontal="center"/>
    </xf>
    <xf numFmtId="14" fontId="1" fillId="0" borderId="7" xfId="0" applyNumberFormat="1" applyFont="1" applyBorder="1" applyAlignment="1">
      <alignment vertical="center"/>
    </xf>
    <xf numFmtId="0" fontId="2" fillId="0" borderId="0" xfId="0" applyFont="1" applyAlignment="1">
      <alignment horizontal="center"/>
    </xf>
    <xf numFmtId="0" fontId="0" fillId="3" borderId="7" xfId="0" applyFill="1" applyBorder="1" applyAlignment="1">
      <alignment horizontal="center"/>
    </xf>
    <xf numFmtId="0" fontId="0" fillId="0" borderId="21" xfId="0" applyFill="1" applyBorder="1" applyAlignment="1">
      <alignment horizontal="center"/>
    </xf>
    <xf numFmtId="8" fontId="0" fillId="3" borderId="7" xfId="0" applyNumberFormat="1" applyFill="1" applyBorder="1"/>
    <xf numFmtId="0" fontId="0" fillId="0" borderId="8" xfId="0" applyFill="1" applyBorder="1"/>
    <xf numFmtId="8" fontId="0" fillId="10" borderId="7" xfId="0" applyNumberFormat="1" applyFill="1" applyBorder="1"/>
    <xf numFmtId="9" fontId="0" fillId="3" borderId="8" xfId="1" applyFont="1" applyFill="1" applyBorder="1"/>
    <xf numFmtId="9" fontId="0" fillId="3" borderId="7" xfId="1" applyFont="1" applyFill="1" applyBorder="1"/>
    <xf numFmtId="0" fontId="1" fillId="0" borderId="7" xfId="0" applyFont="1" applyBorder="1" applyAlignment="1"/>
    <xf numFmtId="0" fontId="0" fillId="11" borderId="7" xfId="0" applyFill="1" applyBorder="1" applyAlignment="1"/>
    <xf numFmtId="8" fontId="0" fillId="0" borderId="7" xfId="0" applyNumberFormat="1" applyBorder="1"/>
    <xf numFmtId="167" fontId="31" fillId="0" borderId="0" xfId="0" applyNumberFormat="1" applyFont="1"/>
    <xf numFmtId="0" fontId="7" fillId="0" borderId="0" xfId="0" applyFont="1" applyFill="1" applyBorder="1" applyAlignment="1">
      <alignment vertical="center"/>
    </xf>
    <xf numFmtId="0" fontId="1" fillId="0" borderId="0" xfId="0" applyFont="1" applyAlignment="1">
      <alignment vertical="center"/>
    </xf>
    <xf numFmtId="0" fontId="0" fillId="0" borderId="0" xfId="0" applyAlignment="1">
      <alignment vertical="center"/>
    </xf>
    <xf numFmtId="0" fontId="33" fillId="0" borderId="0" xfId="0" applyFont="1" applyFill="1" applyBorder="1"/>
    <xf numFmtId="0" fontId="1" fillId="0" borderId="5" xfId="0" applyFont="1" applyBorder="1" applyAlignment="1">
      <alignment vertical="center"/>
    </xf>
    <xf numFmtId="0" fontId="0" fillId="0" borderId="31" xfId="0" applyBorder="1"/>
    <xf numFmtId="0" fontId="33" fillId="0" borderId="0" xfId="0" applyFont="1"/>
    <xf numFmtId="0" fontId="0" fillId="0" borderId="5" xfId="0" applyBorder="1" applyAlignment="1">
      <alignment vertical="center"/>
    </xf>
    <xf numFmtId="0" fontId="1" fillId="0" borderId="0" xfId="0" applyFont="1" applyFill="1" applyBorder="1" applyAlignment="1">
      <alignment vertical="center"/>
    </xf>
    <xf numFmtId="0" fontId="33" fillId="0" borderId="0" xfId="0" applyFont="1" applyAlignment="1">
      <alignment vertical="center"/>
    </xf>
    <xf numFmtId="0" fontId="34" fillId="0" borderId="47" xfId="0" applyFont="1" applyBorder="1"/>
    <xf numFmtId="0" fontId="34" fillId="0" borderId="48" xfId="0" applyFont="1" applyBorder="1" applyAlignment="1">
      <alignment horizontal="center"/>
    </xf>
    <xf numFmtId="9" fontId="34" fillId="0" borderId="48" xfId="0" applyNumberFormat="1" applyFont="1" applyBorder="1" applyAlignment="1">
      <alignment horizontal="center"/>
    </xf>
    <xf numFmtId="9" fontId="34" fillId="0" borderId="49" xfId="0" applyNumberFormat="1" applyFont="1" applyBorder="1" applyAlignment="1">
      <alignment horizontal="center"/>
    </xf>
    <xf numFmtId="0" fontId="34" fillId="0" borderId="50" xfId="0" applyFont="1" applyBorder="1"/>
    <xf numFmtId="0" fontId="34" fillId="0" borderId="51" xfId="0" applyFont="1" applyBorder="1"/>
    <xf numFmtId="0" fontId="34" fillId="0" borderId="52" xfId="0" applyFont="1" applyBorder="1"/>
    <xf numFmtId="0" fontId="34" fillId="0" borderId="53" xfId="0" applyFont="1" applyBorder="1" applyAlignment="1">
      <alignment horizontal="center"/>
    </xf>
    <xf numFmtId="0" fontId="34" fillId="0" borderId="39" xfId="0" applyFont="1" applyBorder="1" applyAlignment="1">
      <alignment horizontal="center"/>
    </xf>
    <xf numFmtId="0" fontId="34" fillId="0" borderId="54" xfId="0" applyFont="1" applyBorder="1" applyAlignment="1">
      <alignment horizontal="center"/>
    </xf>
    <xf numFmtId="0" fontId="34" fillId="0" borderId="14" xfId="0" applyFont="1" applyBorder="1"/>
    <xf numFmtId="0" fontId="34" fillId="0" borderId="15" xfId="0" applyFont="1" applyBorder="1"/>
    <xf numFmtId="0" fontId="34" fillId="0" borderId="16" xfId="0" applyFont="1" applyBorder="1"/>
    <xf numFmtId="0" fontId="34" fillId="0" borderId="10" xfId="0" applyFont="1" applyBorder="1"/>
    <xf numFmtId="0" fontId="29" fillId="0" borderId="11" xfId="0" applyFont="1" applyFill="1" applyBorder="1"/>
    <xf numFmtId="0" fontId="0" fillId="0" borderId="10" xfId="0" applyBorder="1"/>
    <xf numFmtId="0" fontId="34" fillId="0" borderId="9" xfId="0" applyFont="1" applyBorder="1"/>
    <xf numFmtId="0" fontId="34" fillId="3" borderId="7" xfId="0" applyFont="1" applyFill="1" applyBorder="1"/>
    <xf numFmtId="0" fontId="34" fillId="3" borderId="12" xfId="0" applyFont="1" applyFill="1" applyBorder="1"/>
    <xf numFmtId="0" fontId="0" fillId="0" borderId="55" xfId="0" applyBorder="1"/>
    <xf numFmtId="0" fontId="34" fillId="3" borderId="6" xfId="0" applyFont="1" applyFill="1" applyBorder="1"/>
    <xf numFmtId="0" fontId="34" fillId="0" borderId="56" xfId="0" applyFont="1" applyBorder="1"/>
    <xf numFmtId="0" fontId="34" fillId="3" borderId="36" xfId="0" applyFont="1" applyFill="1" applyBorder="1"/>
    <xf numFmtId="0" fontId="0" fillId="0" borderId="57" xfId="0" applyBorder="1"/>
    <xf numFmtId="0" fontId="0" fillId="0" borderId="58" xfId="0" applyBorder="1"/>
    <xf numFmtId="0" fontId="0" fillId="0" borderId="16" xfId="0" applyBorder="1"/>
    <xf numFmtId="0" fontId="0" fillId="12" borderId="50" xfId="0" applyFill="1" applyBorder="1" applyAlignment="1">
      <alignment horizontal="center"/>
    </xf>
    <xf numFmtId="0" fontId="0" fillId="12" borderId="51" xfId="0" applyFill="1" applyBorder="1" applyAlignment="1">
      <alignment horizontal="center"/>
    </xf>
    <xf numFmtId="0" fontId="0" fillId="12" borderId="52" xfId="0" applyFill="1" applyBorder="1" applyAlignment="1">
      <alignment horizontal="center"/>
    </xf>
    <xf numFmtId="1" fontId="34" fillId="3" borderId="6" xfId="0" applyNumberFormat="1" applyFont="1" applyFill="1" applyBorder="1"/>
    <xf numFmtId="0" fontId="0" fillId="0" borderId="11" xfId="0" applyBorder="1"/>
    <xf numFmtId="0" fontId="34" fillId="3" borderId="38" xfId="0" applyFont="1" applyFill="1" applyBorder="1"/>
    <xf numFmtId="1" fontId="34" fillId="3" borderId="36" xfId="0" applyNumberFormat="1" applyFont="1" applyFill="1" applyBorder="1"/>
    <xf numFmtId="0" fontId="0" fillId="0" borderId="9" xfId="0" applyBorder="1"/>
    <xf numFmtId="1" fontId="0" fillId="0" borderId="6" xfId="0" applyNumberFormat="1" applyFill="1" applyBorder="1"/>
    <xf numFmtId="0" fontId="7" fillId="0" borderId="9" xfId="0" applyFont="1" applyBorder="1"/>
    <xf numFmtId="0" fontId="7" fillId="0" borderId="11" xfId="0" applyFont="1" applyFill="1" applyBorder="1"/>
    <xf numFmtId="0" fontId="35" fillId="0" borderId="56" xfId="0" applyFont="1" applyBorder="1"/>
    <xf numFmtId="0" fontId="7" fillId="0" borderId="38" xfId="0" applyFont="1" applyBorder="1"/>
    <xf numFmtId="0" fontId="0" fillId="0" borderId="59" xfId="0" applyBorder="1"/>
    <xf numFmtId="0" fontId="0" fillId="0" borderId="56" xfId="0" applyBorder="1"/>
    <xf numFmtId="0" fontId="0" fillId="0" borderId="36" xfId="0" applyBorder="1"/>
    <xf numFmtId="0" fontId="29" fillId="0" borderId="0" xfId="0" applyFont="1" applyAlignment="1">
      <alignment horizontal="right"/>
    </xf>
    <xf numFmtId="0" fontId="29" fillId="0" borderId="0" xfId="0" quotePrefix="1" applyFont="1"/>
    <xf numFmtId="0" fontId="29" fillId="0" borderId="0" xfId="0" applyFont="1"/>
    <xf numFmtId="0" fontId="0" fillId="0" borderId="0" xfId="0" quotePrefix="1"/>
    <xf numFmtId="0" fontId="36" fillId="0" borderId="0" xfId="0" quotePrefix="1" applyFont="1"/>
    <xf numFmtId="0" fontId="13" fillId="0" borderId="21" xfId="0" applyFont="1" applyBorder="1" applyAlignment="1">
      <alignment horizontal="center"/>
    </xf>
    <xf numFmtId="0" fontId="13" fillId="0" borderId="60" xfId="0" applyFont="1" applyBorder="1" applyAlignment="1">
      <alignment horizontal="center"/>
    </xf>
    <xf numFmtId="0" fontId="13" fillId="0" borderId="7" xfId="0" applyFont="1" applyFill="1" applyBorder="1" applyAlignment="1">
      <alignment horizontal="right"/>
    </xf>
    <xf numFmtId="0" fontId="13" fillId="0" borderId="8" xfId="0" applyFont="1" applyBorder="1"/>
    <xf numFmtId="3" fontId="13" fillId="0" borderId="11" xfId="0" applyNumberFormat="1" applyFont="1" applyBorder="1"/>
    <xf numFmtId="168" fontId="13" fillId="3" borderId="61" xfId="0" applyNumberFormat="1" applyFont="1" applyFill="1" applyBorder="1"/>
    <xf numFmtId="0" fontId="13" fillId="0" borderId="8" xfId="0" applyFont="1" applyFill="1" applyBorder="1" applyAlignment="1">
      <alignment horizontal="center"/>
    </xf>
    <xf numFmtId="168" fontId="13" fillId="3" borderId="7" xfId="0" applyNumberFormat="1" applyFont="1" applyFill="1" applyBorder="1"/>
    <xf numFmtId="0" fontId="13" fillId="0" borderId="15" xfId="0" applyFont="1" applyBorder="1"/>
    <xf numFmtId="3" fontId="13" fillId="0" borderId="18" xfId="0" applyNumberFormat="1" applyFont="1" applyBorder="1"/>
    <xf numFmtId="14" fontId="13" fillId="0" borderId="7" xfId="0" applyNumberFormat="1" applyFont="1" applyBorder="1"/>
    <xf numFmtId="9" fontId="13" fillId="3" borderId="7" xfId="1" applyFont="1" applyFill="1" applyBorder="1"/>
    <xf numFmtId="0" fontId="13" fillId="3" borderId="7" xfId="0" applyFont="1" applyFill="1" applyBorder="1"/>
    <xf numFmtId="0" fontId="0" fillId="0" borderId="0" xfId="0" applyFill="1" applyBorder="1" applyAlignment="1">
      <alignment vertical="center"/>
    </xf>
    <xf numFmtId="0" fontId="30" fillId="0" borderId="0" xfId="0" applyFont="1"/>
    <xf numFmtId="0" fontId="0" fillId="0" borderId="0" xfId="0" applyAlignment="1">
      <alignment horizontal="left" indent="2"/>
    </xf>
    <xf numFmtId="0" fontId="15" fillId="8" borderId="0" xfId="0" applyFont="1" applyFill="1"/>
    <xf numFmtId="0" fontId="0" fillId="8" borderId="0" xfId="0" applyFill="1"/>
    <xf numFmtId="0" fontId="39" fillId="0" borderId="0" xfId="0" applyFont="1"/>
    <xf numFmtId="0" fontId="40" fillId="0" borderId="0" xfId="0" applyFont="1"/>
    <xf numFmtId="169" fontId="30" fillId="0" borderId="0" xfId="0" applyNumberFormat="1" applyFont="1" applyAlignment="1"/>
    <xf numFmtId="169" fontId="30" fillId="0" borderId="0" xfId="0" applyNumberFormat="1" applyFont="1" applyAlignment="1">
      <alignment horizontal="left" indent="2"/>
    </xf>
    <xf numFmtId="9" fontId="28" fillId="0" borderId="0" xfId="0" applyNumberFormat="1" applyFont="1" applyBorder="1" applyAlignment="1">
      <alignment horizontal="center"/>
    </xf>
    <xf numFmtId="0" fontId="41" fillId="0" borderId="7" xfId="0" applyFont="1" applyBorder="1" applyAlignment="1">
      <alignment horizontal="center"/>
    </xf>
    <xf numFmtId="0" fontId="41" fillId="0" borderId="7" xfId="0" applyFont="1" applyFill="1" applyBorder="1" applyAlignment="1">
      <alignment horizontal="center"/>
    </xf>
    <xf numFmtId="0" fontId="41" fillId="0" borderId="7" xfId="0" applyFont="1" applyBorder="1"/>
    <xf numFmtId="0" fontId="41" fillId="0" borderId="0" xfId="0" applyFont="1" applyFill="1" applyBorder="1"/>
    <xf numFmtId="0" fontId="7" fillId="11" borderId="0" xfId="0" applyFont="1" applyFill="1"/>
    <xf numFmtId="0" fontId="42" fillId="11" borderId="0" xfId="0" applyFont="1" applyFill="1"/>
    <xf numFmtId="0" fontId="25" fillId="0" borderId="0" xfId="0" applyFont="1" applyAlignment="1">
      <alignment horizontal="left"/>
    </xf>
    <xf numFmtId="0" fontId="37" fillId="0" borderId="0" xfId="0" applyFont="1" applyAlignment="1">
      <alignment horizontal="left"/>
    </xf>
    <xf numFmtId="0" fontId="25" fillId="0" borderId="7" xfId="0" applyFont="1" applyBorder="1"/>
    <xf numFmtId="0" fontId="43" fillId="0" borderId="0" xfId="0" applyFont="1"/>
    <xf numFmtId="0" fontId="42" fillId="7" borderId="0" xfId="0" applyFont="1" applyFill="1"/>
    <xf numFmtId="0" fontId="1" fillId="0" borderId="13" xfId="0" applyFont="1" applyBorder="1" applyAlignment="1">
      <alignment vertical="center"/>
    </xf>
    <xf numFmtId="0" fontId="1" fillId="0" borderId="62" xfId="0" applyFont="1" applyBorder="1" applyAlignment="1">
      <alignment vertical="center"/>
    </xf>
    <xf numFmtId="0" fontId="1" fillId="0" borderId="62" xfId="0" applyFont="1" applyBorder="1" applyAlignment="1">
      <alignment horizontal="right" vertical="center"/>
    </xf>
    <xf numFmtId="0" fontId="42" fillId="0" borderId="7" xfId="0" applyFont="1" applyBorder="1" applyAlignment="1">
      <alignment horizontal="center"/>
    </xf>
    <xf numFmtId="0" fontId="0" fillId="0" borderId="7" xfId="0" quotePrefix="1" applyBorder="1" applyAlignment="1">
      <alignment horizontal="right"/>
    </xf>
    <xf numFmtId="0" fontId="0" fillId="0" borderId="63" xfId="0" applyBorder="1"/>
    <xf numFmtId="0" fontId="25" fillId="0" borderId="64" xfId="0" applyFont="1" applyBorder="1" applyAlignment="1">
      <alignment horizontal="right"/>
    </xf>
    <xf numFmtId="9" fontId="28" fillId="0" borderId="0" xfId="0" applyNumberFormat="1" applyFont="1" applyAlignment="1">
      <alignment horizontal="center"/>
    </xf>
    <xf numFmtId="0" fontId="0" fillId="0" borderId="0" xfId="0" applyAlignment="1"/>
    <xf numFmtId="0" fontId="41" fillId="0" borderId="21" xfId="0" applyFont="1" applyFill="1" applyBorder="1" applyAlignment="1">
      <alignment horizontal="center"/>
    </xf>
    <xf numFmtId="0" fontId="0" fillId="0" borderId="65" xfId="0" applyBorder="1"/>
    <xf numFmtId="0" fontId="25" fillId="0" borderId="66" xfId="0" applyFont="1" applyBorder="1" applyAlignment="1">
      <alignment horizontal="right"/>
    </xf>
    <xf numFmtId="0" fontId="41" fillId="0" borderId="8" xfId="0" applyFont="1" applyFill="1" applyBorder="1"/>
    <xf numFmtId="0" fontId="25" fillId="0" borderId="66" xfId="0" applyFont="1" applyFill="1" applyBorder="1" applyAlignment="1">
      <alignment horizontal="right"/>
    </xf>
    <xf numFmtId="0" fontId="25" fillId="0" borderId="0" xfId="0" applyFont="1" applyFill="1" applyBorder="1" applyAlignment="1">
      <alignment horizontal="right"/>
    </xf>
    <xf numFmtId="0" fontId="1" fillId="0" borderId="35" xfId="0" applyFont="1" applyBorder="1"/>
    <xf numFmtId="0" fontId="1" fillId="0" borderId="21" xfId="0" applyFont="1" applyBorder="1"/>
    <xf numFmtId="0" fontId="1" fillId="0" borderId="67" xfId="0" applyFont="1" applyBorder="1" applyAlignment="1">
      <alignment horizontal="center"/>
    </xf>
    <xf numFmtId="0" fontId="1" fillId="0" borderId="8" xfId="0" applyFont="1" applyBorder="1"/>
    <xf numFmtId="0" fontId="1" fillId="0" borderId="35" xfId="0" applyFont="1" applyBorder="1" applyAlignment="1">
      <alignment horizontal="right"/>
    </xf>
    <xf numFmtId="0" fontId="1" fillId="0" borderId="58" xfId="0" applyFont="1" applyBorder="1"/>
    <xf numFmtId="0" fontId="1" fillId="0" borderId="68" xfId="0" applyFont="1" applyBorder="1" applyAlignment="1">
      <alignment horizontal="right"/>
    </xf>
    <xf numFmtId="0" fontId="1" fillId="0" borderId="2" xfId="0" applyFont="1" applyBorder="1"/>
    <xf numFmtId="0" fontId="1" fillId="0" borderId="70" xfId="0" applyFont="1" applyBorder="1"/>
    <xf numFmtId="0" fontId="0" fillId="0" borderId="38" xfId="0" applyBorder="1" applyAlignment="1">
      <alignment horizontal="center"/>
    </xf>
    <xf numFmtId="0" fontId="0" fillId="0" borderId="7" xfId="0" applyBorder="1" applyAlignment="1"/>
    <xf numFmtId="0" fontId="4" fillId="3" borderId="0" xfId="0" applyFont="1" applyFill="1"/>
    <xf numFmtId="0" fontId="13" fillId="0" borderId="9" xfId="0" applyFont="1" applyBorder="1" applyAlignment="1">
      <alignment horizontal="center"/>
    </xf>
    <xf numFmtId="14" fontId="13" fillId="0" borderId="9" xfId="0" applyNumberFormat="1" applyFont="1" applyBorder="1"/>
    <xf numFmtId="0" fontId="3" fillId="0" borderId="0" xfId="0" applyFont="1" applyBorder="1" applyAlignment="1">
      <alignment vertical="top" wrapText="1"/>
    </xf>
    <xf numFmtId="0" fontId="3" fillId="0" borderId="0" xfId="0" applyFont="1" applyBorder="1" applyAlignment="1">
      <alignment horizontal="center" vertical="top" wrapText="1"/>
    </xf>
    <xf numFmtId="0" fontId="3" fillId="0" borderId="0" xfId="0" applyFont="1"/>
    <xf numFmtId="0" fontId="3" fillId="0" borderId="0" xfId="0" applyFont="1" applyBorder="1" applyAlignment="1"/>
    <xf numFmtId="0" fontId="4" fillId="0" borderId="0" xfId="0" applyFont="1" applyBorder="1" applyAlignment="1"/>
    <xf numFmtId="0" fontId="3" fillId="0" borderId="0" xfId="0" applyFont="1" applyBorder="1" applyAlignment="1">
      <alignment horizontal="right"/>
    </xf>
    <xf numFmtId="0" fontId="4" fillId="0" borderId="0" xfId="0" applyFont="1" applyBorder="1" applyAlignment="1">
      <alignment horizontal="left"/>
    </xf>
    <xf numFmtId="0" fontId="4" fillId="0" borderId="0" xfId="0" applyFont="1" applyBorder="1" applyAlignment="1">
      <alignment horizontal="center"/>
    </xf>
    <xf numFmtId="0" fontId="1" fillId="0" borderId="0" xfId="0" applyFont="1" applyBorder="1" applyAlignment="1">
      <alignment vertical="top" wrapText="1"/>
    </xf>
    <xf numFmtId="14" fontId="1" fillId="0" borderId="51" xfId="0" applyNumberFormat="1" applyFont="1" applyBorder="1" applyAlignment="1">
      <alignment vertical="center"/>
    </xf>
    <xf numFmtId="0" fontId="1" fillId="0" borderId="7" xfId="0" applyFont="1" applyBorder="1" applyAlignment="1" applyProtection="1">
      <alignment horizontal="left" vertical="center" wrapText="1"/>
      <protection locked="0"/>
    </xf>
    <xf numFmtId="0" fontId="1" fillId="0" borderId="5" xfId="0" applyNumberFormat="1" applyFont="1" applyFill="1" applyBorder="1" applyAlignment="1">
      <alignment horizontal="center" vertical="center"/>
    </xf>
    <xf numFmtId="1" fontId="1" fillId="0" borderId="9" xfId="0" applyNumberFormat="1" applyFont="1" applyBorder="1" applyAlignment="1" applyProtection="1">
      <alignment vertical="center"/>
      <protection locked="0"/>
    </xf>
    <xf numFmtId="0" fontId="7" fillId="0" borderId="15" xfId="0" applyFont="1" applyBorder="1" applyAlignment="1" applyProtection="1">
      <alignment vertical="center" wrapText="1"/>
      <protection locked="0"/>
    </xf>
    <xf numFmtId="0" fontId="1" fillId="0" borderId="8" xfId="0" applyNumberFormat="1" applyFont="1" applyFill="1" applyBorder="1" applyAlignment="1">
      <alignment vertical="center"/>
    </xf>
    <xf numFmtId="0" fontId="7" fillId="0" borderId="7" xfId="0" applyFont="1" applyFill="1" applyBorder="1" applyAlignment="1" applyProtection="1">
      <alignment horizontal="left" vertical="center" wrapText="1"/>
      <protection locked="0"/>
    </xf>
    <xf numFmtId="1" fontId="1" fillId="0" borderId="14" xfId="0" applyNumberFormat="1" applyFont="1" applyBorder="1" applyAlignment="1" applyProtection="1">
      <alignment vertical="center"/>
      <protection locked="0"/>
    </xf>
    <xf numFmtId="14" fontId="1" fillId="0" borderId="15" xfId="0" applyNumberFormat="1" applyFont="1" applyBorder="1" applyAlignment="1">
      <alignment vertical="center"/>
    </xf>
    <xf numFmtId="1" fontId="1" fillId="0" borderId="56" xfId="0" applyNumberFormat="1" applyFont="1" applyBorder="1" applyAlignment="1" applyProtection="1">
      <alignment vertical="center"/>
      <protection locked="0"/>
    </xf>
    <xf numFmtId="14" fontId="1" fillId="0" borderId="38" xfId="0" applyNumberFormat="1" applyFont="1" applyBorder="1" applyAlignment="1">
      <alignment vertical="center"/>
    </xf>
    <xf numFmtId="0" fontId="7" fillId="0" borderId="70" xfId="0" applyFont="1" applyBorder="1" applyAlignment="1" applyProtection="1">
      <alignment vertical="center" wrapText="1"/>
      <protection locked="0"/>
    </xf>
    <xf numFmtId="0" fontId="1" fillId="0" borderId="59" xfId="0" applyNumberFormat="1" applyFont="1" applyFill="1" applyBorder="1" applyAlignment="1">
      <alignment horizontal="center" vertical="center"/>
    </xf>
    <xf numFmtId="0" fontId="1" fillId="0" borderId="0" xfId="0" applyFont="1"/>
    <xf numFmtId="9" fontId="20" fillId="0" borderId="76" xfId="1" applyFont="1" applyFill="1" applyBorder="1" applyAlignment="1" applyProtection="1">
      <alignment horizontal="center"/>
    </xf>
    <xf numFmtId="0" fontId="47" fillId="0" borderId="76" xfId="0" applyFont="1" applyBorder="1" applyAlignment="1">
      <alignment horizontal="center"/>
    </xf>
    <xf numFmtId="0" fontId="20" fillId="0" borderId="76" xfId="0" applyFont="1" applyBorder="1" applyAlignment="1">
      <alignment horizontal="center"/>
    </xf>
    <xf numFmtId="0" fontId="48" fillId="0" borderId="0" xfId="0" applyFont="1" applyFill="1" applyBorder="1" applyAlignment="1">
      <alignment horizontal="center"/>
    </xf>
    <xf numFmtId="0" fontId="1" fillId="0" borderId="25" xfId="0" applyFont="1" applyBorder="1"/>
    <xf numFmtId="0" fontId="1" fillId="13" borderId="25" xfId="0" applyFont="1" applyFill="1" applyBorder="1"/>
    <xf numFmtId="0" fontId="1" fillId="13" borderId="25" xfId="0" applyFont="1" applyFill="1" applyBorder="1" applyAlignment="1">
      <alignment horizontal="center"/>
    </xf>
    <xf numFmtId="0" fontId="1" fillId="0" borderId="75" xfId="0" applyFont="1" applyBorder="1"/>
    <xf numFmtId="0" fontId="0" fillId="0" borderId="0" xfId="0" applyFont="1" applyBorder="1"/>
    <xf numFmtId="0" fontId="49" fillId="0" borderId="0" xfId="0" applyFont="1" applyBorder="1"/>
    <xf numFmtId="0" fontId="6" fillId="0" borderId="77" xfId="0" applyFont="1" applyBorder="1"/>
    <xf numFmtId="0" fontId="0" fillId="0" borderId="77" xfId="0" applyFont="1" applyBorder="1"/>
    <xf numFmtId="0" fontId="49" fillId="0" borderId="77" xfId="0" applyFont="1" applyBorder="1"/>
    <xf numFmtId="0" fontId="49" fillId="0" borderId="78" xfId="0" applyFont="1" applyBorder="1"/>
    <xf numFmtId="0" fontId="0" fillId="14" borderId="7" xfId="0" applyFill="1" applyBorder="1"/>
    <xf numFmtId="0" fontId="6" fillId="0" borderId="77" xfId="0" applyFont="1" applyFill="1" applyBorder="1" applyAlignment="1"/>
    <xf numFmtId="0" fontId="0" fillId="0" borderId="77" xfId="0" applyBorder="1"/>
    <xf numFmtId="0" fontId="35" fillId="0" borderId="77" xfId="0" applyFont="1" applyBorder="1" applyAlignment="1">
      <alignment horizontal="right"/>
    </xf>
    <xf numFmtId="0" fontId="35" fillId="0" borderId="78" xfId="0" applyFont="1" applyBorder="1" applyAlignment="1">
      <alignment horizontal="right"/>
    </xf>
    <xf numFmtId="0" fontId="35" fillId="0" borderId="0" xfId="0" applyFont="1" applyAlignment="1">
      <alignment horizontal="right"/>
    </xf>
    <xf numFmtId="0" fontId="50" fillId="13" borderId="75" xfId="0" applyFont="1" applyFill="1" applyBorder="1"/>
    <xf numFmtId="0" fontId="7" fillId="0" borderId="15" xfId="0" applyFont="1" applyFill="1" applyBorder="1" applyAlignment="1">
      <alignment horizontal="center" vertical="top" wrapText="1"/>
    </xf>
    <xf numFmtId="0" fontId="7" fillId="0" borderId="7" xfId="0" applyFont="1" applyFill="1" applyBorder="1" applyAlignment="1">
      <alignment horizontal="center" vertical="top" wrapText="1"/>
    </xf>
    <xf numFmtId="0" fontId="1" fillId="0" borderId="7" xfId="0" applyNumberFormat="1" applyFont="1" applyFill="1" applyBorder="1" applyAlignment="1">
      <alignment vertical="center"/>
    </xf>
    <xf numFmtId="0" fontId="7" fillId="0" borderId="72" xfId="0" applyFont="1" applyBorder="1" applyAlignment="1">
      <alignment vertical="top" wrapText="1"/>
    </xf>
    <xf numFmtId="0" fontId="7" fillId="0" borderId="73" xfId="0" applyFont="1" applyBorder="1" applyAlignment="1">
      <alignment vertical="top" wrapText="1"/>
    </xf>
    <xf numFmtId="0" fontId="7" fillId="0" borderId="12" xfId="0" applyFont="1" applyBorder="1" applyAlignment="1">
      <alignment vertical="top" wrapText="1"/>
    </xf>
    <xf numFmtId="0" fontId="4" fillId="0" borderId="0" xfId="0" applyFont="1" applyBorder="1" applyAlignment="1">
      <alignment vertical="top" wrapText="1"/>
    </xf>
    <xf numFmtId="0" fontId="7" fillId="0" borderId="38" xfId="0" applyFont="1" applyFill="1" applyBorder="1" applyAlignment="1">
      <alignment horizontal="center" vertical="top" wrapText="1"/>
    </xf>
    <xf numFmtId="0" fontId="1" fillId="0" borderId="38" xfId="0" applyNumberFormat="1" applyFont="1" applyFill="1" applyBorder="1" applyAlignment="1">
      <alignment vertical="center"/>
    </xf>
    <xf numFmtId="1" fontId="1" fillId="0" borderId="50" xfId="0" applyNumberFormat="1" applyFont="1" applyFill="1" applyBorder="1" applyAlignment="1" applyProtection="1">
      <alignment vertical="center"/>
      <protection locked="0"/>
    </xf>
    <xf numFmtId="1" fontId="1" fillId="0" borderId="9" xfId="0" applyNumberFormat="1" applyFont="1" applyFill="1" applyBorder="1" applyAlignment="1" applyProtection="1">
      <alignment vertical="center"/>
      <protection locked="0"/>
    </xf>
    <xf numFmtId="0" fontId="52" fillId="0" borderId="7" xfId="0" applyFont="1" applyBorder="1"/>
    <xf numFmtId="0" fontId="53" fillId="0" borderId="7" xfId="0" applyFont="1" applyBorder="1"/>
    <xf numFmtId="1" fontId="53" fillId="0" borderId="7" xfId="0" applyNumberFormat="1" applyFont="1" applyBorder="1"/>
    <xf numFmtId="0" fontId="54" fillId="0" borderId="7" xfId="0" applyFont="1" applyBorder="1"/>
    <xf numFmtId="166" fontId="52" fillId="0" borderId="0" xfId="0" applyNumberFormat="1" applyFont="1"/>
    <xf numFmtId="166" fontId="52" fillId="0" borderId="7" xfId="0" applyNumberFormat="1" applyFont="1" applyBorder="1"/>
    <xf numFmtId="0" fontId="52" fillId="0" borderId="8" xfId="0" applyFont="1" applyBorder="1"/>
    <xf numFmtId="0" fontId="52" fillId="0" borderId="8" xfId="0" applyFont="1" applyBorder="1" applyAlignment="1"/>
    <xf numFmtId="9" fontId="52" fillId="0" borderId="8" xfId="1" applyFont="1" applyBorder="1" applyAlignment="1"/>
    <xf numFmtId="0" fontId="52" fillId="0" borderId="7" xfId="0" applyFont="1" applyBorder="1" applyAlignment="1"/>
    <xf numFmtId="9" fontId="52" fillId="0" borderId="7" xfId="1" applyFont="1" applyBorder="1" applyAlignment="1"/>
    <xf numFmtId="0" fontId="52" fillId="0" borderId="0" xfId="0" applyFont="1"/>
    <xf numFmtId="0" fontId="55" fillId="0" borderId="0" xfId="0" applyFont="1"/>
    <xf numFmtId="0" fontId="56" fillId="0" borderId="0" xfId="0" applyFont="1" applyFill="1"/>
    <xf numFmtId="9" fontId="56" fillId="0" borderId="0" xfId="1" applyFont="1" applyFill="1"/>
    <xf numFmtId="10" fontId="56" fillId="0" borderId="0" xfId="1" applyNumberFormat="1" applyFont="1" applyFill="1"/>
    <xf numFmtId="9" fontId="57" fillId="0" borderId="0" xfId="0" applyNumberFormat="1" applyFont="1"/>
    <xf numFmtId="0" fontId="57" fillId="0" borderId="0" xfId="0" applyFont="1"/>
    <xf numFmtId="0" fontId="57" fillId="0" borderId="7" xfId="0" applyFont="1" applyBorder="1"/>
    <xf numFmtId="6" fontId="56" fillId="0" borderId="7" xfId="0" applyNumberFormat="1" applyFont="1" applyBorder="1"/>
    <xf numFmtId="6" fontId="57" fillId="0" borderId="0" xfId="0" applyNumberFormat="1" applyFont="1"/>
    <xf numFmtId="0" fontId="57" fillId="9" borderId="7" xfId="0" applyFont="1" applyFill="1" applyBorder="1"/>
    <xf numFmtId="0" fontId="57" fillId="0" borderId="8" xfId="0" applyFont="1" applyBorder="1"/>
    <xf numFmtId="0" fontId="57" fillId="0" borderId="35" xfId="0" applyFont="1" applyBorder="1"/>
    <xf numFmtId="9" fontId="57" fillId="0" borderId="8" xfId="1" applyFont="1" applyBorder="1"/>
    <xf numFmtId="0" fontId="57" fillId="0" borderId="79" xfId="0" applyFont="1" applyBorder="1"/>
    <xf numFmtId="9" fontId="57" fillId="0" borderId="21" xfId="1" applyFont="1" applyBorder="1"/>
    <xf numFmtId="0" fontId="57" fillId="0" borderId="45" xfId="0" applyFont="1" applyBorder="1"/>
    <xf numFmtId="9" fontId="57" fillId="0" borderId="45" xfId="1" applyFont="1" applyBorder="1"/>
    <xf numFmtId="0" fontId="58" fillId="0" borderId="7" xfId="0" applyFont="1" applyBorder="1"/>
    <xf numFmtId="0" fontId="16" fillId="0" borderId="0" xfId="0" applyFont="1" applyAlignment="1">
      <alignment horizontal="center"/>
    </xf>
    <xf numFmtId="0" fontId="59" fillId="0" borderId="7" xfId="0" applyNumberFormat="1" applyFont="1" applyBorder="1"/>
    <xf numFmtId="0" fontId="59" fillId="0" borderId="7" xfId="0" applyFont="1" applyBorder="1"/>
    <xf numFmtId="0" fontId="57" fillId="5" borderId="0" xfId="0" applyFont="1" applyFill="1"/>
    <xf numFmtId="0" fontId="57" fillId="5" borderId="8" xfId="0" applyFont="1" applyFill="1" applyBorder="1"/>
    <xf numFmtId="0" fontId="1" fillId="0" borderId="0" xfId="0" applyFont="1" applyAlignment="1">
      <alignment horizontal="center"/>
    </xf>
    <xf numFmtId="0" fontId="20" fillId="0" borderId="80" xfId="0" applyFont="1" applyBorder="1" applyAlignment="1">
      <alignment horizontal="right" vertical="top" wrapText="1"/>
    </xf>
    <xf numFmtId="0" fontId="21" fillId="0" borderId="81" xfId="0" applyFont="1" applyBorder="1" applyAlignment="1">
      <alignment horizontal="center" vertical="top" wrapText="1"/>
    </xf>
    <xf numFmtId="0" fontId="20" fillId="0" borderId="62" xfId="0" applyFont="1" applyBorder="1" applyAlignment="1">
      <alignment horizontal="right" vertical="top" wrapText="1"/>
    </xf>
    <xf numFmtId="9" fontId="8" fillId="0" borderId="33" xfId="0" applyNumberFormat="1" applyFont="1" applyBorder="1"/>
    <xf numFmtId="0" fontId="8" fillId="5" borderId="35" xfId="0" applyFont="1" applyFill="1" applyBorder="1"/>
    <xf numFmtId="0" fontId="8" fillId="0" borderId="38" xfId="0" applyFont="1" applyBorder="1"/>
    <xf numFmtId="0" fontId="8" fillId="0" borderId="37" xfId="0" applyFont="1" applyBorder="1"/>
    <xf numFmtId="0" fontId="8" fillId="5" borderId="33" xfId="0" applyFont="1" applyFill="1" applyBorder="1"/>
    <xf numFmtId="0" fontId="60" fillId="0" borderId="7" xfId="0" applyFont="1" applyBorder="1" applyAlignment="1">
      <alignment horizontal="right" vertical="top" wrapText="1"/>
    </xf>
    <xf numFmtId="0" fontId="57" fillId="0" borderId="8" xfId="0" applyNumberFormat="1" applyFont="1" applyBorder="1" applyAlignment="1">
      <alignment horizontal="right" vertical="top" wrapText="1"/>
    </xf>
    <xf numFmtId="0" fontId="60" fillId="0" borderId="12" xfId="0" applyNumberFormat="1" applyFont="1" applyBorder="1" applyAlignment="1">
      <alignment vertical="top" wrapText="1"/>
    </xf>
    <xf numFmtId="9" fontId="60" fillId="0" borderId="12" xfId="1" applyFont="1" applyBorder="1" applyAlignment="1">
      <alignment vertical="top" wrapText="1"/>
    </xf>
    <xf numFmtId="0" fontId="60" fillId="0" borderId="2" xfId="0" applyNumberFormat="1" applyFont="1" applyBorder="1" applyAlignment="1">
      <alignment vertical="top" wrapText="1"/>
    </xf>
    <xf numFmtId="0" fontId="57" fillId="5" borderId="8" xfId="0" applyNumberFormat="1" applyFont="1" applyFill="1" applyBorder="1" applyAlignment="1">
      <alignment horizontal="right" vertical="top" wrapText="1"/>
    </xf>
    <xf numFmtId="0" fontId="60" fillId="5" borderId="12" xfId="0" applyNumberFormat="1" applyFont="1" applyFill="1" applyBorder="1" applyAlignment="1">
      <alignment vertical="top" wrapText="1"/>
    </xf>
    <xf numFmtId="9" fontId="60" fillId="5" borderId="12" xfId="1" applyFont="1" applyFill="1" applyBorder="1" applyAlignment="1">
      <alignment vertical="top" wrapText="1"/>
    </xf>
    <xf numFmtId="0" fontId="60" fillId="5" borderId="2" xfId="0" applyNumberFormat="1" applyFont="1" applyFill="1" applyBorder="1" applyAlignment="1">
      <alignment vertical="top" wrapText="1"/>
    </xf>
    <xf numFmtId="9" fontId="60" fillId="0" borderId="82" xfId="1" applyFont="1" applyBorder="1" applyAlignment="1">
      <alignment vertical="top" wrapText="1"/>
    </xf>
    <xf numFmtId="9" fontId="60" fillId="0" borderId="4" xfId="1" applyFont="1" applyBorder="1" applyAlignment="1">
      <alignment vertical="top" wrapText="1"/>
    </xf>
    <xf numFmtId="44" fontId="57" fillId="5" borderId="8" xfId="0" applyNumberFormat="1" applyFont="1" applyFill="1" applyBorder="1" applyAlignment="1">
      <alignment horizontal="right" wrapText="1"/>
    </xf>
    <xf numFmtId="44" fontId="57" fillId="0" borderId="8" xfId="0" applyNumberFormat="1" applyFont="1" applyBorder="1" applyAlignment="1">
      <alignment horizontal="right" wrapText="1"/>
    </xf>
    <xf numFmtId="44" fontId="57" fillId="0" borderId="8" xfId="5" applyFont="1" applyBorder="1" applyAlignment="1">
      <alignment horizontal="right" wrapText="1"/>
    </xf>
    <xf numFmtId="44" fontId="57" fillId="0" borderId="7" xfId="5" applyFont="1" applyBorder="1" applyAlignment="1">
      <alignment horizontal="right" wrapText="1"/>
    </xf>
    <xf numFmtId="44" fontId="57" fillId="0" borderId="7" xfId="0" applyNumberFormat="1" applyFont="1" applyBorder="1" applyAlignment="1">
      <alignment horizontal="right" wrapText="1"/>
    </xf>
    <xf numFmtId="44" fontId="57" fillId="5" borderId="7" xfId="0" applyNumberFormat="1" applyFont="1" applyFill="1" applyBorder="1" applyAlignment="1">
      <alignment horizontal="right" wrapText="1"/>
    </xf>
    <xf numFmtId="0" fontId="57" fillId="0" borderId="7" xfId="0" applyFont="1" applyBorder="1" applyAlignment="1">
      <alignment horizontal="right" wrapText="1"/>
    </xf>
    <xf numFmtId="0" fontId="57" fillId="3" borderId="69" xfId="0" applyFont="1" applyFill="1" applyBorder="1" applyAlignment="1">
      <alignment horizontal="right"/>
    </xf>
    <xf numFmtId="0" fontId="57" fillId="3" borderId="71" xfId="0" applyFont="1" applyFill="1" applyBorder="1" applyAlignment="1">
      <alignment horizontal="right"/>
    </xf>
    <xf numFmtId="0" fontId="62" fillId="0" borderId="77" xfId="0" applyFont="1" applyBorder="1" applyAlignment="1"/>
    <xf numFmtId="0" fontId="33" fillId="0" borderId="77" xfId="0" applyFont="1" applyBorder="1"/>
    <xf numFmtId="0" fontId="33" fillId="0" borderId="78" xfId="0" applyFont="1" applyBorder="1"/>
    <xf numFmtId="0" fontId="55" fillId="14" borderId="7" xfId="0" applyFont="1" applyFill="1" applyBorder="1"/>
    <xf numFmtId="0" fontId="1" fillId="0" borderId="0" xfId="0" applyFont="1" applyFill="1" applyBorder="1"/>
    <xf numFmtId="8" fontId="0" fillId="0" borderId="31" xfId="0" applyNumberFormat="1" applyBorder="1"/>
    <xf numFmtId="0" fontId="1" fillId="0" borderId="31" xfId="0" applyFont="1" applyBorder="1"/>
    <xf numFmtId="168" fontId="0" fillId="0" borderId="31" xfId="0" applyNumberFormat="1" applyBorder="1"/>
    <xf numFmtId="170" fontId="0" fillId="0" borderId="0" xfId="0" applyNumberFormat="1"/>
    <xf numFmtId="0" fontId="1" fillId="0" borderId="0" xfId="0" applyFont="1" applyBorder="1"/>
    <xf numFmtId="0" fontId="1" fillId="0" borderId="68" xfId="0" applyFont="1" applyFill="1" applyBorder="1"/>
    <xf numFmtId="0" fontId="0" fillId="0" borderId="0" xfId="0" applyFont="1" applyFill="1" applyBorder="1" applyAlignment="1">
      <alignment horizontal="center"/>
    </xf>
    <xf numFmtId="0" fontId="1" fillId="0" borderId="0" xfId="0" applyFont="1" applyFill="1" applyBorder="1" applyAlignment="1">
      <alignment horizontal="center"/>
    </xf>
    <xf numFmtId="0" fontId="45" fillId="0" borderId="0" xfId="0" applyFont="1" applyAlignment="1">
      <alignment horizontal="left"/>
    </xf>
    <xf numFmtId="0" fontId="2" fillId="0" borderId="0" xfId="0" applyFont="1" applyBorder="1" applyAlignment="1">
      <alignment horizontal="center"/>
    </xf>
    <xf numFmtId="0" fontId="7" fillId="0" borderId="16" xfId="0" applyFont="1" applyBorder="1" applyAlignment="1">
      <alignment horizontal="center" vertical="top" wrapText="1"/>
    </xf>
    <xf numFmtId="0" fontId="7" fillId="0" borderId="74" xfId="0" applyFont="1" applyBorder="1" applyAlignment="1">
      <alignment horizontal="center" vertical="top" wrapText="1"/>
    </xf>
    <xf numFmtId="0" fontId="7" fillId="0" borderId="12" xfId="0" applyFont="1" applyBorder="1" applyAlignment="1">
      <alignment horizontal="center" vertical="top" wrapText="1"/>
    </xf>
    <xf numFmtId="0" fontId="1" fillId="0" borderId="48" xfId="0" applyFont="1" applyFill="1" applyBorder="1" applyAlignment="1">
      <alignment horizontal="center" vertical="center" wrapText="1"/>
    </xf>
    <xf numFmtId="0" fontId="1" fillId="0" borderId="58" xfId="0" applyFont="1" applyFill="1" applyBorder="1" applyAlignment="1">
      <alignment horizontal="center" vertical="center" wrapText="1"/>
    </xf>
    <xf numFmtId="0" fontId="1" fillId="0" borderId="70" xfId="0" applyFont="1" applyFill="1" applyBorder="1" applyAlignment="1">
      <alignment horizontal="center" vertical="center" wrapText="1"/>
    </xf>
    <xf numFmtId="0" fontId="12" fillId="2" borderId="0" xfId="0" applyFont="1" applyFill="1" applyAlignment="1">
      <alignment horizontal="left"/>
    </xf>
    <xf numFmtId="0" fontId="14" fillId="0" borderId="7" xfId="0" applyFont="1" applyBorder="1" applyAlignment="1">
      <alignment horizontal="center" wrapText="1"/>
    </xf>
    <xf numFmtId="0" fontId="14" fillId="0" borderId="0" xfId="0" applyFont="1" applyAlignment="1">
      <alignment horizontal="center"/>
    </xf>
    <xf numFmtId="0" fontId="14" fillId="0" borderId="15" xfId="0" applyFont="1" applyBorder="1" applyAlignment="1">
      <alignment horizontal="center" vertical="top" wrapText="1"/>
    </xf>
    <xf numFmtId="0" fontId="0" fillId="0" borderId="5" xfId="0" applyBorder="1" applyAlignment="1">
      <alignment horizontal="center"/>
    </xf>
    <xf numFmtId="0" fontId="0" fillId="0" borderId="31" xfId="0" applyBorder="1" applyAlignment="1">
      <alignment horizontal="center"/>
    </xf>
    <xf numFmtId="0" fontId="0" fillId="0" borderId="20" xfId="0" applyBorder="1" applyAlignment="1">
      <alignment horizontal="center"/>
    </xf>
    <xf numFmtId="171" fontId="0" fillId="0" borderId="18" xfId="0" applyNumberFormat="1" applyBorder="1" applyAlignment="1">
      <alignment horizontal="center" textRotation="90"/>
    </xf>
    <xf numFmtId="0" fontId="19" fillId="0" borderId="18" xfId="0" applyFont="1" applyBorder="1" applyAlignment="1">
      <alignment horizontal="center" vertical="top" wrapText="1"/>
    </xf>
    <xf numFmtId="0" fontId="19" fillId="0" borderId="68" xfId="0" applyFont="1" applyBorder="1" applyAlignment="1">
      <alignment horizontal="center" vertical="top" wrapText="1"/>
    </xf>
    <xf numFmtId="0" fontId="1" fillId="0" borderId="5" xfId="0" applyFont="1" applyBorder="1" applyAlignment="1">
      <alignment horizontal="center"/>
    </xf>
    <xf numFmtId="0" fontId="1" fillId="0" borderId="31" xfId="0" applyFont="1" applyBorder="1" applyAlignment="1">
      <alignment horizontal="center"/>
    </xf>
    <xf numFmtId="0" fontId="1" fillId="0" borderId="20" xfId="0" applyFont="1" applyBorder="1" applyAlignment="1">
      <alignment horizontal="center"/>
    </xf>
    <xf numFmtId="0" fontId="0" fillId="0" borderId="60" xfId="0" applyBorder="1" applyAlignment="1">
      <alignment horizontal="center"/>
    </xf>
    <xf numFmtId="0" fontId="0" fillId="0" borderId="42" xfId="0" applyBorder="1" applyAlignment="1">
      <alignment horizontal="center"/>
    </xf>
    <xf numFmtId="0" fontId="0" fillId="0" borderId="83" xfId="0" applyBorder="1" applyAlignment="1">
      <alignment horizontal="left"/>
    </xf>
    <xf numFmtId="0" fontId="0" fillId="0" borderId="84" xfId="0" applyBorder="1" applyAlignment="1">
      <alignment horizontal="left"/>
    </xf>
    <xf numFmtId="0" fontId="0" fillId="0" borderId="5" xfId="0" applyBorder="1" applyAlignment="1">
      <alignment horizontal="left"/>
    </xf>
    <xf numFmtId="0" fontId="0" fillId="0" borderId="20" xfId="0" applyBorder="1" applyAlignment="1">
      <alignment horizontal="left"/>
    </xf>
    <xf numFmtId="0" fontId="25" fillId="0" borderId="5" xfId="0" applyFont="1" applyBorder="1" applyAlignment="1">
      <alignment horizontal="center"/>
    </xf>
    <xf numFmtId="0" fontId="25" fillId="0" borderId="20" xfId="0" applyFont="1" applyBorder="1" applyAlignment="1">
      <alignment horizontal="center"/>
    </xf>
    <xf numFmtId="0" fontId="44" fillId="2" borderId="0" xfId="0" applyFont="1" applyFill="1" applyAlignment="1">
      <alignment horizontal="left"/>
    </xf>
    <xf numFmtId="0" fontId="33" fillId="0" borderId="46" xfId="0" applyFont="1" applyBorder="1" applyAlignment="1">
      <alignment horizontal="left" vertical="center" wrapText="1"/>
    </xf>
    <xf numFmtId="0" fontId="0" fillId="0" borderId="31" xfId="0" applyBorder="1" applyAlignment="1">
      <alignment vertical="center" wrapText="1"/>
    </xf>
    <xf numFmtId="0" fontId="0" fillId="0" borderId="31" xfId="0" applyBorder="1" applyAlignment="1">
      <alignment wrapText="1"/>
    </xf>
    <xf numFmtId="167" fontId="0" fillId="0" borderId="0" xfId="0" applyNumberFormat="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4" xfId="0" applyFont="1" applyBorder="1" applyAlignment="1">
      <alignment horizontal="center"/>
    </xf>
    <xf numFmtId="168" fontId="0" fillId="0" borderId="31" xfId="0" applyNumberFormat="1" applyBorder="1" applyAlignment="1">
      <alignment horizontal="center"/>
    </xf>
    <xf numFmtId="10" fontId="1" fillId="0" borderId="31" xfId="0" applyNumberFormat="1" applyFont="1" applyBorder="1" applyAlignment="1">
      <alignment horizontal="center"/>
    </xf>
    <xf numFmtId="168" fontId="1" fillId="0" borderId="31" xfId="0" applyNumberFormat="1" applyFont="1" applyBorder="1" applyAlignment="1">
      <alignment horizontal="center"/>
    </xf>
    <xf numFmtId="0" fontId="64" fillId="0" borderId="7" xfId="0" applyFont="1" applyBorder="1" applyAlignment="1" applyProtection="1">
      <alignment horizontal="left" vertical="center" wrapText="1"/>
      <protection locked="0"/>
    </xf>
    <xf numFmtId="0" fontId="64" fillId="0" borderId="7" xfId="0" applyFont="1" applyBorder="1" applyAlignment="1">
      <alignment horizontal="left" vertical="center" wrapText="1"/>
    </xf>
  </cellXfs>
  <cellStyles count="6">
    <cellStyle name="Euro" xfId="2"/>
    <cellStyle name="Moeda" xfId="5" builtinId="4"/>
    <cellStyle name="Normal" xfId="0" builtinId="0"/>
    <cellStyle name="Normal 2" xfId="4"/>
    <cellStyle name="Normal 3" xfId="3"/>
    <cellStyle name="Percentagem"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C9E3A1.5164572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wmf"/></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342900</xdr:colOff>
      <xdr:row>3</xdr:row>
      <xdr:rowOff>28575</xdr:rowOff>
    </xdr:to>
    <xdr:pic>
      <xdr:nvPicPr>
        <xdr:cNvPr id="1064" name="Imagem 2" descr="LogoISCTE-IUL"/>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2400" y="161925"/>
          <a:ext cx="18573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200025</xdr:colOff>
      <xdr:row>41</xdr:row>
      <xdr:rowOff>83279</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686425" cy="67222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428625</xdr:colOff>
      <xdr:row>24</xdr:row>
      <xdr:rowOff>57150</xdr:rowOff>
    </xdr:from>
    <xdr:to>
      <xdr:col>17</xdr:col>
      <xdr:colOff>371475</xdr:colOff>
      <xdr:row>39</xdr:row>
      <xdr:rowOff>9525</xdr:rowOff>
    </xdr:to>
    <xdr:pic>
      <xdr:nvPicPr>
        <xdr:cNvPr id="2" name="Imagem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05775" y="4029075"/>
          <a:ext cx="2990850" cy="238125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57150</xdr:colOff>
      <xdr:row>99</xdr:row>
      <xdr:rowOff>95250</xdr:rowOff>
    </xdr:from>
    <xdr:to>
      <xdr:col>2</xdr:col>
      <xdr:colOff>619125</xdr:colOff>
      <xdr:row>104</xdr:row>
      <xdr:rowOff>95250</xdr:rowOff>
    </xdr:to>
    <xdr:sp macro="" textlink="">
      <xdr:nvSpPr>
        <xdr:cNvPr id="2" name="Chamada rectangular arredondada 1"/>
        <xdr:cNvSpPr/>
      </xdr:nvSpPr>
      <xdr:spPr>
        <a:xfrm>
          <a:off x="895350" y="17583150"/>
          <a:ext cx="1819275" cy="809625"/>
        </a:xfrm>
        <a:prstGeom prst="wedgeRoundRectCallout">
          <a:avLst>
            <a:gd name="adj1" fmla="val 39900"/>
            <a:gd name="adj2" fmla="val -24220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PT" sz="1100"/>
            <a:t>Dados </a:t>
          </a:r>
          <a:r>
            <a:rPr lang="pt-PT" sz="1100" baseline="0"/>
            <a:t> mal inseridos. Formula dá #Value.</a:t>
          </a:r>
        </a:p>
        <a:p>
          <a:pPr algn="l"/>
          <a:r>
            <a:rPr lang="pt-PT" sz="1100" baseline="0"/>
            <a:t>Solução reescrever valores</a:t>
          </a:r>
          <a:endParaRPr lang="pt-PT" sz="1100"/>
        </a:p>
      </xdr:txBody>
    </xdr:sp>
    <xdr:clientData/>
  </xdr:twoCellAnchor>
  <xdr:twoCellAnchor>
    <xdr:from>
      <xdr:col>4</xdr:col>
      <xdr:colOff>590550</xdr:colOff>
      <xdr:row>94</xdr:row>
      <xdr:rowOff>95250</xdr:rowOff>
    </xdr:from>
    <xdr:to>
      <xdr:col>5</xdr:col>
      <xdr:colOff>180975</xdr:colOff>
      <xdr:row>105</xdr:row>
      <xdr:rowOff>19050</xdr:rowOff>
    </xdr:to>
    <xdr:sp macro="" textlink="">
      <xdr:nvSpPr>
        <xdr:cNvPr id="3" name="Seta para baixo 2"/>
        <xdr:cNvSpPr/>
      </xdr:nvSpPr>
      <xdr:spPr>
        <a:xfrm>
          <a:off x="4457700" y="16773525"/>
          <a:ext cx="533400" cy="17049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342900</xdr:colOff>
      <xdr:row>15</xdr:row>
      <xdr:rowOff>66675</xdr:rowOff>
    </xdr:from>
    <xdr:to>
      <xdr:col>19</xdr:col>
      <xdr:colOff>0</xdr:colOff>
      <xdr:row>26</xdr:row>
      <xdr:rowOff>152400</xdr:rowOff>
    </xdr:to>
    <xdr:pic>
      <xdr:nvPicPr>
        <xdr:cNvPr id="3" name="Imagem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34475" y="2543175"/>
          <a:ext cx="2095500" cy="188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581025</xdr:colOff>
      <xdr:row>31</xdr:row>
      <xdr:rowOff>83383</xdr:rowOff>
    </xdr:from>
    <xdr:to>
      <xdr:col>14</xdr:col>
      <xdr:colOff>361950</xdr:colOff>
      <xdr:row>38</xdr:row>
      <xdr:rowOff>133349</xdr:rowOff>
    </xdr:to>
    <xdr:pic>
      <xdr:nvPicPr>
        <xdr:cNvPr id="4" name="Imagem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95975" y="5169733"/>
          <a:ext cx="2647950" cy="1183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317715</xdr:colOff>
      <xdr:row>31</xdr:row>
      <xdr:rowOff>85724</xdr:rowOff>
    </xdr:from>
    <xdr:to>
      <xdr:col>19</xdr:col>
      <xdr:colOff>466725</xdr:colOff>
      <xdr:row>38</xdr:row>
      <xdr:rowOff>123824</xdr:rowOff>
    </xdr:to>
    <xdr:pic>
      <xdr:nvPicPr>
        <xdr:cNvPr id="5" name="Imagem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99690" y="5172074"/>
          <a:ext cx="3197010" cy="1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476250</xdr:colOff>
      <xdr:row>50</xdr:row>
      <xdr:rowOff>9525</xdr:rowOff>
    </xdr:from>
    <xdr:to>
      <xdr:col>19</xdr:col>
      <xdr:colOff>266700</xdr:colOff>
      <xdr:row>56</xdr:row>
      <xdr:rowOff>123825</xdr:rowOff>
    </xdr:to>
    <xdr:pic>
      <xdr:nvPicPr>
        <xdr:cNvPr id="6" name="Imagem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658225" y="8401050"/>
          <a:ext cx="28384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304800</xdr:colOff>
      <xdr:row>49</xdr:row>
      <xdr:rowOff>171450</xdr:rowOff>
    </xdr:from>
    <xdr:to>
      <xdr:col>14</xdr:col>
      <xdr:colOff>285750</xdr:colOff>
      <xdr:row>57</xdr:row>
      <xdr:rowOff>133350</xdr:rowOff>
    </xdr:to>
    <xdr:pic>
      <xdr:nvPicPr>
        <xdr:cNvPr id="7" name="Imagem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981575" y="8324850"/>
          <a:ext cx="3486150" cy="148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504824</xdr:colOff>
      <xdr:row>25</xdr:row>
      <xdr:rowOff>66675</xdr:rowOff>
    </xdr:from>
    <xdr:to>
      <xdr:col>7</xdr:col>
      <xdr:colOff>504824</xdr:colOff>
      <xdr:row>27</xdr:row>
      <xdr:rowOff>152400</xdr:rowOff>
    </xdr:to>
    <xdr:sp macro="" textlink="">
      <xdr:nvSpPr>
        <xdr:cNvPr id="2" name="Chamada oval 1"/>
        <xdr:cNvSpPr/>
      </xdr:nvSpPr>
      <xdr:spPr>
        <a:xfrm>
          <a:off x="2971799" y="4181475"/>
          <a:ext cx="1247775" cy="409575"/>
        </a:xfrm>
        <a:prstGeom prst="wedgeEllipseCallout">
          <a:avLst>
            <a:gd name="adj1" fmla="val -107474"/>
            <a:gd name="adj2" fmla="val -261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PT" sz="1100"/>
            <a:t>alterar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257175</xdr:colOff>
      <xdr:row>5</xdr:row>
      <xdr:rowOff>104774</xdr:rowOff>
    </xdr:from>
    <xdr:to>
      <xdr:col>8</xdr:col>
      <xdr:colOff>504825</xdr:colOff>
      <xdr:row>7</xdr:row>
      <xdr:rowOff>133349</xdr:rowOff>
    </xdr:to>
    <xdr:sp macro="" textlink="">
      <xdr:nvSpPr>
        <xdr:cNvPr id="2" name="Chamada rectangular arredondada 1"/>
        <xdr:cNvSpPr/>
      </xdr:nvSpPr>
      <xdr:spPr>
        <a:xfrm>
          <a:off x="4114800" y="962024"/>
          <a:ext cx="1485900" cy="352425"/>
        </a:xfrm>
        <a:prstGeom prst="wedgeRoundRectCallout">
          <a:avLst>
            <a:gd name="adj1" fmla="val -6730"/>
            <a:gd name="adj2" fmla="val 119257"/>
            <a:gd name="adj3" fmla="val 16667"/>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pt-PT" sz="1100"/>
            <a:t>Média ponderada</a:t>
          </a:r>
        </a:p>
      </xdr:txBody>
    </xdr:sp>
    <xdr:clientData/>
  </xdr:twoCellAnchor>
  <xdr:twoCellAnchor>
    <xdr:from>
      <xdr:col>7</xdr:col>
      <xdr:colOff>581024</xdr:colOff>
      <xdr:row>31</xdr:row>
      <xdr:rowOff>0</xdr:rowOff>
    </xdr:from>
    <xdr:to>
      <xdr:col>11</xdr:col>
      <xdr:colOff>209549</xdr:colOff>
      <xdr:row>35</xdr:row>
      <xdr:rowOff>38100</xdr:rowOff>
    </xdr:to>
    <xdr:sp macro="" textlink="">
      <xdr:nvSpPr>
        <xdr:cNvPr id="3" name="Chamada rectangular arredondada 2"/>
        <xdr:cNvSpPr/>
      </xdr:nvSpPr>
      <xdr:spPr>
        <a:xfrm>
          <a:off x="5095874" y="5086350"/>
          <a:ext cx="2257425" cy="704850"/>
        </a:xfrm>
        <a:prstGeom prst="wedgeRoundRectCallout">
          <a:avLst>
            <a:gd name="adj1" fmla="val -115526"/>
            <a:gd name="adj2" fmla="val 126014"/>
            <a:gd name="adj3" fmla="val 16667"/>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pt-PT" sz="1100"/>
            <a:t>Mostra</a:t>
          </a:r>
          <a:r>
            <a:rPr lang="pt-PT" sz="1100" baseline="0"/>
            <a:t> que média é traiçoeira, por isso associar à média a variância </a:t>
          </a:r>
          <a:r>
            <a:rPr lang="pt-PT" sz="1100" b="1" baseline="0"/>
            <a:t>ou</a:t>
          </a:r>
          <a:r>
            <a:rPr lang="pt-PT" sz="1100" baseline="0"/>
            <a:t> o desvio padrão</a:t>
          </a:r>
          <a:endParaRPr lang="pt-PT" sz="1100"/>
        </a:p>
      </xdr:txBody>
    </xdr:sp>
    <xdr:clientData/>
  </xdr:twoCellAnchor>
  <xdr:twoCellAnchor>
    <xdr:from>
      <xdr:col>4</xdr:col>
      <xdr:colOff>619125</xdr:colOff>
      <xdr:row>80</xdr:row>
      <xdr:rowOff>76200</xdr:rowOff>
    </xdr:from>
    <xdr:to>
      <xdr:col>6</xdr:col>
      <xdr:colOff>66675</xdr:colOff>
      <xdr:row>86</xdr:row>
      <xdr:rowOff>66675</xdr:rowOff>
    </xdr:to>
    <xdr:cxnSp macro="">
      <xdr:nvCxnSpPr>
        <xdr:cNvPr id="5" name="Conexão recta unidireccional 4"/>
        <xdr:cNvCxnSpPr/>
      </xdr:nvCxnSpPr>
      <xdr:spPr>
        <a:xfrm flipH="1">
          <a:off x="3267075" y="13268325"/>
          <a:ext cx="657225" cy="962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428625</xdr:colOff>
      <xdr:row>0</xdr:row>
      <xdr:rowOff>161925</xdr:rowOff>
    </xdr:from>
    <xdr:to>
      <xdr:col>12</xdr:col>
      <xdr:colOff>590550</xdr:colOff>
      <xdr:row>7</xdr:row>
      <xdr:rowOff>85725</xdr:rowOff>
    </xdr:to>
    <xdr:pic>
      <xdr:nvPicPr>
        <xdr:cNvPr id="2" name="Picture 6"/>
        <xdr:cNvPicPr>
          <a:picLocks noChangeAspect="1" noChangeArrowheads="1"/>
        </xdr:cNvPicPr>
      </xdr:nvPicPr>
      <xdr:blipFill>
        <a:blip xmlns:r="http://schemas.openxmlformats.org/officeDocument/2006/relationships" r:embed="rId1"/>
        <a:srcRect/>
        <a:stretch>
          <a:fillRect/>
        </a:stretch>
      </xdr:blipFill>
      <xdr:spPr bwMode="auto">
        <a:xfrm>
          <a:off x="7505700" y="161925"/>
          <a:ext cx="2200275" cy="1390650"/>
        </a:xfrm>
        <a:prstGeom prst="rect">
          <a:avLst/>
        </a:prstGeom>
        <a:noFill/>
      </xdr:spPr>
    </xdr:pic>
    <xdr:clientData/>
  </xdr:twoCellAnchor>
  <xdr:twoCellAnchor editAs="oneCell">
    <xdr:from>
      <xdr:col>10</xdr:col>
      <xdr:colOff>285750</xdr:colOff>
      <xdr:row>33</xdr:row>
      <xdr:rowOff>114300</xdr:rowOff>
    </xdr:from>
    <xdr:to>
      <xdr:col>12</xdr:col>
      <xdr:colOff>685800</xdr:colOff>
      <xdr:row>36</xdr:row>
      <xdr:rowOff>133350</xdr:rowOff>
    </xdr:to>
    <xdr:pic>
      <xdr:nvPicPr>
        <xdr:cNvPr id="3" name="Imagem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34325" y="6419850"/>
          <a:ext cx="1962150"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295275</xdr:colOff>
      <xdr:row>36</xdr:row>
      <xdr:rowOff>85725</xdr:rowOff>
    </xdr:from>
    <xdr:to>
      <xdr:col>12</xdr:col>
      <xdr:colOff>628650</xdr:colOff>
      <xdr:row>39</xdr:row>
      <xdr:rowOff>9525</xdr:rowOff>
    </xdr:to>
    <xdr:pic>
      <xdr:nvPicPr>
        <xdr:cNvPr id="4" name="Imagem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943850" y="6962775"/>
          <a:ext cx="1895475"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504825</xdr:colOff>
      <xdr:row>40</xdr:row>
      <xdr:rowOff>95250</xdr:rowOff>
    </xdr:from>
    <xdr:to>
      <xdr:col>9</xdr:col>
      <xdr:colOff>390525</xdr:colOff>
      <xdr:row>45</xdr:row>
      <xdr:rowOff>76200</xdr:rowOff>
    </xdr:to>
    <xdr:pic>
      <xdr:nvPicPr>
        <xdr:cNvPr id="5" name="Imagem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24575" y="7734300"/>
          <a:ext cx="1543050"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85725</xdr:colOff>
      <xdr:row>21</xdr:row>
      <xdr:rowOff>19050</xdr:rowOff>
    </xdr:from>
    <xdr:to>
      <xdr:col>17</xdr:col>
      <xdr:colOff>390035</xdr:colOff>
      <xdr:row>24</xdr:row>
      <xdr:rowOff>76121</xdr:rowOff>
    </xdr:to>
    <xdr:pic>
      <xdr:nvPicPr>
        <xdr:cNvPr id="6" name="Imagem 5"/>
        <xdr:cNvPicPr>
          <a:picLocks noChangeAspect="1"/>
        </xdr:cNvPicPr>
      </xdr:nvPicPr>
      <xdr:blipFill>
        <a:blip xmlns:r="http://schemas.openxmlformats.org/officeDocument/2006/relationships" r:embed="rId5"/>
        <a:stretch>
          <a:fillRect/>
        </a:stretch>
      </xdr:blipFill>
      <xdr:spPr>
        <a:xfrm>
          <a:off x="7734300" y="4038600"/>
          <a:ext cx="3923810" cy="628571"/>
        </a:xfrm>
        <a:prstGeom prst="rect">
          <a:avLst/>
        </a:prstGeom>
      </xdr:spPr>
    </xdr:pic>
    <xdr:clientData/>
  </xdr:twoCellAnchor>
  <xdr:twoCellAnchor>
    <xdr:from>
      <xdr:col>7</xdr:col>
      <xdr:colOff>190500</xdr:colOff>
      <xdr:row>0</xdr:row>
      <xdr:rowOff>0</xdr:rowOff>
    </xdr:from>
    <xdr:to>
      <xdr:col>9</xdr:col>
      <xdr:colOff>276224</xdr:colOff>
      <xdr:row>4</xdr:row>
      <xdr:rowOff>104775</xdr:rowOff>
    </xdr:to>
    <xdr:sp macro="" textlink="">
      <xdr:nvSpPr>
        <xdr:cNvPr id="7" name="Chamada rectangular arredondada 6"/>
        <xdr:cNvSpPr/>
      </xdr:nvSpPr>
      <xdr:spPr>
        <a:xfrm>
          <a:off x="5810250" y="0"/>
          <a:ext cx="1543049" cy="8191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PT" sz="1000"/>
            <a:t>Para observar a diferença entre as funções de arredondamento</a:t>
          </a:r>
        </a:p>
      </xdr:txBody>
    </xdr:sp>
    <xdr:clientData/>
  </xdr:twoCellAnchor>
  <xdr:twoCellAnchor>
    <xdr:from>
      <xdr:col>10</xdr:col>
      <xdr:colOff>657225</xdr:colOff>
      <xdr:row>26</xdr:row>
      <xdr:rowOff>85725</xdr:rowOff>
    </xdr:from>
    <xdr:to>
      <xdr:col>14</xdr:col>
      <xdr:colOff>171450</xdr:colOff>
      <xdr:row>31</xdr:row>
      <xdr:rowOff>95250</xdr:rowOff>
    </xdr:to>
    <xdr:sp macro="" textlink="">
      <xdr:nvSpPr>
        <xdr:cNvPr id="8" name="Chamada rectangular arredondada 7"/>
        <xdr:cNvSpPr/>
      </xdr:nvSpPr>
      <xdr:spPr>
        <a:xfrm>
          <a:off x="8534400" y="4543425"/>
          <a:ext cx="2219325" cy="819150"/>
        </a:xfrm>
        <a:prstGeom prst="wedgeRoundRectCallout">
          <a:avLst>
            <a:gd name="adj1" fmla="val -110339"/>
            <a:gd name="adj2" fmla="val -9215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PT" sz="1000"/>
            <a:t>Com a formatação obtemos efeito</a:t>
          </a:r>
          <a:r>
            <a:rPr lang="pt-PT" sz="1000" baseline="0"/>
            <a:t> semelhante à utilização de função mas é diferente</a:t>
          </a:r>
          <a:endParaRPr lang="pt-PT" sz="1000"/>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7:N95"/>
  <sheetViews>
    <sheetView showGridLines="0" topLeftCell="A13" zoomScaleNormal="100" workbookViewId="0">
      <selection activeCell="J16" sqref="J16"/>
    </sheetView>
  </sheetViews>
  <sheetFormatPr defaultRowHeight="12.75" x14ac:dyDescent="0.2"/>
  <cols>
    <col min="1" max="1" width="2" style="11" customWidth="1"/>
    <col min="2" max="2" width="8.28515625" style="11" bestFit="1" customWidth="1"/>
    <col min="3" max="3" width="12.42578125" style="12" customWidth="1"/>
    <col min="4" max="4" width="65.140625" style="11" customWidth="1"/>
    <col min="5" max="5" width="11.42578125" style="11" customWidth="1"/>
    <col min="6" max="6" width="22.42578125" style="11" customWidth="1"/>
    <col min="7" max="7" width="10" style="11" customWidth="1"/>
    <col min="8" max="8" width="14.28515625" style="11" bestFit="1" customWidth="1"/>
    <col min="9" max="9" width="12.28515625" style="11" bestFit="1" customWidth="1"/>
    <col min="10" max="12" width="49.85546875" style="11" customWidth="1"/>
    <col min="13" max="256" width="9.140625" style="11"/>
    <col min="257" max="257" width="2" style="11" customWidth="1"/>
    <col min="258" max="258" width="8.28515625" style="11" bestFit="1" customWidth="1"/>
    <col min="259" max="259" width="12.42578125" style="11" customWidth="1"/>
    <col min="260" max="260" width="65.140625" style="11" customWidth="1"/>
    <col min="261" max="261" width="11.42578125" style="11" customWidth="1"/>
    <col min="262" max="262" width="22.42578125" style="11" customWidth="1"/>
    <col min="263" max="263" width="10" style="11" customWidth="1"/>
    <col min="264" max="264" width="14.28515625" style="11" bestFit="1" customWidth="1"/>
    <col min="265" max="265" width="12.28515625" style="11" bestFit="1" customWidth="1"/>
    <col min="266" max="268" width="49.85546875" style="11" customWidth="1"/>
    <col min="269" max="512" width="9.140625" style="11"/>
    <col min="513" max="513" width="2" style="11" customWidth="1"/>
    <col min="514" max="514" width="8.28515625" style="11" bestFit="1" customWidth="1"/>
    <col min="515" max="515" width="12.42578125" style="11" customWidth="1"/>
    <col min="516" max="516" width="65.140625" style="11" customWidth="1"/>
    <col min="517" max="517" width="11.42578125" style="11" customWidth="1"/>
    <col min="518" max="518" width="22.42578125" style="11" customWidth="1"/>
    <col min="519" max="519" width="10" style="11" customWidth="1"/>
    <col min="520" max="520" width="14.28515625" style="11" bestFit="1" customWidth="1"/>
    <col min="521" max="521" width="12.28515625" style="11" bestFit="1" customWidth="1"/>
    <col min="522" max="524" width="49.85546875" style="11" customWidth="1"/>
    <col min="525" max="768" width="9.140625" style="11"/>
    <col min="769" max="769" width="2" style="11" customWidth="1"/>
    <col min="770" max="770" width="8.28515625" style="11" bestFit="1" customWidth="1"/>
    <col min="771" max="771" width="12.42578125" style="11" customWidth="1"/>
    <col min="772" max="772" width="65.140625" style="11" customWidth="1"/>
    <col min="773" max="773" width="11.42578125" style="11" customWidth="1"/>
    <col min="774" max="774" width="22.42578125" style="11" customWidth="1"/>
    <col min="775" max="775" width="10" style="11" customWidth="1"/>
    <col min="776" max="776" width="14.28515625" style="11" bestFit="1" customWidth="1"/>
    <col min="777" max="777" width="12.28515625" style="11" bestFit="1" customWidth="1"/>
    <col min="778" max="780" width="49.85546875" style="11" customWidth="1"/>
    <col min="781" max="1024" width="9.140625" style="11"/>
    <col min="1025" max="1025" width="2" style="11" customWidth="1"/>
    <col min="1026" max="1026" width="8.28515625" style="11" bestFit="1" customWidth="1"/>
    <col min="1027" max="1027" width="12.42578125" style="11" customWidth="1"/>
    <col min="1028" max="1028" width="65.140625" style="11" customWidth="1"/>
    <col min="1029" max="1029" width="11.42578125" style="11" customWidth="1"/>
    <col min="1030" max="1030" width="22.42578125" style="11" customWidth="1"/>
    <col min="1031" max="1031" width="10" style="11" customWidth="1"/>
    <col min="1032" max="1032" width="14.28515625" style="11" bestFit="1" customWidth="1"/>
    <col min="1033" max="1033" width="12.28515625" style="11" bestFit="1" customWidth="1"/>
    <col min="1034" max="1036" width="49.85546875" style="11" customWidth="1"/>
    <col min="1037" max="1280" width="9.140625" style="11"/>
    <col min="1281" max="1281" width="2" style="11" customWidth="1"/>
    <col min="1282" max="1282" width="8.28515625" style="11" bestFit="1" customWidth="1"/>
    <col min="1283" max="1283" width="12.42578125" style="11" customWidth="1"/>
    <col min="1284" max="1284" width="65.140625" style="11" customWidth="1"/>
    <col min="1285" max="1285" width="11.42578125" style="11" customWidth="1"/>
    <col min="1286" max="1286" width="22.42578125" style="11" customWidth="1"/>
    <col min="1287" max="1287" width="10" style="11" customWidth="1"/>
    <col min="1288" max="1288" width="14.28515625" style="11" bestFit="1" customWidth="1"/>
    <col min="1289" max="1289" width="12.28515625" style="11" bestFit="1" customWidth="1"/>
    <col min="1290" max="1292" width="49.85546875" style="11" customWidth="1"/>
    <col min="1293" max="1536" width="9.140625" style="11"/>
    <col min="1537" max="1537" width="2" style="11" customWidth="1"/>
    <col min="1538" max="1538" width="8.28515625" style="11" bestFit="1" customWidth="1"/>
    <col min="1539" max="1539" width="12.42578125" style="11" customWidth="1"/>
    <col min="1540" max="1540" width="65.140625" style="11" customWidth="1"/>
    <col min="1541" max="1541" width="11.42578125" style="11" customWidth="1"/>
    <col min="1542" max="1542" width="22.42578125" style="11" customWidth="1"/>
    <col min="1543" max="1543" width="10" style="11" customWidth="1"/>
    <col min="1544" max="1544" width="14.28515625" style="11" bestFit="1" customWidth="1"/>
    <col min="1545" max="1545" width="12.28515625" style="11" bestFit="1" customWidth="1"/>
    <col min="1546" max="1548" width="49.85546875" style="11" customWidth="1"/>
    <col min="1549" max="1792" width="9.140625" style="11"/>
    <col min="1793" max="1793" width="2" style="11" customWidth="1"/>
    <col min="1794" max="1794" width="8.28515625" style="11" bestFit="1" customWidth="1"/>
    <col min="1795" max="1795" width="12.42578125" style="11" customWidth="1"/>
    <col min="1796" max="1796" width="65.140625" style="11" customWidth="1"/>
    <col min="1797" max="1797" width="11.42578125" style="11" customWidth="1"/>
    <col min="1798" max="1798" width="22.42578125" style="11" customWidth="1"/>
    <col min="1799" max="1799" width="10" style="11" customWidth="1"/>
    <col min="1800" max="1800" width="14.28515625" style="11" bestFit="1" customWidth="1"/>
    <col min="1801" max="1801" width="12.28515625" style="11" bestFit="1" customWidth="1"/>
    <col min="1802" max="1804" width="49.85546875" style="11" customWidth="1"/>
    <col min="1805" max="2048" width="9.140625" style="11"/>
    <col min="2049" max="2049" width="2" style="11" customWidth="1"/>
    <col min="2050" max="2050" width="8.28515625" style="11" bestFit="1" customWidth="1"/>
    <col min="2051" max="2051" width="12.42578125" style="11" customWidth="1"/>
    <col min="2052" max="2052" width="65.140625" style="11" customWidth="1"/>
    <col min="2053" max="2053" width="11.42578125" style="11" customWidth="1"/>
    <col min="2054" max="2054" width="22.42578125" style="11" customWidth="1"/>
    <col min="2055" max="2055" width="10" style="11" customWidth="1"/>
    <col min="2056" max="2056" width="14.28515625" style="11" bestFit="1" customWidth="1"/>
    <col min="2057" max="2057" width="12.28515625" style="11" bestFit="1" customWidth="1"/>
    <col min="2058" max="2060" width="49.85546875" style="11" customWidth="1"/>
    <col min="2061" max="2304" width="9.140625" style="11"/>
    <col min="2305" max="2305" width="2" style="11" customWidth="1"/>
    <col min="2306" max="2306" width="8.28515625" style="11" bestFit="1" customWidth="1"/>
    <col min="2307" max="2307" width="12.42578125" style="11" customWidth="1"/>
    <col min="2308" max="2308" width="65.140625" style="11" customWidth="1"/>
    <col min="2309" max="2309" width="11.42578125" style="11" customWidth="1"/>
    <col min="2310" max="2310" width="22.42578125" style="11" customWidth="1"/>
    <col min="2311" max="2311" width="10" style="11" customWidth="1"/>
    <col min="2312" max="2312" width="14.28515625" style="11" bestFit="1" customWidth="1"/>
    <col min="2313" max="2313" width="12.28515625" style="11" bestFit="1" customWidth="1"/>
    <col min="2314" max="2316" width="49.85546875" style="11" customWidth="1"/>
    <col min="2317" max="2560" width="9.140625" style="11"/>
    <col min="2561" max="2561" width="2" style="11" customWidth="1"/>
    <col min="2562" max="2562" width="8.28515625" style="11" bestFit="1" customWidth="1"/>
    <col min="2563" max="2563" width="12.42578125" style="11" customWidth="1"/>
    <col min="2564" max="2564" width="65.140625" style="11" customWidth="1"/>
    <col min="2565" max="2565" width="11.42578125" style="11" customWidth="1"/>
    <col min="2566" max="2566" width="22.42578125" style="11" customWidth="1"/>
    <col min="2567" max="2567" width="10" style="11" customWidth="1"/>
    <col min="2568" max="2568" width="14.28515625" style="11" bestFit="1" customWidth="1"/>
    <col min="2569" max="2569" width="12.28515625" style="11" bestFit="1" customWidth="1"/>
    <col min="2570" max="2572" width="49.85546875" style="11" customWidth="1"/>
    <col min="2573" max="2816" width="9.140625" style="11"/>
    <col min="2817" max="2817" width="2" style="11" customWidth="1"/>
    <col min="2818" max="2818" width="8.28515625" style="11" bestFit="1" customWidth="1"/>
    <col min="2819" max="2819" width="12.42578125" style="11" customWidth="1"/>
    <col min="2820" max="2820" width="65.140625" style="11" customWidth="1"/>
    <col min="2821" max="2821" width="11.42578125" style="11" customWidth="1"/>
    <col min="2822" max="2822" width="22.42578125" style="11" customWidth="1"/>
    <col min="2823" max="2823" width="10" style="11" customWidth="1"/>
    <col min="2824" max="2824" width="14.28515625" style="11" bestFit="1" customWidth="1"/>
    <col min="2825" max="2825" width="12.28515625" style="11" bestFit="1" customWidth="1"/>
    <col min="2826" max="2828" width="49.85546875" style="11" customWidth="1"/>
    <col min="2829" max="3072" width="9.140625" style="11"/>
    <col min="3073" max="3073" width="2" style="11" customWidth="1"/>
    <col min="3074" max="3074" width="8.28515625" style="11" bestFit="1" customWidth="1"/>
    <col min="3075" max="3075" width="12.42578125" style="11" customWidth="1"/>
    <col min="3076" max="3076" width="65.140625" style="11" customWidth="1"/>
    <col min="3077" max="3077" width="11.42578125" style="11" customWidth="1"/>
    <col min="3078" max="3078" width="22.42578125" style="11" customWidth="1"/>
    <col min="3079" max="3079" width="10" style="11" customWidth="1"/>
    <col min="3080" max="3080" width="14.28515625" style="11" bestFit="1" customWidth="1"/>
    <col min="3081" max="3081" width="12.28515625" style="11" bestFit="1" customWidth="1"/>
    <col min="3082" max="3084" width="49.85546875" style="11" customWidth="1"/>
    <col min="3085" max="3328" width="9.140625" style="11"/>
    <col min="3329" max="3329" width="2" style="11" customWidth="1"/>
    <col min="3330" max="3330" width="8.28515625" style="11" bestFit="1" customWidth="1"/>
    <col min="3331" max="3331" width="12.42578125" style="11" customWidth="1"/>
    <col min="3332" max="3332" width="65.140625" style="11" customWidth="1"/>
    <col min="3333" max="3333" width="11.42578125" style="11" customWidth="1"/>
    <col min="3334" max="3334" width="22.42578125" style="11" customWidth="1"/>
    <col min="3335" max="3335" width="10" style="11" customWidth="1"/>
    <col min="3336" max="3336" width="14.28515625" style="11" bestFit="1" customWidth="1"/>
    <col min="3337" max="3337" width="12.28515625" style="11" bestFit="1" customWidth="1"/>
    <col min="3338" max="3340" width="49.85546875" style="11" customWidth="1"/>
    <col min="3341" max="3584" width="9.140625" style="11"/>
    <col min="3585" max="3585" width="2" style="11" customWidth="1"/>
    <col min="3586" max="3586" width="8.28515625" style="11" bestFit="1" customWidth="1"/>
    <col min="3587" max="3587" width="12.42578125" style="11" customWidth="1"/>
    <col min="3588" max="3588" width="65.140625" style="11" customWidth="1"/>
    <col min="3589" max="3589" width="11.42578125" style="11" customWidth="1"/>
    <col min="3590" max="3590" width="22.42578125" style="11" customWidth="1"/>
    <col min="3591" max="3591" width="10" style="11" customWidth="1"/>
    <col min="3592" max="3592" width="14.28515625" style="11" bestFit="1" customWidth="1"/>
    <col min="3593" max="3593" width="12.28515625" style="11" bestFit="1" customWidth="1"/>
    <col min="3594" max="3596" width="49.85546875" style="11" customWidth="1"/>
    <col min="3597" max="3840" width="9.140625" style="11"/>
    <col min="3841" max="3841" width="2" style="11" customWidth="1"/>
    <col min="3842" max="3842" width="8.28515625" style="11" bestFit="1" customWidth="1"/>
    <col min="3843" max="3843" width="12.42578125" style="11" customWidth="1"/>
    <col min="3844" max="3844" width="65.140625" style="11" customWidth="1"/>
    <col min="3845" max="3845" width="11.42578125" style="11" customWidth="1"/>
    <col min="3846" max="3846" width="22.42578125" style="11" customWidth="1"/>
    <col min="3847" max="3847" width="10" style="11" customWidth="1"/>
    <col min="3848" max="3848" width="14.28515625" style="11" bestFit="1" customWidth="1"/>
    <col min="3849" max="3849" width="12.28515625" style="11" bestFit="1" customWidth="1"/>
    <col min="3850" max="3852" width="49.85546875" style="11" customWidth="1"/>
    <col min="3853" max="4096" width="9.140625" style="11"/>
    <col min="4097" max="4097" width="2" style="11" customWidth="1"/>
    <col min="4098" max="4098" width="8.28515625" style="11" bestFit="1" customWidth="1"/>
    <col min="4099" max="4099" width="12.42578125" style="11" customWidth="1"/>
    <col min="4100" max="4100" width="65.140625" style="11" customWidth="1"/>
    <col min="4101" max="4101" width="11.42578125" style="11" customWidth="1"/>
    <col min="4102" max="4102" width="22.42578125" style="11" customWidth="1"/>
    <col min="4103" max="4103" width="10" style="11" customWidth="1"/>
    <col min="4104" max="4104" width="14.28515625" style="11" bestFit="1" customWidth="1"/>
    <col min="4105" max="4105" width="12.28515625" style="11" bestFit="1" customWidth="1"/>
    <col min="4106" max="4108" width="49.85546875" style="11" customWidth="1"/>
    <col min="4109" max="4352" width="9.140625" style="11"/>
    <col min="4353" max="4353" width="2" style="11" customWidth="1"/>
    <col min="4354" max="4354" width="8.28515625" style="11" bestFit="1" customWidth="1"/>
    <col min="4355" max="4355" width="12.42578125" style="11" customWidth="1"/>
    <col min="4356" max="4356" width="65.140625" style="11" customWidth="1"/>
    <col min="4357" max="4357" width="11.42578125" style="11" customWidth="1"/>
    <col min="4358" max="4358" width="22.42578125" style="11" customWidth="1"/>
    <col min="4359" max="4359" width="10" style="11" customWidth="1"/>
    <col min="4360" max="4360" width="14.28515625" style="11" bestFit="1" customWidth="1"/>
    <col min="4361" max="4361" width="12.28515625" style="11" bestFit="1" customWidth="1"/>
    <col min="4362" max="4364" width="49.85546875" style="11" customWidth="1"/>
    <col min="4365" max="4608" width="9.140625" style="11"/>
    <col min="4609" max="4609" width="2" style="11" customWidth="1"/>
    <col min="4610" max="4610" width="8.28515625" style="11" bestFit="1" customWidth="1"/>
    <col min="4611" max="4611" width="12.42578125" style="11" customWidth="1"/>
    <col min="4612" max="4612" width="65.140625" style="11" customWidth="1"/>
    <col min="4613" max="4613" width="11.42578125" style="11" customWidth="1"/>
    <col min="4614" max="4614" width="22.42578125" style="11" customWidth="1"/>
    <col min="4615" max="4615" width="10" style="11" customWidth="1"/>
    <col min="4616" max="4616" width="14.28515625" style="11" bestFit="1" customWidth="1"/>
    <col min="4617" max="4617" width="12.28515625" style="11" bestFit="1" customWidth="1"/>
    <col min="4618" max="4620" width="49.85546875" style="11" customWidth="1"/>
    <col min="4621" max="4864" width="9.140625" style="11"/>
    <col min="4865" max="4865" width="2" style="11" customWidth="1"/>
    <col min="4866" max="4866" width="8.28515625" style="11" bestFit="1" customWidth="1"/>
    <col min="4867" max="4867" width="12.42578125" style="11" customWidth="1"/>
    <col min="4868" max="4868" width="65.140625" style="11" customWidth="1"/>
    <col min="4869" max="4869" width="11.42578125" style="11" customWidth="1"/>
    <col min="4870" max="4870" width="22.42578125" style="11" customWidth="1"/>
    <col min="4871" max="4871" width="10" style="11" customWidth="1"/>
    <col min="4872" max="4872" width="14.28515625" style="11" bestFit="1" customWidth="1"/>
    <col min="4873" max="4873" width="12.28515625" style="11" bestFit="1" customWidth="1"/>
    <col min="4874" max="4876" width="49.85546875" style="11" customWidth="1"/>
    <col min="4877" max="5120" width="9.140625" style="11"/>
    <col min="5121" max="5121" width="2" style="11" customWidth="1"/>
    <col min="5122" max="5122" width="8.28515625" style="11" bestFit="1" customWidth="1"/>
    <col min="5123" max="5123" width="12.42578125" style="11" customWidth="1"/>
    <col min="5124" max="5124" width="65.140625" style="11" customWidth="1"/>
    <col min="5125" max="5125" width="11.42578125" style="11" customWidth="1"/>
    <col min="5126" max="5126" width="22.42578125" style="11" customWidth="1"/>
    <col min="5127" max="5127" width="10" style="11" customWidth="1"/>
    <col min="5128" max="5128" width="14.28515625" style="11" bestFit="1" customWidth="1"/>
    <col min="5129" max="5129" width="12.28515625" style="11" bestFit="1" customWidth="1"/>
    <col min="5130" max="5132" width="49.85546875" style="11" customWidth="1"/>
    <col min="5133" max="5376" width="9.140625" style="11"/>
    <col min="5377" max="5377" width="2" style="11" customWidth="1"/>
    <col min="5378" max="5378" width="8.28515625" style="11" bestFit="1" customWidth="1"/>
    <col min="5379" max="5379" width="12.42578125" style="11" customWidth="1"/>
    <col min="5380" max="5380" width="65.140625" style="11" customWidth="1"/>
    <col min="5381" max="5381" width="11.42578125" style="11" customWidth="1"/>
    <col min="5382" max="5382" width="22.42578125" style="11" customWidth="1"/>
    <col min="5383" max="5383" width="10" style="11" customWidth="1"/>
    <col min="5384" max="5384" width="14.28515625" style="11" bestFit="1" customWidth="1"/>
    <col min="5385" max="5385" width="12.28515625" style="11" bestFit="1" customWidth="1"/>
    <col min="5386" max="5388" width="49.85546875" style="11" customWidth="1"/>
    <col min="5389" max="5632" width="9.140625" style="11"/>
    <col min="5633" max="5633" width="2" style="11" customWidth="1"/>
    <col min="5634" max="5634" width="8.28515625" style="11" bestFit="1" customWidth="1"/>
    <col min="5635" max="5635" width="12.42578125" style="11" customWidth="1"/>
    <col min="5636" max="5636" width="65.140625" style="11" customWidth="1"/>
    <col min="5637" max="5637" width="11.42578125" style="11" customWidth="1"/>
    <col min="5638" max="5638" width="22.42578125" style="11" customWidth="1"/>
    <col min="5639" max="5639" width="10" style="11" customWidth="1"/>
    <col min="5640" max="5640" width="14.28515625" style="11" bestFit="1" customWidth="1"/>
    <col min="5641" max="5641" width="12.28515625" style="11" bestFit="1" customWidth="1"/>
    <col min="5642" max="5644" width="49.85546875" style="11" customWidth="1"/>
    <col min="5645" max="5888" width="9.140625" style="11"/>
    <col min="5889" max="5889" width="2" style="11" customWidth="1"/>
    <col min="5890" max="5890" width="8.28515625" style="11" bestFit="1" customWidth="1"/>
    <col min="5891" max="5891" width="12.42578125" style="11" customWidth="1"/>
    <col min="5892" max="5892" width="65.140625" style="11" customWidth="1"/>
    <col min="5893" max="5893" width="11.42578125" style="11" customWidth="1"/>
    <col min="5894" max="5894" width="22.42578125" style="11" customWidth="1"/>
    <col min="5895" max="5895" width="10" style="11" customWidth="1"/>
    <col min="5896" max="5896" width="14.28515625" style="11" bestFit="1" customWidth="1"/>
    <col min="5897" max="5897" width="12.28515625" style="11" bestFit="1" customWidth="1"/>
    <col min="5898" max="5900" width="49.85546875" style="11" customWidth="1"/>
    <col min="5901" max="6144" width="9.140625" style="11"/>
    <col min="6145" max="6145" width="2" style="11" customWidth="1"/>
    <col min="6146" max="6146" width="8.28515625" style="11" bestFit="1" customWidth="1"/>
    <col min="6147" max="6147" width="12.42578125" style="11" customWidth="1"/>
    <col min="6148" max="6148" width="65.140625" style="11" customWidth="1"/>
    <col min="6149" max="6149" width="11.42578125" style="11" customWidth="1"/>
    <col min="6150" max="6150" width="22.42578125" style="11" customWidth="1"/>
    <col min="6151" max="6151" width="10" style="11" customWidth="1"/>
    <col min="6152" max="6152" width="14.28515625" style="11" bestFit="1" customWidth="1"/>
    <col min="6153" max="6153" width="12.28515625" style="11" bestFit="1" customWidth="1"/>
    <col min="6154" max="6156" width="49.85546875" style="11" customWidth="1"/>
    <col min="6157" max="6400" width="9.140625" style="11"/>
    <col min="6401" max="6401" width="2" style="11" customWidth="1"/>
    <col min="6402" max="6402" width="8.28515625" style="11" bestFit="1" customWidth="1"/>
    <col min="6403" max="6403" width="12.42578125" style="11" customWidth="1"/>
    <col min="6404" max="6404" width="65.140625" style="11" customWidth="1"/>
    <col min="6405" max="6405" width="11.42578125" style="11" customWidth="1"/>
    <col min="6406" max="6406" width="22.42578125" style="11" customWidth="1"/>
    <col min="6407" max="6407" width="10" style="11" customWidth="1"/>
    <col min="6408" max="6408" width="14.28515625" style="11" bestFit="1" customWidth="1"/>
    <col min="6409" max="6409" width="12.28515625" style="11" bestFit="1" customWidth="1"/>
    <col min="6410" max="6412" width="49.85546875" style="11" customWidth="1"/>
    <col min="6413" max="6656" width="9.140625" style="11"/>
    <col min="6657" max="6657" width="2" style="11" customWidth="1"/>
    <col min="6658" max="6658" width="8.28515625" style="11" bestFit="1" customWidth="1"/>
    <col min="6659" max="6659" width="12.42578125" style="11" customWidth="1"/>
    <col min="6660" max="6660" width="65.140625" style="11" customWidth="1"/>
    <col min="6661" max="6661" width="11.42578125" style="11" customWidth="1"/>
    <col min="6662" max="6662" width="22.42578125" style="11" customWidth="1"/>
    <col min="6663" max="6663" width="10" style="11" customWidth="1"/>
    <col min="6664" max="6664" width="14.28515625" style="11" bestFit="1" customWidth="1"/>
    <col min="6665" max="6665" width="12.28515625" style="11" bestFit="1" customWidth="1"/>
    <col min="6666" max="6668" width="49.85546875" style="11" customWidth="1"/>
    <col min="6669" max="6912" width="9.140625" style="11"/>
    <col min="6913" max="6913" width="2" style="11" customWidth="1"/>
    <col min="6914" max="6914" width="8.28515625" style="11" bestFit="1" customWidth="1"/>
    <col min="6915" max="6915" width="12.42578125" style="11" customWidth="1"/>
    <col min="6916" max="6916" width="65.140625" style="11" customWidth="1"/>
    <col min="6917" max="6917" width="11.42578125" style="11" customWidth="1"/>
    <col min="6918" max="6918" width="22.42578125" style="11" customWidth="1"/>
    <col min="6919" max="6919" width="10" style="11" customWidth="1"/>
    <col min="6920" max="6920" width="14.28515625" style="11" bestFit="1" customWidth="1"/>
    <col min="6921" max="6921" width="12.28515625" style="11" bestFit="1" customWidth="1"/>
    <col min="6922" max="6924" width="49.85546875" style="11" customWidth="1"/>
    <col min="6925" max="7168" width="9.140625" style="11"/>
    <col min="7169" max="7169" width="2" style="11" customWidth="1"/>
    <col min="7170" max="7170" width="8.28515625" style="11" bestFit="1" customWidth="1"/>
    <col min="7171" max="7171" width="12.42578125" style="11" customWidth="1"/>
    <col min="7172" max="7172" width="65.140625" style="11" customWidth="1"/>
    <col min="7173" max="7173" width="11.42578125" style="11" customWidth="1"/>
    <col min="7174" max="7174" width="22.42578125" style="11" customWidth="1"/>
    <col min="7175" max="7175" width="10" style="11" customWidth="1"/>
    <col min="7176" max="7176" width="14.28515625" style="11" bestFit="1" customWidth="1"/>
    <col min="7177" max="7177" width="12.28515625" style="11" bestFit="1" customWidth="1"/>
    <col min="7178" max="7180" width="49.85546875" style="11" customWidth="1"/>
    <col min="7181" max="7424" width="9.140625" style="11"/>
    <col min="7425" max="7425" width="2" style="11" customWidth="1"/>
    <col min="7426" max="7426" width="8.28515625" style="11" bestFit="1" customWidth="1"/>
    <col min="7427" max="7427" width="12.42578125" style="11" customWidth="1"/>
    <col min="7428" max="7428" width="65.140625" style="11" customWidth="1"/>
    <col min="7429" max="7429" width="11.42578125" style="11" customWidth="1"/>
    <col min="7430" max="7430" width="22.42578125" style="11" customWidth="1"/>
    <col min="7431" max="7431" width="10" style="11" customWidth="1"/>
    <col min="7432" max="7432" width="14.28515625" style="11" bestFit="1" customWidth="1"/>
    <col min="7433" max="7433" width="12.28515625" style="11" bestFit="1" customWidth="1"/>
    <col min="7434" max="7436" width="49.85546875" style="11" customWidth="1"/>
    <col min="7437" max="7680" width="9.140625" style="11"/>
    <col min="7681" max="7681" width="2" style="11" customWidth="1"/>
    <col min="7682" max="7682" width="8.28515625" style="11" bestFit="1" customWidth="1"/>
    <col min="7683" max="7683" width="12.42578125" style="11" customWidth="1"/>
    <col min="7684" max="7684" width="65.140625" style="11" customWidth="1"/>
    <col min="7685" max="7685" width="11.42578125" style="11" customWidth="1"/>
    <col min="7686" max="7686" width="22.42578125" style="11" customWidth="1"/>
    <col min="7687" max="7687" width="10" style="11" customWidth="1"/>
    <col min="7688" max="7688" width="14.28515625" style="11" bestFit="1" customWidth="1"/>
    <col min="7689" max="7689" width="12.28515625" style="11" bestFit="1" customWidth="1"/>
    <col min="7690" max="7692" width="49.85546875" style="11" customWidth="1"/>
    <col min="7693" max="7936" width="9.140625" style="11"/>
    <col min="7937" max="7937" width="2" style="11" customWidth="1"/>
    <col min="7938" max="7938" width="8.28515625" style="11" bestFit="1" customWidth="1"/>
    <col min="7939" max="7939" width="12.42578125" style="11" customWidth="1"/>
    <col min="7940" max="7940" width="65.140625" style="11" customWidth="1"/>
    <col min="7941" max="7941" width="11.42578125" style="11" customWidth="1"/>
    <col min="7942" max="7942" width="22.42578125" style="11" customWidth="1"/>
    <col min="7943" max="7943" width="10" style="11" customWidth="1"/>
    <col min="7944" max="7944" width="14.28515625" style="11" bestFit="1" customWidth="1"/>
    <col min="7945" max="7945" width="12.28515625" style="11" bestFit="1" customWidth="1"/>
    <col min="7946" max="7948" width="49.85546875" style="11" customWidth="1"/>
    <col min="7949" max="8192" width="9.140625" style="11"/>
    <col min="8193" max="8193" width="2" style="11" customWidth="1"/>
    <col min="8194" max="8194" width="8.28515625" style="11" bestFit="1" customWidth="1"/>
    <col min="8195" max="8195" width="12.42578125" style="11" customWidth="1"/>
    <col min="8196" max="8196" width="65.140625" style="11" customWidth="1"/>
    <col min="8197" max="8197" width="11.42578125" style="11" customWidth="1"/>
    <col min="8198" max="8198" width="22.42578125" style="11" customWidth="1"/>
    <col min="8199" max="8199" width="10" style="11" customWidth="1"/>
    <col min="8200" max="8200" width="14.28515625" style="11" bestFit="1" customWidth="1"/>
    <col min="8201" max="8201" width="12.28515625" style="11" bestFit="1" customWidth="1"/>
    <col min="8202" max="8204" width="49.85546875" style="11" customWidth="1"/>
    <col min="8205" max="8448" width="9.140625" style="11"/>
    <col min="8449" max="8449" width="2" style="11" customWidth="1"/>
    <col min="8450" max="8450" width="8.28515625" style="11" bestFit="1" customWidth="1"/>
    <col min="8451" max="8451" width="12.42578125" style="11" customWidth="1"/>
    <col min="8452" max="8452" width="65.140625" style="11" customWidth="1"/>
    <col min="8453" max="8453" width="11.42578125" style="11" customWidth="1"/>
    <col min="8454" max="8454" width="22.42578125" style="11" customWidth="1"/>
    <col min="8455" max="8455" width="10" style="11" customWidth="1"/>
    <col min="8456" max="8456" width="14.28515625" style="11" bestFit="1" customWidth="1"/>
    <col min="8457" max="8457" width="12.28515625" style="11" bestFit="1" customWidth="1"/>
    <col min="8458" max="8460" width="49.85546875" style="11" customWidth="1"/>
    <col min="8461" max="8704" width="9.140625" style="11"/>
    <col min="8705" max="8705" width="2" style="11" customWidth="1"/>
    <col min="8706" max="8706" width="8.28515625" style="11" bestFit="1" customWidth="1"/>
    <col min="8707" max="8707" width="12.42578125" style="11" customWidth="1"/>
    <col min="8708" max="8708" width="65.140625" style="11" customWidth="1"/>
    <col min="8709" max="8709" width="11.42578125" style="11" customWidth="1"/>
    <col min="8710" max="8710" width="22.42578125" style="11" customWidth="1"/>
    <col min="8711" max="8711" width="10" style="11" customWidth="1"/>
    <col min="8712" max="8712" width="14.28515625" style="11" bestFit="1" customWidth="1"/>
    <col min="8713" max="8713" width="12.28515625" style="11" bestFit="1" customWidth="1"/>
    <col min="8714" max="8716" width="49.85546875" style="11" customWidth="1"/>
    <col min="8717" max="8960" width="9.140625" style="11"/>
    <col min="8961" max="8961" width="2" style="11" customWidth="1"/>
    <col min="8962" max="8962" width="8.28515625" style="11" bestFit="1" customWidth="1"/>
    <col min="8963" max="8963" width="12.42578125" style="11" customWidth="1"/>
    <col min="8964" max="8964" width="65.140625" style="11" customWidth="1"/>
    <col min="8965" max="8965" width="11.42578125" style="11" customWidth="1"/>
    <col min="8966" max="8966" width="22.42578125" style="11" customWidth="1"/>
    <col min="8967" max="8967" width="10" style="11" customWidth="1"/>
    <col min="8968" max="8968" width="14.28515625" style="11" bestFit="1" customWidth="1"/>
    <col min="8969" max="8969" width="12.28515625" style="11" bestFit="1" customWidth="1"/>
    <col min="8970" max="8972" width="49.85546875" style="11" customWidth="1"/>
    <col min="8973" max="9216" width="9.140625" style="11"/>
    <col min="9217" max="9217" width="2" style="11" customWidth="1"/>
    <col min="9218" max="9218" width="8.28515625" style="11" bestFit="1" customWidth="1"/>
    <col min="9219" max="9219" width="12.42578125" style="11" customWidth="1"/>
    <col min="9220" max="9220" width="65.140625" style="11" customWidth="1"/>
    <col min="9221" max="9221" width="11.42578125" style="11" customWidth="1"/>
    <col min="9222" max="9222" width="22.42578125" style="11" customWidth="1"/>
    <col min="9223" max="9223" width="10" style="11" customWidth="1"/>
    <col min="9224" max="9224" width="14.28515625" style="11" bestFit="1" customWidth="1"/>
    <col min="9225" max="9225" width="12.28515625" style="11" bestFit="1" customWidth="1"/>
    <col min="9226" max="9228" width="49.85546875" style="11" customWidth="1"/>
    <col min="9229" max="9472" width="9.140625" style="11"/>
    <col min="9473" max="9473" width="2" style="11" customWidth="1"/>
    <col min="9474" max="9474" width="8.28515625" style="11" bestFit="1" customWidth="1"/>
    <col min="9475" max="9475" width="12.42578125" style="11" customWidth="1"/>
    <col min="9476" max="9476" width="65.140625" style="11" customWidth="1"/>
    <col min="9477" max="9477" width="11.42578125" style="11" customWidth="1"/>
    <col min="9478" max="9478" width="22.42578125" style="11" customWidth="1"/>
    <col min="9479" max="9479" width="10" style="11" customWidth="1"/>
    <col min="9480" max="9480" width="14.28515625" style="11" bestFit="1" customWidth="1"/>
    <col min="9481" max="9481" width="12.28515625" style="11" bestFit="1" customWidth="1"/>
    <col min="9482" max="9484" width="49.85546875" style="11" customWidth="1"/>
    <col min="9485" max="9728" width="9.140625" style="11"/>
    <col min="9729" max="9729" width="2" style="11" customWidth="1"/>
    <col min="9730" max="9730" width="8.28515625" style="11" bestFit="1" customWidth="1"/>
    <col min="9731" max="9731" width="12.42578125" style="11" customWidth="1"/>
    <col min="9732" max="9732" width="65.140625" style="11" customWidth="1"/>
    <col min="9733" max="9733" width="11.42578125" style="11" customWidth="1"/>
    <col min="9734" max="9734" width="22.42578125" style="11" customWidth="1"/>
    <col min="9735" max="9735" width="10" style="11" customWidth="1"/>
    <col min="9736" max="9736" width="14.28515625" style="11" bestFit="1" customWidth="1"/>
    <col min="9737" max="9737" width="12.28515625" style="11" bestFit="1" customWidth="1"/>
    <col min="9738" max="9740" width="49.85546875" style="11" customWidth="1"/>
    <col min="9741" max="9984" width="9.140625" style="11"/>
    <col min="9985" max="9985" width="2" style="11" customWidth="1"/>
    <col min="9986" max="9986" width="8.28515625" style="11" bestFit="1" customWidth="1"/>
    <col min="9987" max="9987" width="12.42578125" style="11" customWidth="1"/>
    <col min="9988" max="9988" width="65.140625" style="11" customWidth="1"/>
    <col min="9989" max="9989" width="11.42578125" style="11" customWidth="1"/>
    <col min="9990" max="9990" width="22.42578125" style="11" customWidth="1"/>
    <col min="9991" max="9991" width="10" style="11" customWidth="1"/>
    <col min="9992" max="9992" width="14.28515625" style="11" bestFit="1" customWidth="1"/>
    <col min="9993" max="9993" width="12.28515625" style="11" bestFit="1" customWidth="1"/>
    <col min="9994" max="9996" width="49.85546875" style="11" customWidth="1"/>
    <col min="9997" max="10240" width="9.140625" style="11"/>
    <col min="10241" max="10241" width="2" style="11" customWidth="1"/>
    <col min="10242" max="10242" width="8.28515625" style="11" bestFit="1" customWidth="1"/>
    <col min="10243" max="10243" width="12.42578125" style="11" customWidth="1"/>
    <col min="10244" max="10244" width="65.140625" style="11" customWidth="1"/>
    <col min="10245" max="10245" width="11.42578125" style="11" customWidth="1"/>
    <col min="10246" max="10246" width="22.42578125" style="11" customWidth="1"/>
    <col min="10247" max="10247" width="10" style="11" customWidth="1"/>
    <col min="10248" max="10248" width="14.28515625" style="11" bestFit="1" customWidth="1"/>
    <col min="10249" max="10249" width="12.28515625" style="11" bestFit="1" customWidth="1"/>
    <col min="10250" max="10252" width="49.85546875" style="11" customWidth="1"/>
    <col min="10253" max="10496" width="9.140625" style="11"/>
    <col min="10497" max="10497" width="2" style="11" customWidth="1"/>
    <col min="10498" max="10498" width="8.28515625" style="11" bestFit="1" customWidth="1"/>
    <col min="10499" max="10499" width="12.42578125" style="11" customWidth="1"/>
    <col min="10500" max="10500" width="65.140625" style="11" customWidth="1"/>
    <col min="10501" max="10501" width="11.42578125" style="11" customWidth="1"/>
    <col min="10502" max="10502" width="22.42578125" style="11" customWidth="1"/>
    <col min="10503" max="10503" width="10" style="11" customWidth="1"/>
    <col min="10504" max="10504" width="14.28515625" style="11" bestFit="1" customWidth="1"/>
    <col min="10505" max="10505" width="12.28515625" style="11" bestFit="1" customWidth="1"/>
    <col min="10506" max="10508" width="49.85546875" style="11" customWidth="1"/>
    <col min="10509" max="10752" width="9.140625" style="11"/>
    <col min="10753" max="10753" width="2" style="11" customWidth="1"/>
    <col min="10754" max="10754" width="8.28515625" style="11" bestFit="1" customWidth="1"/>
    <col min="10755" max="10755" width="12.42578125" style="11" customWidth="1"/>
    <col min="10756" max="10756" width="65.140625" style="11" customWidth="1"/>
    <col min="10757" max="10757" width="11.42578125" style="11" customWidth="1"/>
    <col min="10758" max="10758" width="22.42578125" style="11" customWidth="1"/>
    <col min="10759" max="10759" width="10" style="11" customWidth="1"/>
    <col min="10760" max="10760" width="14.28515625" style="11" bestFit="1" customWidth="1"/>
    <col min="10761" max="10761" width="12.28515625" style="11" bestFit="1" customWidth="1"/>
    <col min="10762" max="10764" width="49.85546875" style="11" customWidth="1"/>
    <col min="10765" max="11008" width="9.140625" style="11"/>
    <col min="11009" max="11009" width="2" style="11" customWidth="1"/>
    <col min="11010" max="11010" width="8.28515625" style="11" bestFit="1" customWidth="1"/>
    <col min="11011" max="11011" width="12.42578125" style="11" customWidth="1"/>
    <col min="11012" max="11012" width="65.140625" style="11" customWidth="1"/>
    <col min="11013" max="11013" width="11.42578125" style="11" customWidth="1"/>
    <col min="11014" max="11014" width="22.42578125" style="11" customWidth="1"/>
    <col min="11015" max="11015" width="10" style="11" customWidth="1"/>
    <col min="11016" max="11016" width="14.28515625" style="11" bestFit="1" customWidth="1"/>
    <col min="11017" max="11017" width="12.28515625" style="11" bestFit="1" customWidth="1"/>
    <col min="11018" max="11020" width="49.85546875" style="11" customWidth="1"/>
    <col min="11021" max="11264" width="9.140625" style="11"/>
    <col min="11265" max="11265" width="2" style="11" customWidth="1"/>
    <col min="11266" max="11266" width="8.28515625" style="11" bestFit="1" customWidth="1"/>
    <col min="11267" max="11267" width="12.42578125" style="11" customWidth="1"/>
    <col min="11268" max="11268" width="65.140625" style="11" customWidth="1"/>
    <col min="11269" max="11269" width="11.42578125" style="11" customWidth="1"/>
    <col min="11270" max="11270" width="22.42578125" style="11" customWidth="1"/>
    <col min="11271" max="11271" width="10" style="11" customWidth="1"/>
    <col min="11272" max="11272" width="14.28515625" style="11" bestFit="1" customWidth="1"/>
    <col min="11273" max="11273" width="12.28515625" style="11" bestFit="1" customWidth="1"/>
    <col min="11274" max="11276" width="49.85546875" style="11" customWidth="1"/>
    <col min="11277" max="11520" width="9.140625" style="11"/>
    <col min="11521" max="11521" width="2" style="11" customWidth="1"/>
    <col min="11522" max="11522" width="8.28515625" style="11" bestFit="1" customWidth="1"/>
    <col min="11523" max="11523" width="12.42578125" style="11" customWidth="1"/>
    <col min="11524" max="11524" width="65.140625" style="11" customWidth="1"/>
    <col min="11525" max="11525" width="11.42578125" style="11" customWidth="1"/>
    <col min="11526" max="11526" width="22.42578125" style="11" customWidth="1"/>
    <col min="11527" max="11527" width="10" style="11" customWidth="1"/>
    <col min="11528" max="11528" width="14.28515625" style="11" bestFit="1" customWidth="1"/>
    <col min="11529" max="11529" width="12.28515625" style="11" bestFit="1" customWidth="1"/>
    <col min="11530" max="11532" width="49.85546875" style="11" customWidth="1"/>
    <col min="11533" max="11776" width="9.140625" style="11"/>
    <col min="11777" max="11777" width="2" style="11" customWidth="1"/>
    <col min="11778" max="11778" width="8.28515625" style="11" bestFit="1" customWidth="1"/>
    <col min="11779" max="11779" width="12.42578125" style="11" customWidth="1"/>
    <col min="11780" max="11780" width="65.140625" style="11" customWidth="1"/>
    <col min="11781" max="11781" width="11.42578125" style="11" customWidth="1"/>
    <col min="11782" max="11782" width="22.42578125" style="11" customWidth="1"/>
    <col min="11783" max="11783" width="10" style="11" customWidth="1"/>
    <col min="11784" max="11784" width="14.28515625" style="11" bestFit="1" customWidth="1"/>
    <col min="11785" max="11785" width="12.28515625" style="11" bestFit="1" customWidth="1"/>
    <col min="11786" max="11788" width="49.85546875" style="11" customWidth="1"/>
    <col min="11789" max="12032" width="9.140625" style="11"/>
    <col min="12033" max="12033" width="2" style="11" customWidth="1"/>
    <col min="12034" max="12034" width="8.28515625" style="11" bestFit="1" customWidth="1"/>
    <col min="12035" max="12035" width="12.42578125" style="11" customWidth="1"/>
    <col min="12036" max="12036" width="65.140625" style="11" customWidth="1"/>
    <col min="12037" max="12037" width="11.42578125" style="11" customWidth="1"/>
    <col min="12038" max="12038" width="22.42578125" style="11" customWidth="1"/>
    <col min="12039" max="12039" width="10" style="11" customWidth="1"/>
    <col min="12040" max="12040" width="14.28515625" style="11" bestFit="1" customWidth="1"/>
    <col min="12041" max="12041" width="12.28515625" style="11" bestFit="1" customWidth="1"/>
    <col min="12042" max="12044" width="49.85546875" style="11" customWidth="1"/>
    <col min="12045" max="12288" width="9.140625" style="11"/>
    <col min="12289" max="12289" width="2" style="11" customWidth="1"/>
    <col min="12290" max="12290" width="8.28515625" style="11" bestFit="1" customWidth="1"/>
    <col min="12291" max="12291" width="12.42578125" style="11" customWidth="1"/>
    <col min="12292" max="12292" width="65.140625" style="11" customWidth="1"/>
    <col min="12293" max="12293" width="11.42578125" style="11" customWidth="1"/>
    <col min="12294" max="12294" width="22.42578125" style="11" customWidth="1"/>
    <col min="12295" max="12295" width="10" style="11" customWidth="1"/>
    <col min="12296" max="12296" width="14.28515625" style="11" bestFit="1" customWidth="1"/>
    <col min="12297" max="12297" width="12.28515625" style="11" bestFit="1" customWidth="1"/>
    <col min="12298" max="12300" width="49.85546875" style="11" customWidth="1"/>
    <col min="12301" max="12544" width="9.140625" style="11"/>
    <col min="12545" max="12545" width="2" style="11" customWidth="1"/>
    <col min="12546" max="12546" width="8.28515625" style="11" bestFit="1" customWidth="1"/>
    <col min="12547" max="12547" width="12.42578125" style="11" customWidth="1"/>
    <col min="12548" max="12548" width="65.140625" style="11" customWidth="1"/>
    <col min="12549" max="12549" width="11.42578125" style="11" customWidth="1"/>
    <col min="12550" max="12550" width="22.42578125" style="11" customWidth="1"/>
    <col min="12551" max="12551" width="10" style="11" customWidth="1"/>
    <col min="12552" max="12552" width="14.28515625" style="11" bestFit="1" customWidth="1"/>
    <col min="12553" max="12553" width="12.28515625" style="11" bestFit="1" customWidth="1"/>
    <col min="12554" max="12556" width="49.85546875" style="11" customWidth="1"/>
    <col min="12557" max="12800" width="9.140625" style="11"/>
    <col min="12801" max="12801" width="2" style="11" customWidth="1"/>
    <col min="12802" max="12802" width="8.28515625" style="11" bestFit="1" customWidth="1"/>
    <col min="12803" max="12803" width="12.42578125" style="11" customWidth="1"/>
    <col min="12804" max="12804" width="65.140625" style="11" customWidth="1"/>
    <col min="12805" max="12805" width="11.42578125" style="11" customWidth="1"/>
    <col min="12806" max="12806" width="22.42578125" style="11" customWidth="1"/>
    <col min="12807" max="12807" width="10" style="11" customWidth="1"/>
    <col min="12808" max="12808" width="14.28515625" style="11" bestFit="1" customWidth="1"/>
    <col min="12809" max="12809" width="12.28515625" style="11" bestFit="1" customWidth="1"/>
    <col min="12810" max="12812" width="49.85546875" style="11" customWidth="1"/>
    <col min="12813" max="13056" width="9.140625" style="11"/>
    <col min="13057" max="13057" width="2" style="11" customWidth="1"/>
    <col min="13058" max="13058" width="8.28515625" style="11" bestFit="1" customWidth="1"/>
    <col min="13059" max="13059" width="12.42578125" style="11" customWidth="1"/>
    <col min="13060" max="13060" width="65.140625" style="11" customWidth="1"/>
    <col min="13061" max="13061" width="11.42578125" style="11" customWidth="1"/>
    <col min="13062" max="13062" width="22.42578125" style="11" customWidth="1"/>
    <col min="13063" max="13063" width="10" style="11" customWidth="1"/>
    <col min="13064" max="13064" width="14.28515625" style="11" bestFit="1" customWidth="1"/>
    <col min="13065" max="13065" width="12.28515625" style="11" bestFit="1" customWidth="1"/>
    <col min="13066" max="13068" width="49.85546875" style="11" customWidth="1"/>
    <col min="13069" max="13312" width="9.140625" style="11"/>
    <col min="13313" max="13313" width="2" style="11" customWidth="1"/>
    <col min="13314" max="13314" width="8.28515625" style="11" bestFit="1" customWidth="1"/>
    <col min="13315" max="13315" width="12.42578125" style="11" customWidth="1"/>
    <col min="13316" max="13316" width="65.140625" style="11" customWidth="1"/>
    <col min="13317" max="13317" width="11.42578125" style="11" customWidth="1"/>
    <col min="13318" max="13318" width="22.42578125" style="11" customWidth="1"/>
    <col min="13319" max="13319" width="10" style="11" customWidth="1"/>
    <col min="13320" max="13320" width="14.28515625" style="11" bestFit="1" customWidth="1"/>
    <col min="13321" max="13321" width="12.28515625" style="11" bestFit="1" customWidth="1"/>
    <col min="13322" max="13324" width="49.85546875" style="11" customWidth="1"/>
    <col min="13325" max="13568" width="9.140625" style="11"/>
    <col min="13569" max="13569" width="2" style="11" customWidth="1"/>
    <col min="13570" max="13570" width="8.28515625" style="11" bestFit="1" customWidth="1"/>
    <col min="13571" max="13571" width="12.42578125" style="11" customWidth="1"/>
    <col min="13572" max="13572" width="65.140625" style="11" customWidth="1"/>
    <col min="13573" max="13573" width="11.42578125" style="11" customWidth="1"/>
    <col min="13574" max="13574" width="22.42578125" style="11" customWidth="1"/>
    <col min="13575" max="13575" width="10" style="11" customWidth="1"/>
    <col min="13576" max="13576" width="14.28515625" style="11" bestFit="1" customWidth="1"/>
    <col min="13577" max="13577" width="12.28515625" style="11" bestFit="1" customWidth="1"/>
    <col min="13578" max="13580" width="49.85546875" style="11" customWidth="1"/>
    <col min="13581" max="13824" width="9.140625" style="11"/>
    <col min="13825" max="13825" width="2" style="11" customWidth="1"/>
    <col min="13826" max="13826" width="8.28515625" style="11" bestFit="1" customWidth="1"/>
    <col min="13827" max="13827" width="12.42578125" style="11" customWidth="1"/>
    <col min="13828" max="13828" width="65.140625" style="11" customWidth="1"/>
    <col min="13829" max="13829" width="11.42578125" style="11" customWidth="1"/>
    <col min="13830" max="13830" width="22.42578125" style="11" customWidth="1"/>
    <col min="13831" max="13831" width="10" style="11" customWidth="1"/>
    <col min="13832" max="13832" width="14.28515625" style="11" bestFit="1" customWidth="1"/>
    <col min="13833" max="13833" width="12.28515625" style="11" bestFit="1" customWidth="1"/>
    <col min="13834" max="13836" width="49.85546875" style="11" customWidth="1"/>
    <col min="13837" max="14080" width="9.140625" style="11"/>
    <col min="14081" max="14081" width="2" style="11" customWidth="1"/>
    <col min="14082" max="14082" width="8.28515625" style="11" bestFit="1" customWidth="1"/>
    <col min="14083" max="14083" width="12.42578125" style="11" customWidth="1"/>
    <col min="14084" max="14084" width="65.140625" style="11" customWidth="1"/>
    <col min="14085" max="14085" width="11.42578125" style="11" customWidth="1"/>
    <col min="14086" max="14086" width="22.42578125" style="11" customWidth="1"/>
    <col min="14087" max="14087" width="10" style="11" customWidth="1"/>
    <col min="14088" max="14088" width="14.28515625" style="11" bestFit="1" customWidth="1"/>
    <col min="14089" max="14089" width="12.28515625" style="11" bestFit="1" customWidth="1"/>
    <col min="14090" max="14092" width="49.85546875" style="11" customWidth="1"/>
    <col min="14093" max="14336" width="9.140625" style="11"/>
    <col min="14337" max="14337" width="2" style="11" customWidth="1"/>
    <col min="14338" max="14338" width="8.28515625" style="11" bestFit="1" customWidth="1"/>
    <col min="14339" max="14339" width="12.42578125" style="11" customWidth="1"/>
    <col min="14340" max="14340" width="65.140625" style="11" customWidth="1"/>
    <col min="14341" max="14341" width="11.42578125" style="11" customWidth="1"/>
    <col min="14342" max="14342" width="22.42578125" style="11" customWidth="1"/>
    <col min="14343" max="14343" width="10" style="11" customWidth="1"/>
    <col min="14344" max="14344" width="14.28515625" style="11" bestFit="1" customWidth="1"/>
    <col min="14345" max="14345" width="12.28515625" style="11" bestFit="1" customWidth="1"/>
    <col min="14346" max="14348" width="49.85546875" style="11" customWidth="1"/>
    <col min="14349" max="14592" width="9.140625" style="11"/>
    <col min="14593" max="14593" width="2" style="11" customWidth="1"/>
    <col min="14594" max="14594" width="8.28515625" style="11" bestFit="1" customWidth="1"/>
    <col min="14595" max="14595" width="12.42578125" style="11" customWidth="1"/>
    <col min="14596" max="14596" width="65.140625" style="11" customWidth="1"/>
    <col min="14597" max="14597" width="11.42578125" style="11" customWidth="1"/>
    <col min="14598" max="14598" width="22.42578125" style="11" customWidth="1"/>
    <col min="14599" max="14599" width="10" style="11" customWidth="1"/>
    <col min="14600" max="14600" width="14.28515625" style="11" bestFit="1" customWidth="1"/>
    <col min="14601" max="14601" width="12.28515625" style="11" bestFit="1" customWidth="1"/>
    <col min="14602" max="14604" width="49.85546875" style="11" customWidth="1"/>
    <col min="14605" max="14848" width="9.140625" style="11"/>
    <col min="14849" max="14849" width="2" style="11" customWidth="1"/>
    <col min="14850" max="14850" width="8.28515625" style="11" bestFit="1" customWidth="1"/>
    <col min="14851" max="14851" width="12.42578125" style="11" customWidth="1"/>
    <col min="14852" max="14852" width="65.140625" style="11" customWidth="1"/>
    <col min="14853" max="14853" width="11.42578125" style="11" customWidth="1"/>
    <col min="14854" max="14854" width="22.42578125" style="11" customWidth="1"/>
    <col min="14855" max="14855" width="10" style="11" customWidth="1"/>
    <col min="14856" max="14856" width="14.28515625" style="11" bestFit="1" customWidth="1"/>
    <col min="14857" max="14857" width="12.28515625" style="11" bestFit="1" customWidth="1"/>
    <col min="14858" max="14860" width="49.85546875" style="11" customWidth="1"/>
    <col min="14861" max="15104" width="9.140625" style="11"/>
    <col min="15105" max="15105" width="2" style="11" customWidth="1"/>
    <col min="15106" max="15106" width="8.28515625" style="11" bestFit="1" customWidth="1"/>
    <col min="15107" max="15107" width="12.42578125" style="11" customWidth="1"/>
    <col min="15108" max="15108" width="65.140625" style="11" customWidth="1"/>
    <col min="15109" max="15109" width="11.42578125" style="11" customWidth="1"/>
    <col min="15110" max="15110" width="22.42578125" style="11" customWidth="1"/>
    <col min="15111" max="15111" width="10" style="11" customWidth="1"/>
    <col min="15112" max="15112" width="14.28515625" style="11" bestFit="1" customWidth="1"/>
    <col min="15113" max="15113" width="12.28515625" style="11" bestFit="1" customWidth="1"/>
    <col min="15114" max="15116" width="49.85546875" style="11" customWidth="1"/>
    <col min="15117" max="15360" width="9.140625" style="11"/>
    <col min="15361" max="15361" width="2" style="11" customWidth="1"/>
    <col min="15362" max="15362" width="8.28515625" style="11" bestFit="1" customWidth="1"/>
    <col min="15363" max="15363" width="12.42578125" style="11" customWidth="1"/>
    <col min="15364" max="15364" width="65.140625" style="11" customWidth="1"/>
    <col min="15365" max="15365" width="11.42578125" style="11" customWidth="1"/>
    <col min="15366" max="15366" width="22.42578125" style="11" customWidth="1"/>
    <col min="15367" max="15367" width="10" style="11" customWidth="1"/>
    <col min="15368" max="15368" width="14.28515625" style="11" bestFit="1" customWidth="1"/>
    <col min="15369" max="15369" width="12.28515625" style="11" bestFit="1" customWidth="1"/>
    <col min="15370" max="15372" width="49.85546875" style="11" customWidth="1"/>
    <col min="15373" max="15616" width="9.140625" style="11"/>
    <col min="15617" max="15617" width="2" style="11" customWidth="1"/>
    <col min="15618" max="15618" width="8.28515625" style="11" bestFit="1" customWidth="1"/>
    <col min="15619" max="15619" width="12.42578125" style="11" customWidth="1"/>
    <col min="15620" max="15620" width="65.140625" style="11" customWidth="1"/>
    <col min="15621" max="15621" width="11.42578125" style="11" customWidth="1"/>
    <col min="15622" max="15622" width="22.42578125" style="11" customWidth="1"/>
    <col min="15623" max="15623" width="10" style="11" customWidth="1"/>
    <col min="15624" max="15624" width="14.28515625" style="11" bestFit="1" customWidth="1"/>
    <col min="15625" max="15625" width="12.28515625" style="11" bestFit="1" customWidth="1"/>
    <col min="15626" max="15628" width="49.85546875" style="11" customWidth="1"/>
    <col min="15629" max="15872" width="9.140625" style="11"/>
    <col min="15873" max="15873" width="2" style="11" customWidth="1"/>
    <col min="15874" max="15874" width="8.28515625" style="11" bestFit="1" customWidth="1"/>
    <col min="15875" max="15875" width="12.42578125" style="11" customWidth="1"/>
    <col min="15876" max="15876" width="65.140625" style="11" customWidth="1"/>
    <col min="15877" max="15877" width="11.42578125" style="11" customWidth="1"/>
    <col min="15878" max="15878" width="22.42578125" style="11" customWidth="1"/>
    <col min="15879" max="15879" width="10" style="11" customWidth="1"/>
    <col min="15880" max="15880" width="14.28515625" style="11" bestFit="1" customWidth="1"/>
    <col min="15881" max="15881" width="12.28515625" style="11" bestFit="1" customWidth="1"/>
    <col min="15882" max="15884" width="49.85546875" style="11" customWidth="1"/>
    <col min="15885" max="16128" width="9.140625" style="11"/>
    <col min="16129" max="16129" width="2" style="11" customWidth="1"/>
    <col min="16130" max="16130" width="8.28515625" style="11" bestFit="1" customWidth="1"/>
    <col min="16131" max="16131" width="12.42578125" style="11" customWidth="1"/>
    <col min="16132" max="16132" width="65.140625" style="11" customWidth="1"/>
    <col min="16133" max="16133" width="11.42578125" style="11" customWidth="1"/>
    <col min="16134" max="16134" width="22.42578125" style="11" customWidth="1"/>
    <col min="16135" max="16135" width="10" style="11" customWidth="1"/>
    <col min="16136" max="16136" width="14.28515625" style="11" bestFit="1" customWidth="1"/>
    <col min="16137" max="16137" width="12.28515625" style="11" bestFit="1" customWidth="1"/>
    <col min="16138" max="16140" width="49.85546875" style="11" customWidth="1"/>
    <col min="16141" max="16384" width="9.140625" style="11"/>
  </cols>
  <sheetData>
    <row r="7" spans="1:14" s="1" customFormat="1" ht="20.25" x14ac:dyDescent="0.3">
      <c r="B7" s="430" t="s">
        <v>0</v>
      </c>
      <c r="C7" s="430"/>
      <c r="D7" s="430"/>
      <c r="E7" s="430"/>
      <c r="F7" s="430"/>
      <c r="G7" s="430"/>
    </row>
    <row r="8" spans="1:14" s="297" customFormat="1" ht="15" x14ac:dyDescent="0.2">
      <c r="C8" s="298"/>
    </row>
    <row r="9" spans="1:14" s="299" customFormat="1" ht="15.75" x14ac:dyDescent="0.25">
      <c r="B9" s="300" t="s">
        <v>394</v>
      </c>
      <c r="C9" s="301"/>
      <c r="D9" s="301"/>
      <c r="F9" s="302" t="s">
        <v>395</v>
      </c>
      <c r="G9" s="2"/>
      <c r="I9" s="2"/>
    </row>
    <row r="10" spans="1:14" s="299" customFormat="1" ht="15.75" x14ac:dyDescent="0.25">
      <c r="B10" s="2" t="s">
        <v>396</v>
      </c>
      <c r="C10" s="303"/>
      <c r="D10" s="303"/>
      <c r="F10" s="302" t="s">
        <v>397</v>
      </c>
      <c r="G10" s="2"/>
      <c r="I10" s="303"/>
    </row>
    <row r="11" spans="1:14" s="299" customFormat="1" ht="15.75" x14ac:dyDescent="0.25">
      <c r="B11" s="2" t="s">
        <v>445</v>
      </c>
      <c r="C11" s="303"/>
      <c r="D11" s="303"/>
      <c r="E11" s="304"/>
      <c r="F11" s="303" t="s">
        <v>398</v>
      </c>
      <c r="G11" s="303"/>
      <c r="H11" s="303"/>
      <c r="I11" s="303"/>
    </row>
    <row r="12" spans="1:14" s="299" customFormat="1" ht="15.75" x14ac:dyDescent="0.25">
      <c r="B12" s="2"/>
      <c r="C12" s="303"/>
      <c r="D12" s="303"/>
      <c r="E12" s="303"/>
      <c r="F12" s="303"/>
      <c r="G12" s="303"/>
    </row>
    <row r="13" spans="1:14" ht="15.75" thickBot="1" x14ac:dyDescent="0.3">
      <c r="A13" s="5"/>
      <c r="B13" s="3"/>
      <c r="C13" s="4"/>
      <c r="D13" s="4"/>
      <c r="E13" s="4"/>
      <c r="F13" s="4"/>
      <c r="G13" s="4"/>
      <c r="H13" s="4"/>
      <c r="I13" s="4"/>
      <c r="J13" s="5"/>
      <c r="K13" s="5"/>
      <c r="L13" s="5"/>
      <c r="M13" s="5"/>
      <c r="N13" s="5"/>
    </row>
    <row r="14" spans="1:14" ht="26.25" customHeight="1" thickBot="1" x14ac:dyDescent="0.25">
      <c r="A14" s="10"/>
      <c r="B14" s="6" t="s">
        <v>1</v>
      </c>
      <c r="C14" s="7" t="s">
        <v>399</v>
      </c>
      <c r="D14" s="7" t="s">
        <v>2</v>
      </c>
      <c r="E14" s="8" t="s">
        <v>5</v>
      </c>
      <c r="F14" s="8" t="s">
        <v>6</v>
      </c>
      <c r="G14" s="8" t="s">
        <v>7</v>
      </c>
      <c r="H14" s="8" t="s">
        <v>3</v>
      </c>
      <c r="I14" s="9" t="s">
        <v>4</v>
      </c>
      <c r="J14" s="10"/>
      <c r="K14" s="10"/>
      <c r="L14" s="10"/>
      <c r="M14" s="10"/>
      <c r="N14" s="10"/>
    </row>
    <row r="15" spans="1:14" ht="37.5" customHeight="1" x14ac:dyDescent="0.2">
      <c r="A15" s="305"/>
      <c r="B15" s="350">
        <v>1</v>
      </c>
      <c r="C15" s="306"/>
      <c r="D15" s="469" t="s">
        <v>458</v>
      </c>
      <c r="E15" s="308">
        <v>1.5</v>
      </c>
      <c r="F15" s="341" t="s">
        <v>430</v>
      </c>
      <c r="G15" s="311">
        <v>4</v>
      </c>
      <c r="H15" s="434" t="s">
        <v>435</v>
      </c>
      <c r="I15" s="344"/>
      <c r="J15" s="305"/>
      <c r="K15" s="305"/>
      <c r="L15" s="305"/>
      <c r="M15" s="305"/>
      <c r="N15" s="305"/>
    </row>
    <row r="16" spans="1:14" ht="51" customHeight="1" x14ac:dyDescent="0.2">
      <c r="A16" s="305"/>
      <c r="B16" s="351">
        <v>2</v>
      </c>
      <c r="C16" s="164"/>
      <c r="D16" s="469" t="s">
        <v>421</v>
      </c>
      <c r="E16" s="308">
        <v>1.5</v>
      </c>
      <c r="F16" s="341" t="s">
        <v>428</v>
      </c>
      <c r="G16" s="343">
        <v>6</v>
      </c>
      <c r="H16" s="435"/>
      <c r="I16" s="345"/>
      <c r="J16" s="305"/>
      <c r="K16" s="305"/>
    </row>
    <row r="17" spans="1:11" ht="51" customHeight="1" x14ac:dyDescent="0.2">
      <c r="A17" s="305"/>
      <c r="B17" s="309">
        <v>3</v>
      </c>
      <c r="C17" s="164"/>
      <c r="D17" s="470" t="s">
        <v>422</v>
      </c>
      <c r="E17" s="308">
        <v>1.5</v>
      </c>
      <c r="F17" s="342" t="s">
        <v>429</v>
      </c>
      <c r="G17" s="343">
        <v>6</v>
      </c>
      <c r="H17" s="435"/>
      <c r="I17" s="345"/>
      <c r="J17" s="305"/>
      <c r="K17" s="305"/>
    </row>
    <row r="18" spans="1:11" ht="51" customHeight="1" x14ac:dyDescent="0.2">
      <c r="A18" s="305"/>
      <c r="B18" s="309">
        <v>4</v>
      </c>
      <c r="C18" s="164"/>
      <c r="D18" s="310" t="s">
        <v>423</v>
      </c>
      <c r="E18" s="308">
        <v>1.5</v>
      </c>
      <c r="F18" s="342" t="s">
        <v>431</v>
      </c>
      <c r="G18" s="343">
        <v>6</v>
      </c>
      <c r="H18" s="435"/>
      <c r="I18" s="346"/>
      <c r="J18" s="305"/>
      <c r="K18" s="305"/>
    </row>
    <row r="19" spans="1:11" ht="51" customHeight="1" x14ac:dyDescent="0.2">
      <c r="A19" s="305"/>
      <c r="B19" s="309">
        <v>5</v>
      </c>
      <c r="C19" s="164"/>
      <c r="D19" s="312" t="s">
        <v>424</v>
      </c>
      <c r="E19" s="308">
        <v>1.5</v>
      </c>
      <c r="F19" s="342" t="s">
        <v>432</v>
      </c>
      <c r="G19" s="343">
        <v>4</v>
      </c>
      <c r="H19" s="435"/>
      <c r="I19" s="431"/>
      <c r="J19" s="305"/>
      <c r="K19" s="305"/>
    </row>
    <row r="20" spans="1:11" ht="52.5" customHeight="1" x14ac:dyDescent="0.2">
      <c r="A20" s="305"/>
      <c r="B20" s="309">
        <v>6</v>
      </c>
      <c r="C20" s="164"/>
      <c r="D20" s="307" t="s">
        <v>425</v>
      </c>
      <c r="E20" s="308">
        <v>1.5</v>
      </c>
      <c r="F20" s="342" t="s">
        <v>433</v>
      </c>
      <c r="G20" s="343">
        <v>4</v>
      </c>
      <c r="H20" s="435"/>
      <c r="I20" s="433"/>
      <c r="J20" s="305"/>
    </row>
    <row r="21" spans="1:11" ht="51" customHeight="1" x14ac:dyDescent="0.2">
      <c r="A21" s="305"/>
      <c r="B21" s="313">
        <v>7</v>
      </c>
      <c r="C21" s="314"/>
      <c r="D21" s="307" t="s">
        <v>427</v>
      </c>
      <c r="E21" s="308">
        <v>1.5</v>
      </c>
      <c r="F21" s="342" t="s">
        <v>440</v>
      </c>
      <c r="G21" s="343">
        <v>4</v>
      </c>
      <c r="H21" s="435"/>
      <c r="I21" s="431"/>
      <c r="J21" s="305"/>
    </row>
    <row r="22" spans="1:11" ht="51" customHeight="1" thickBot="1" x14ac:dyDescent="0.25">
      <c r="A22" s="305"/>
      <c r="B22" s="315">
        <v>8</v>
      </c>
      <c r="C22" s="316"/>
      <c r="D22" s="317" t="s">
        <v>426</v>
      </c>
      <c r="E22" s="318">
        <v>1.5</v>
      </c>
      <c r="F22" s="348" t="s">
        <v>434</v>
      </c>
      <c r="G22" s="349">
        <v>4</v>
      </c>
      <c r="H22" s="436"/>
      <c r="I22" s="432"/>
      <c r="J22" s="305"/>
    </row>
    <row r="23" spans="1:11" x14ac:dyDescent="0.2">
      <c r="E23" s="11">
        <f>SUM(E15:E22)</f>
        <v>12</v>
      </c>
      <c r="G23" s="11">
        <f>SUM(G15:G22)</f>
        <v>38</v>
      </c>
    </row>
    <row r="26" spans="1:11" ht="15.75" x14ac:dyDescent="0.2">
      <c r="D26" s="347" t="s">
        <v>436</v>
      </c>
    </row>
    <row r="28" spans="1:11" ht="15" x14ac:dyDescent="0.2">
      <c r="D28" s="297" t="s">
        <v>437</v>
      </c>
    </row>
    <row r="29" spans="1:11" ht="15" x14ac:dyDescent="0.2">
      <c r="D29" s="297"/>
    </row>
    <row r="30" spans="1:11" ht="15.75" x14ac:dyDescent="0.2">
      <c r="D30" s="347" t="s">
        <v>438</v>
      </c>
    </row>
    <row r="31" spans="1:11" x14ac:dyDescent="0.2">
      <c r="D31" s="305"/>
    </row>
    <row r="32" spans="1:11" x14ac:dyDescent="0.2">
      <c r="D32" s="429" t="s">
        <v>439</v>
      </c>
      <c r="E32" s="429"/>
      <c r="F32" s="429"/>
    </row>
    <row r="33" spans="3:6" x14ac:dyDescent="0.2">
      <c r="D33" s="429" t="s">
        <v>400</v>
      </c>
      <c r="E33" s="429"/>
      <c r="F33" s="429"/>
    </row>
    <row r="34" spans="3:6" x14ac:dyDescent="0.2">
      <c r="D34" s="429" t="s">
        <v>401</v>
      </c>
      <c r="E34" s="429"/>
      <c r="F34" s="429"/>
    </row>
    <row r="35" spans="3:6" x14ac:dyDescent="0.2">
      <c r="C35" s="11"/>
    </row>
    <row r="36" spans="3:6" x14ac:dyDescent="0.2">
      <c r="C36" s="11"/>
    </row>
    <row r="37" spans="3:6" x14ac:dyDescent="0.2">
      <c r="C37" s="11"/>
    </row>
    <row r="38" spans="3:6" x14ac:dyDescent="0.2">
      <c r="C38" s="11"/>
    </row>
    <row r="39" spans="3:6" x14ac:dyDescent="0.2">
      <c r="C39" s="11"/>
    </row>
    <row r="40" spans="3:6" x14ac:dyDescent="0.2">
      <c r="C40" s="11"/>
    </row>
    <row r="41" spans="3:6" x14ac:dyDescent="0.2">
      <c r="C41" s="11"/>
    </row>
    <row r="42" spans="3:6" x14ac:dyDescent="0.2">
      <c r="C42" s="11"/>
    </row>
    <row r="43" spans="3:6" x14ac:dyDescent="0.2">
      <c r="C43" s="11"/>
    </row>
    <row r="44" spans="3:6" x14ac:dyDescent="0.2">
      <c r="C44" s="11"/>
    </row>
    <row r="45" spans="3:6" x14ac:dyDescent="0.2">
      <c r="C45" s="11"/>
    </row>
    <row r="46" spans="3:6" x14ac:dyDescent="0.2">
      <c r="C46" s="11"/>
    </row>
    <row r="47" spans="3:6" x14ac:dyDescent="0.2">
      <c r="C47" s="11"/>
    </row>
    <row r="48" spans="3:6" x14ac:dyDescent="0.2">
      <c r="C48" s="11"/>
    </row>
    <row r="49" spans="3:3" x14ac:dyDescent="0.2">
      <c r="C49" s="11"/>
    </row>
    <row r="50" spans="3:3" x14ac:dyDescent="0.2">
      <c r="C50" s="11"/>
    </row>
    <row r="51" spans="3:3" x14ac:dyDescent="0.2">
      <c r="C51" s="11"/>
    </row>
    <row r="55" spans="3:3" x14ac:dyDescent="0.2">
      <c r="C55" s="11"/>
    </row>
    <row r="67" spans="3:3" x14ac:dyDescent="0.2">
      <c r="C67" s="11"/>
    </row>
    <row r="68" spans="3:3" x14ac:dyDescent="0.2">
      <c r="C68" s="11"/>
    </row>
    <row r="69" spans="3:3" x14ac:dyDescent="0.2">
      <c r="C69" s="11"/>
    </row>
    <row r="70" spans="3:3" x14ac:dyDescent="0.2">
      <c r="C70" s="11"/>
    </row>
    <row r="71" spans="3:3" x14ac:dyDescent="0.2">
      <c r="C71" s="11"/>
    </row>
    <row r="72" spans="3:3" x14ac:dyDescent="0.2">
      <c r="C72" s="11"/>
    </row>
    <row r="73" spans="3:3" x14ac:dyDescent="0.2">
      <c r="C73" s="11"/>
    </row>
    <row r="74" spans="3:3" x14ac:dyDescent="0.2">
      <c r="C74" s="11"/>
    </row>
    <row r="75" spans="3:3" x14ac:dyDescent="0.2">
      <c r="C75" s="11"/>
    </row>
    <row r="76" spans="3:3" x14ac:dyDescent="0.2">
      <c r="C76" s="11"/>
    </row>
    <row r="77" spans="3:3" x14ac:dyDescent="0.2">
      <c r="C77" s="11"/>
    </row>
    <row r="78" spans="3:3" x14ac:dyDescent="0.2">
      <c r="C78" s="11"/>
    </row>
    <row r="79" spans="3:3" x14ac:dyDescent="0.2">
      <c r="C79" s="11"/>
    </row>
    <row r="80" spans="3:3" x14ac:dyDescent="0.2">
      <c r="C80" s="11"/>
    </row>
    <row r="81" spans="3:3" x14ac:dyDescent="0.2">
      <c r="C81" s="11"/>
    </row>
    <row r="82" spans="3:3" x14ac:dyDescent="0.2">
      <c r="C82" s="11"/>
    </row>
    <row r="83" spans="3:3" x14ac:dyDescent="0.2">
      <c r="C83" s="11"/>
    </row>
    <row r="84" spans="3:3" x14ac:dyDescent="0.2">
      <c r="C84" s="11"/>
    </row>
    <row r="85" spans="3:3" ht="12.75" customHeight="1" x14ac:dyDescent="0.2">
      <c r="C85" s="11"/>
    </row>
    <row r="86" spans="3:3" x14ac:dyDescent="0.2">
      <c r="C86" s="11"/>
    </row>
    <row r="87" spans="3:3" x14ac:dyDescent="0.2">
      <c r="C87" s="11"/>
    </row>
    <row r="88" spans="3:3" x14ac:dyDescent="0.2">
      <c r="C88" s="11"/>
    </row>
    <row r="89" spans="3:3" x14ac:dyDescent="0.2">
      <c r="C89" s="11"/>
    </row>
    <row r="90" spans="3:3" x14ac:dyDescent="0.2">
      <c r="C90" s="11"/>
    </row>
    <row r="91" spans="3:3" x14ac:dyDescent="0.2">
      <c r="C91" s="11"/>
    </row>
    <row r="92" spans="3:3" x14ac:dyDescent="0.2">
      <c r="C92" s="11"/>
    </row>
    <row r="93" spans="3:3" x14ac:dyDescent="0.2">
      <c r="C93" s="11"/>
    </row>
    <row r="94" spans="3:3" x14ac:dyDescent="0.2">
      <c r="C94" s="11"/>
    </row>
    <row r="95" spans="3:3" x14ac:dyDescent="0.2">
      <c r="C95" s="11"/>
    </row>
  </sheetData>
  <mergeCells count="7">
    <mergeCell ref="D34:F34"/>
    <mergeCell ref="B7:G7"/>
    <mergeCell ref="I21:I22"/>
    <mergeCell ref="I19:I20"/>
    <mergeCell ref="H15:H22"/>
    <mergeCell ref="D32:F32"/>
    <mergeCell ref="D33:F33"/>
  </mergeCells>
  <phoneticPr fontId="0" type="noConversion"/>
  <dataValidations count="1">
    <dataValidation type="whole" operator="greaterThanOrEqual" allowBlank="1" showInputMessage="1" showErrorMessage="1" sqref="B15 IX15 ST15 ACP15 AML15 AWH15 BGD15 BPZ15 BZV15 CJR15 CTN15 DDJ15 DNF15 DXB15 EGX15 EQT15 FAP15 FKL15 FUH15 GED15 GNZ15 GXV15 HHR15 HRN15 IBJ15 ILF15 IVB15 JEX15 JOT15 JYP15 KIL15 KSH15 LCD15 LLZ15 LVV15 MFR15 MPN15 MZJ15 NJF15 NTB15 OCX15 OMT15 OWP15 PGL15 PQH15 QAD15 QJZ15 QTV15 RDR15 RNN15 RXJ15 SHF15 SRB15 TAX15 TKT15 TUP15 UEL15 UOH15 UYD15 VHZ15 VRV15 WBR15 WLN15 WVJ15 B65553 IX65553 ST65553 ACP65553 AML65553 AWH65553 BGD65553 BPZ65553 BZV65553 CJR65553 CTN65553 DDJ65553 DNF65553 DXB65553 EGX65553 EQT65553 FAP65553 FKL65553 FUH65553 GED65553 GNZ65553 GXV65553 HHR65553 HRN65553 IBJ65553 ILF65553 IVB65553 JEX65553 JOT65553 JYP65553 KIL65553 KSH65553 LCD65553 LLZ65553 LVV65553 MFR65553 MPN65553 MZJ65553 NJF65553 NTB65553 OCX65553 OMT65553 OWP65553 PGL65553 PQH65553 QAD65553 QJZ65553 QTV65553 RDR65553 RNN65553 RXJ65553 SHF65553 SRB65553 TAX65553 TKT65553 TUP65553 UEL65553 UOH65553 UYD65553 VHZ65553 VRV65553 WBR65553 WLN65553 WVJ65553 B131089 IX131089 ST131089 ACP131089 AML131089 AWH131089 BGD131089 BPZ131089 BZV131089 CJR131089 CTN131089 DDJ131089 DNF131089 DXB131089 EGX131089 EQT131089 FAP131089 FKL131089 FUH131089 GED131089 GNZ131089 GXV131089 HHR131089 HRN131089 IBJ131089 ILF131089 IVB131089 JEX131089 JOT131089 JYP131089 KIL131089 KSH131089 LCD131089 LLZ131089 LVV131089 MFR131089 MPN131089 MZJ131089 NJF131089 NTB131089 OCX131089 OMT131089 OWP131089 PGL131089 PQH131089 QAD131089 QJZ131089 QTV131089 RDR131089 RNN131089 RXJ131089 SHF131089 SRB131089 TAX131089 TKT131089 TUP131089 UEL131089 UOH131089 UYD131089 VHZ131089 VRV131089 WBR131089 WLN131089 WVJ131089 B196625 IX196625 ST196625 ACP196625 AML196625 AWH196625 BGD196625 BPZ196625 BZV196625 CJR196625 CTN196625 DDJ196625 DNF196625 DXB196625 EGX196625 EQT196625 FAP196625 FKL196625 FUH196625 GED196625 GNZ196625 GXV196625 HHR196625 HRN196625 IBJ196625 ILF196625 IVB196625 JEX196625 JOT196625 JYP196625 KIL196625 KSH196625 LCD196625 LLZ196625 LVV196625 MFR196625 MPN196625 MZJ196625 NJF196625 NTB196625 OCX196625 OMT196625 OWP196625 PGL196625 PQH196625 QAD196625 QJZ196625 QTV196625 RDR196625 RNN196625 RXJ196625 SHF196625 SRB196625 TAX196625 TKT196625 TUP196625 UEL196625 UOH196625 UYD196625 VHZ196625 VRV196625 WBR196625 WLN196625 WVJ196625 B262161 IX262161 ST262161 ACP262161 AML262161 AWH262161 BGD262161 BPZ262161 BZV262161 CJR262161 CTN262161 DDJ262161 DNF262161 DXB262161 EGX262161 EQT262161 FAP262161 FKL262161 FUH262161 GED262161 GNZ262161 GXV262161 HHR262161 HRN262161 IBJ262161 ILF262161 IVB262161 JEX262161 JOT262161 JYP262161 KIL262161 KSH262161 LCD262161 LLZ262161 LVV262161 MFR262161 MPN262161 MZJ262161 NJF262161 NTB262161 OCX262161 OMT262161 OWP262161 PGL262161 PQH262161 QAD262161 QJZ262161 QTV262161 RDR262161 RNN262161 RXJ262161 SHF262161 SRB262161 TAX262161 TKT262161 TUP262161 UEL262161 UOH262161 UYD262161 VHZ262161 VRV262161 WBR262161 WLN262161 WVJ262161 B327697 IX327697 ST327697 ACP327697 AML327697 AWH327697 BGD327697 BPZ327697 BZV327697 CJR327697 CTN327697 DDJ327697 DNF327697 DXB327697 EGX327697 EQT327697 FAP327697 FKL327697 FUH327697 GED327697 GNZ327697 GXV327697 HHR327697 HRN327697 IBJ327697 ILF327697 IVB327697 JEX327697 JOT327697 JYP327697 KIL327697 KSH327697 LCD327697 LLZ327697 LVV327697 MFR327697 MPN327697 MZJ327697 NJF327697 NTB327697 OCX327697 OMT327697 OWP327697 PGL327697 PQH327697 QAD327697 QJZ327697 QTV327697 RDR327697 RNN327697 RXJ327697 SHF327697 SRB327697 TAX327697 TKT327697 TUP327697 UEL327697 UOH327697 UYD327697 VHZ327697 VRV327697 WBR327697 WLN327697 WVJ327697 B393233 IX393233 ST393233 ACP393233 AML393233 AWH393233 BGD393233 BPZ393233 BZV393233 CJR393233 CTN393233 DDJ393233 DNF393233 DXB393233 EGX393233 EQT393233 FAP393233 FKL393233 FUH393233 GED393233 GNZ393233 GXV393233 HHR393233 HRN393233 IBJ393233 ILF393233 IVB393233 JEX393233 JOT393233 JYP393233 KIL393233 KSH393233 LCD393233 LLZ393233 LVV393233 MFR393233 MPN393233 MZJ393233 NJF393233 NTB393233 OCX393233 OMT393233 OWP393233 PGL393233 PQH393233 QAD393233 QJZ393233 QTV393233 RDR393233 RNN393233 RXJ393233 SHF393233 SRB393233 TAX393233 TKT393233 TUP393233 UEL393233 UOH393233 UYD393233 VHZ393233 VRV393233 WBR393233 WLN393233 WVJ393233 B458769 IX458769 ST458769 ACP458769 AML458769 AWH458769 BGD458769 BPZ458769 BZV458769 CJR458769 CTN458769 DDJ458769 DNF458769 DXB458769 EGX458769 EQT458769 FAP458769 FKL458769 FUH458769 GED458769 GNZ458769 GXV458769 HHR458769 HRN458769 IBJ458769 ILF458769 IVB458769 JEX458769 JOT458769 JYP458769 KIL458769 KSH458769 LCD458769 LLZ458769 LVV458769 MFR458769 MPN458769 MZJ458769 NJF458769 NTB458769 OCX458769 OMT458769 OWP458769 PGL458769 PQH458769 QAD458769 QJZ458769 QTV458769 RDR458769 RNN458769 RXJ458769 SHF458769 SRB458769 TAX458769 TKT458769 TUP458769 UEL458769 UOH458769 UYD458769 VHZ458769 VRV458769 WBR458769 WLN458769 WVJ458769 B524305 IX524305 ST524305 ACP524305 AML524305 AWH524305 BGD524305 BPZ524305 BZV524305 CJR524305 CTN524305 DDJ524305 DNF524305 DXB524305 EGX524305 EQT524305 FAP524305 FKL524305 FUH524305 GED524305 GNZ524305 GXV524305 HHR524305 HRN524305 IBJ524305 ILF524305 IVB524305 JEX524305 JOT524305 JYP524305 KIL524305 KSH524305 LCD524305 LLZ524305 LVV524305 MFR524305 MPN524305 MZJ524305 NJF524305 NTB524305 OCX524305 OMT524305 OWP524305 PGL524305 PQH524305 QAD524305 QJZ524305 QTV524305 RDR524305 RNN524305 RXJ524305 SHF524305 SRB524305 TAX524305 TKT524305 TUP524305 UEL524305 UOH524305 UYD524305 VHZ524305 VRV524305 WBR524305 WLN524305 WVJ524305 B589841 IX589841 ST589841 ACP589841 AML589841 AWH589841 BGD589841 BPZ589841 BZV589841 CJR589841 CTN589841 DDJ589841 DNF589841 DXB589841 EGX589841 EQT589841 FAP589841 FKL589841 FUH589841 GED589841 GNZ589841 GXV589841 HHR589841 HRN589841 IBJ589841 ILF589841 IVB589841 JEX589841 JOT589841 JYP589841 KIL589841 KSH589841 LCD589841 LLZ589841 LVV589841 MFR589841 MPN589841 MZJ589841 NJF589841 NTB589841 OCX589841 OMT589841 OWP589841 PGL589841 PQH589841 QAD589841 QJZ589841 QTV589841 RDR589841 RNN589841 RXJ589841 SHF589841 SRB589841 TAX589841 TKT589841 TUP589841 UEL589841 UOH589841 UYD589841 VHZ589841 VRV589841 WBR589841 WLN589841 WVJ589841 B655377 IX655377 ST655377 ACP655377 AML655377 AWH655377 BGD655377 BPZ655377 BZV655377 CJR655377 CTN655377 DDJ655377 DNF655377 DXB655377 EGX655377 EQT655377 FAP655377 FKL655377 FUH655377 GED655377 GNZ655377 GXV655377 HHR655377 HRN655377 IBJ655377 ILF655377 IVB655377 JEX655377 JOT655377 JYP655377 KIL655377 KSH655377 LCD655377 LLZ655377 LVV655377 MFR655377 MPN655377 MZJ655377 NJF655377 NTB655377 OCX655377 OMT655377 OWP655377 PGL655377 PQH655377 QAD655377 QJZ655377 QTV655377 RDR655377 RNN655377 RXJ655377 SHF655377 SRB655377 TAX655377 TKT655377 TUP655377 UEL655377 UOH655377 UYD655377 VHZ655377 VRV655377 WBR655377 WLN655377 WVJ655377 B720913 IX720913 ST720913 ACP720913 AML720913 AWH720913 BGD720913 BPZ720913 BZV720913 CJR720913 CTN720913 DDJ720913 DNF720913 DXB720913 EGX720913 EQT720913 FAP720913 FKL720913 FUH720913 GED720913 GNZ720913 GXV720913 HHR720913 HRN720913 IBJ720913 ILF720913 IVB720913 JEX720913 JOT720913 JYP720913 KIL720913 KSH720913 LCD720913 LLZ720913 LVV720913 MFR720913 MPN720913 MZJ720913 NJF720913 NTB720913 OCX720913 OMT720913 OWP720913 PGL720913 PQH720913 QAD720913 QJZ720913 QTV720913 RDR720913 RNN720913 RXJ720913 SHF720913 SRB720913 TAX720913 TKT720913 TUP720913 UEL720913 UOH720913 UYD720913 VHZ720913 VRV720913 WBR720913 WLN720913 WVJ720913 B786449 IX786449 ST786449 ACP786449 AML786449 AWH786449 BGD786449 BPZ786449 BZV786449 CJR786449 CTN786449 DDJ786449 DNF786449 DXB786449 EGX786449 EQT786449 FAP786449 FKL786449 FUH786449 GED786449 GNZ786449 GXV786449 HHR786449 HRN786449 IBJ786449 ILF786449 IVB786449 JEX786449 JOT786449 JYP786449 KIL786449 KSH786449 LCD786449 LLZ786449 LVV786449 MFR786449 MPN786449 MZJ786449 NJF786449 NTB786449 OCX786449 OMT786449 OWP786449 PGL786449 PQH786449 QAD786449 QJZ786449 QTV786449 RDR786449 RNN786449 RXJ786449 SHF786449 SRB786449 TAX786449 TKT786449 TUP786449 UEL786449 UOH786449 UYD786449 VHZ786449 VRV786449 WBR786449 WLN786449 WVJ786449 B851985 IX851985 ST851985 ACP851985 AML851985 AWH851985 BGD851985 BPZ851985 BZV851985 CJR851985 CTN851985 DDJ851985 DNF851985 DXB851985 EGX851985 EQT851985 FAP851985 FKL851985 FUH851985 GED851985 GNZ851985 GXV851985 HHR851985 HRN851985 IBJ851985 ILF851985 IVB851985 JEX851985 JOT851985 JYP851985 KIL851985 KSH851985 LCD851985 LLZ851985 LVV851985 MFR851985 MPN851985 MZJ851985 NJF851985 NTB851985 OCX851985 OMT851985 OWP851985 PGL851985 PQH851985 QAD851985 QJZ851985 QTV851985 RDR851985 RNN851985 RXJ851985 SHF851985 SRB851985 TAX851985 TKT851985 TUP851985 UEL851985 UOH851985 UYD851985 VHZ851985 VRV851985 WBR851985 WLN851985 WVJ851985 B917521 IX917521 ST917521 ACP917521 AML917521 AWH917521 BGD917521 BPZ917521 BZV917521 CJR917521 CTN917521 DDJ917521 DNF917521 DXB917521 EGX917521 EQT917521 FAP917521 FKL917521 FUH917521 GED917521 GNZ917521 GXV917521 HHR917521 HRN917521 IBJ917521 ILF917521 IVB917521 JEX917521 JOT917521 JYP917521 KIL917521 KSH917521 LCD917521 LLZ917521 LVV917521 MFR917521 MPN917521 MZJ917521 NJF917521 NTB917521 OCX917521 OMT917521 OWP917521 PGL917521 PQH917521 QAD917521 QJZ917521 QTV917521 RDR917521 RNN917521 RXJ917521 SHF917521 SRB917521 TAX917521 TKT917521 TUP917521 UEL917521 UOH917521 UYD917521 VHZ917521 VRV917521 WBR917521 WLN917521 WVJ917521 B983057 IX983057 ST983057 ACP983057 AML983057 AWH983057 BGD983057 BPZ983057 BZV983057 CJR983057 CTN983057 DDJ983057 DNF983057 DXB983057 EGX983057 EQT983057 FAP983057 FKL983057 FUH983057 GED983057 GNZ983057 GXV983057 HHR983057 HRN983057 IBJ983057 ILF983057 IVB983057 JEX983057 JOT983057 JYP983057 KIL983057 KSH983057 LCD983057 LLZ983057 LVV983057 MFR983057 MPN983057 MZJ983057 NJF983057 NTB983057 OCX983057 OMT983057 OWP983057 PGL983057 PQH983057 QAD983057 QJZ983057 QTV983057 RDR983057 RNN983057 RXJ983057 SHF983057 SRB983057 TAX983057 TKT983057 TUP983057 UEL983057 UOH983057 UYD983057 VHZ983057 VRV983057 WBR983057 WLN983057 WVJ983057 B21 IX21 ST21 ACP21 AML21 AWH21 BGD21 BPZ21 BZV21 CJR21 CTN21 DDJ21 DNF21 DXB21 EGX21 EQT21 FAP21 FKL21 FUH21 GED21 GNZ21 GXV21 HHR21 HRN21 IBJ21 ILF21 IVB21 JEX21 JOT21 JYP21 KIL21 KSH21 LCD21 LLZ21 LVV21 MFR21 MPN21 MZJ21 NJF21 NTB21 OCX21 OMT21 OWP21 PGL21 PQH21 QAD21 QJZ21 QTV21 RDR21 RNN21 RXJ21 SHF21 SRB21 TAX21 TKT21 TUP21 UEL21 UOH21 UYD21 VHZ21 VRV21 WBR21 WLN21 WVJ21 B65559 IX65559 ST65559 ACP65559 AML65559 AWH65559 BGD65559 BPZ65559 BZV65559 CJR65559 CTN65559 DDJ65559 DNF65559 DXB65559 EGX65559 EQT65559 FAP65559 FKL65559 FUH65559 GED65559 GNZ65559 GXV65559 HHR65559 HRN65559 IBJ65559 ILF65559 IVB65559 JEX65559 JOT65559 JYP65559 KIL65559 KSH65559 LCD65559 LLZ65559 LVV65559 MFR65559 MPN65559 MZJ65559 NJF65559 NTB65559 OCX65559 OMT65559 OWP65559 PGL65559 PQH65559 QAD65559 QJZ65559 QTV65559 RDR65559 RNN65559 RXJ65559 SHF65559 SRB65559 TAX65559 TKT65559 TUP65559 UEL65559 UOH65559 UYD65559 VHZ65559 VRV65559 WBR65559 WLN65559 WVJ65559 B131095 IX131095 ST131095 ACP131095 AML131095 AWH131095 BGD131095 BPZ131095 BZV131095 CJR131095 CTN131095 DDJ131095 DNF131095 DXB131095 EGX131095 EQT131095 FAP131095 FKL131095 FUH131095 GED131095 GNZ131095 GXV131095 HHR131095 HRN131095 IBJ131095 ILF131095 IVB131095 JEX131095 JOT131095 JYP131095 KIL131095 KSH131095 LCD131095 LLZ131095 LVV131095 MFR131095 MPN131095 MZJ131095 NJF131095 NTB131095 OCX131095 OMT131095 OWP131095 PGL131095 PQH131095 QAD131095 QJZ131095 QTV131095 RDR131095 RNN131095 RXJ131095 SHF131095 SRB131095 TAX131095 TKT131095 TUP131095 UEL131095 UOH131095 UYD131095 VHZ131095 VRV131095 WBR131095 WLN131095 WVJ131095 B196631 IX196631 ST196631 ACP196631 AML196631 AWH196631 BGD196631 BPZ196631 BZV196631 CJR196631 CTN196631 DDJ196631 DNF196631 DXB196631 EGX196631 EQT196631 FAP196631 FKL196631 FUH196631 GED196631 GNZ196631 GXV196631 HHR196631 HRN196631 IBJ196631 ILF196631 IVB196631 JEX196631 JOT196631 JYP196631 KIL196631 KSH196631 LCD196631 LLZ196631 LVV196631 MFR196631 MPN196631 MZJ196631 NJF196631 NTB196631 OCX196631 OMT196631 OWP196631 PGL196631 PQH196631 QAD196631 QJZ196631 QTV196631 RDR196631 RNN196631 RXJ196631 SHF196631 SRB196631 TAX196631 TKT196631 TUP196631 UEL196631 UOH196631 UYD196631 VHZ196631 VRV196631 WBR196631 WLN196631 WVJ196631 B262167 IX262167 ST262167 ACP262167 AML262167 AWH262167 BGD262167 BPZ262167 BZV262167 CJR262167 CTN262167 DDJ262167 DNF262167 DXB262167 EGX262167 EQT262167 FAP262167 FKL262167 FUH262167 GED262167 GNZ262167 GXV262167 HHR262167 HRN262167 IBJ262167 ILF262167 IVB262167 JEX262167 JOT262167 JYP262167 KIL262167 KSH262167 LCD262167 LLZ262167 LVV262167 MFR262167 MPN262167 MZJ262167 NJF262167 NTB262167 OCX262167 OMT262167 OWP262167 PGL262167 PQH262167 QAD262167 QJZ262167 QTV262167 RDR262167 RNN262167 RXJ262167 SHF262167 SRB262167 TAX262167 TKT262167 TUP262167 UEL262167 UOH262167 UYD262167 VHZ262167 VRV262167 WBR262167 WLN262167 WVJ262167 B327703 IX327703 ST327703 ACP327703 AML327703 AWH327703 BGD327703 BPZ327703 BZV327703 CJR327703 CTN327703 DDJ327703 DNF327703 DXB327703 EGX327703 EQT327703 FAP327703 FKL327703 FUH327703 GED327703 GNZ327703 GXV327703 HHR327703 HRN327703 IBJ327703 ILF327703 IVB327703 JEX327703 JOT327703 JYP327703 KIL327703 KSH327703 LCD327703 LLZ327703 LVV327703 MFR327703 MPN327703 MZJ327703 NJF327703 NTB327703 OCX327703 OMT327703 OWP327703 PGL327703 PQH327703 QAD327703 QJZ327703 QTV327703 RDR327703 RNN327703 RXJ327703 SHF327703 SRB327703 TAX327703 TKT327703 TUP327703 UEL327703 UOH327703 UYD327703 VHZ327703 VRV327703 WBR327703 WLN327703 WVJ327703 B393239 IX393239 ST393239 ACP393239 AML393239 AWH393239 BGD393239 BPZ393239 BZV393239 CJR393239 CTN393239 DDJ393239 DNF393239 DXB393239 EGX393239 EQT393239 FAP393239 FKL393239 FUH393239 GED393239 GNZ393239 GXV393239 HHR393239 HRN393239 IBJ393239 ILF393239 IVB393239 JEX393239 JOT393239 JYP393239 KIL393239 KSH393239 LCD393239 LLZ393239 LVV393239 MFR393239 MPN393239 MZJ393239 NJF393239 NTB393239 OCX393239 OMT393239 OWP393239 PGL393239 PQH393239 QAD393239 QJZ393239 QTV393239 RDR393239 RNN393239 RXJ393239 SHF393239 SRB393239 TAX393239 TKT393239 TUP393239 UEL393239 UOH393239 UYD393239 VHZ393239 VRV393239 WBR393239 WLN393239 WVJ393239 B458775 IX458775 ST458775 ACP458775 AML458775 AWH458775 BGD458775 BPZ458775 BZV458775 CJR458775 CTN458775 DDJ458775 DNF458775 DXB458775 EGX458775 EQT458775 FAP458775 FKL458775 FUH458775 GED458775 GNZ458775 GXV458775 HHR458775 HRN458775 IBJ458775 ILF458775 IVB458775 JEX458775 JOT458775 JYP458775 KIL458775 KSH458775 LCD458775 LLZ458775 LVV458775 MFR458775 MPN458775 MZJ458775 NJF458775 NTB458775 OCX458775 OMT458775 OWP458775 PGL458775 PQH458775 QAD458775 QJZ458775 QTV458775 RDR458775 RNN458775 RXJ458775 SHF458775 SRB458775 TAX458775 TKT458775 TUP458775 UEL458775 UOH458775 UYD458775 VHZ458775 VRV458775 WBR458775 WLN458775 WVJ458775 B524311 IX524311 ST524311 ACP524311 AML524311 AWH524311 BGD524311 BPZ524311 BZV524311 CJR524311 CTN524311 DDJ524311 DNF524311 DXB524311 EGX524311 EQT524311 FAP524311 FKL524311 FUH524311 GED524311 GNZ524311 GXV524311 HHR524311 HRN524311 IBJ524311 ILF524311 IVB524311 JEX524311 JOT524311 JYP524311 KIL524311 KSH524311 LCD524311 LLZ524311 LVV524311 MFR524311 MPN524311 MZJ524311 NJF524311 NTB524311 OCX524311 OMT524311 OWP524311 PGL524311 PQH524311 QAD524311 QJZ524311 QTV524311 RDR524311 RNN524311 RXJ524311 SHF524311 SRB524311 TAX524311 TKT524311 TUP524311 UEL524311 UOH524311 UYD524311 VHZ524311 VRV524311 WBR524311 WLN524311 WVJ524311 B589847 IX589847 ST589847 ACP589847 AML589847 AWH589847 BGD589847 BPZ589847 BZV589847 CJR589847 CTN589847 DDJ589847 DNF589847 DXB589847 EGX589847 EQT589847 FAP589847 FKL589847 FUH589847 GED589847 GNZ589847 GXV589847 HHR589847 HRN589847 IBJ589847 ILF589847 IVB589847 JEX589847 JOT589847 JYP589847 KIL589847 KSH589847 LCD589847 LLZ589847 LVV589847 MFR589847 MPN589847 MZJ589847 NJF589847 NTB589847 OCX589847 OMT589847 OWP589847 PGL589847 PQH589847 QAD589847 QJZ589847 QTV589847 RDR589847 RNN589847 RXJ589847 SHF589847 SRB589847 TAX589847 TKT589847 TUP589847 UEL589847 UOH589847 UYD589847 VHZ589847 VRV589847 WBR589847 WLN589847 WVJ589847 B655383 IX655383 ST655383 ACP655383 AML655383 AWH655383 BGD655383 BPZ655383 BZV655383 CJR655383 CTN655383 DDJ655383 DNF655383 DXB655383 EGX655383 EQT655383 FAP655383 FKL655383 FUH655383 GED655383 GNZ655383 GXV655383 HHR655383 HRN655383 IBJ655383 ILF655383 IVB655383 JEX655383 JOT655383 JYP655383 KIL655383 KSH655383 LCD655383 LLZ655383 LVV655383 MFR655383 MPN655383 MZJ655383 NJF655383 NTB655383 OCX655383 OMT655383 OWP655383 PGL655383 PQH655383 QAD655383 QJZ655383 QTV655383 RDR655383 RNN655383 RXJ655383 SHF655383 SRB655383 TAX655383 TKT655383 TUP655383 UEL655383 UOH655383 UYD655383 VHZ655383 VRV655383 WBR655383 WLN655383 WVJ655383 B720919 IX720919 ST720919 ACP720919 AML720919 AWH720919 BGD720919 BPZ720919 BZV720919 CJR720919 CTN720919 DDJ720919 DNF720919 DXB720919 EGX720919 EQT720919 FAP720919 FKL720919 FUH720919 GED720919 GNZ720919 GXV720919 HHR720919 HRN720919 IBJ720919 ILF720919 IVB720919 JEX720919 JOT720919 JYP720919 KIL720919 KSH720919 LCD720919 LLZ720919 LVV720919 MFR720919 MPN720919 MZJ720919 NJF720919 NTB720919 OCX720919 OMT720919 OWP720919 PGL720919 PQH720919 QAD720919 QJZ720919 QTV720919 RDR720919 RNN720919 RXJ720919 SHF720919 SRB720919 TAX720919 TKT720919 TUP720919 UEL720919 UOH720919 UYD720919 VHZ720919 VRV720919 WBR720919 WLN720919 WVJ720919 B786455 IX786455 ST786455 ACP786455 AML786455 AWH786455 BGD786455 BPZ786455 BZV786455 CJR786455 CTN786455 DDJ786455 DNF786455 DXB786455 EGX786455 EQT786455 FAP786455 FKL786455 FUH786455 GED786455 GNZ786455 GXV786455 HHR786455 HRN786455 IBJ786455 ILF786455 IVB786455 JEX786455 JOT786455 JYP786455 KIL786455 KSH786455 LCD786455 LLZ786455 LVV786455 MFR786455 MPN786455 MZJ786455 NJF786455 NTB786455 OCX786455 OMT786455 OWP786455 PGL786455 PQH786455 QAD786455 QJZ786455 QTV786455 RDR786455 RNN786455 RXJ786455 SHF786455 SRB786455 TAX786455 TKT786455 TUP786455 UEL786455 UOH786455 UYD786455 VHZ786455 VRV786455 WBR786455 WLN786455 WVJ786455 B851991 IX851991 ST851991 ACP851991 AML851991 AWH851991 BGD851991 BPZ851991 BZV851991 CJR851991 CTN851991 DDJ851991 DNF851991 DXB851991 EGX851991 EQT851991 FAP851991 FKL851991 FUH851991 GED851991 GNZ851991 GXV851991 HHR851991 HRN851991 IBJ851991 ILF851991 IVB851991 JEX851991 JOT851991 JYP851991 KIL851991 KSH851991 LCD851991 LLZ851991 LVV851991 MFR851991 MPN851991 MZJ851991 NJF851991 NTB851991 OCX851991 OMT851991 OWP851991 PGL851991 PQH851991 QAD851991 QJZ851991 QTV851991 RDR851991 RNN851991 RXJ851991 SHF851991 SRB851991 TAX851991 TKT851991 TUP851991 UEL851991 UOH851991 UYD851991 VHZ851991 VRV851991 WBR851991 WLN851991 WVJ851991 B917527 IX917527 ST917527 ACP917527 AML917527 AWH917527 BGD917527 BPZ917527 BZV917527 CJR917527 CTN917527 DDJ917527 DNF917527 DXB917527 EGX917527 EQT917527 FAP917527 FKL917527 FUH917527 GED917527 GNZ917527 GXV917527 HHR917527 HRN917527 IBJ917527 ILF917527 IVB917527 JEX917527 JOT917527 JYP917527 KIL917527 KSH917527 LCD917527 LLZ917527 LVV917527 MFR917527 MPN917527 MZJ917527 NJF917527 NTB917527 OCX917527 OMT917527 OWP917527 PGL917527 PQH917527 QAD917527 QJZ917527 QTV917527 RDR917527 RNN917527 RXJ917527 SHF917527 SRB917527 TAX917527 TKT917527 TUP917527 UEL917527 UOH917527 UYD917527 VHZ917527 VRV917527 WBR917527 WLN917527 WVJ917527 B983063 IX983063 ST983063 ACP983063 AML983063 AWH983063 BGD983063 BPZ983063 BZV983063 CJR983063 CTN983063 DDJ983063 DNF983063 DXB983063 EGX983063 EQT983063 FAP983063 FKL983063 FUH983063 GED983063 GNZ983063 GXV983063 HHR983063 HRN983063 IBJ983063 ILF983063 IVB983063 JEX983063 JOT983063 JYP983063 KIL983063 KSH983063 LCD983063 LLZ983063 LVV983063 MFR983063 MPN983063 MZJ983063 NJF983063 NTB983063 OCX983063 OMT983063 OWP983063 PGL983063 PQH983063 QAD983063 QJZ983063 QTV983063 RDR983063 RNN983063 RXJ983063 SHF983063 SRB983063 TAX983063 TKT983063 TUP983063 UEL983063 UOH983063 UYD983063 VHZ983063 VRV983063 WBR983063 WLN983063 WVJ983063 B19 IX19 ST19 ACP19 AML19 AWH19 BGD19 BPZ19 BZV19 CJR19 CTN19 DDJ19 DNF19 DXB19 EGX19 EQT19 FAP19 FKL19 FUH19 GED19 GNZ19 GXV19 HHR19 HRN19 IBJ19 ILF19 IVB19 JEX19 JOT19 JYP19 KIL19 KSH19 LCD19 LLZ19 LVV19 MFR19 MPN19 MZJ19 NJF19 NTB19 OCX19 OMT19 OWP19 PGL19 PQH19 QAD19 QJZ19 QTV19 RDR19 RNN19 RXJ19 SHF19 SRB19 TAX19 TKT19 TUP19 UEL19 UOH19 UYD19 VHZ19 VRV19 WBR19 WLN19 WVJ19 B65557 IX65557 ST65557 ACP65557 AML65557 AWH65557 BGD65557 BPZ65557 BZV65557 CJR65557 CTN65557 DDJ65557 DNF65557 DXB65557 EGX65557 EQT65557 FAP65557 FKL65557 FUH65557 GED65557 GNZ65557 GXV65557 HHR65557 HRN65557 IBJ65557 ILF65557 IVB65557 JEX65557 JOT65557 JYP65557 KIL65557 KSH65557 LCD65557 LLZ65557 LVV65557 MFR65557 MPN65557 MZJ65557 NJF65557 NTB65557 OCX65557 OMT65557 OWP65557 PGL65557 PQH65557 QAD65557 QJZ65557 QTV65557 RDR65557 RNN65557 RXJ65557 SHF65557 SRB65557 TAX65557 TKT65557 TUP65557 UEL65557 UOH65557 UYD65557 VHZ65557 VRV65557 WBR65557 WLN65557 WVJ65557 B131093 IX131093 ST131093 ACP131093 AML131093 AWH131093 BGD131093 BPZ131093 BZV131093 CJR131093 CTN131093 DDJ131093 DNF131093 DXB131093 EGX131093 EQT131093 FAP131093 FKL131093 FUH131093 GED131093 GNZ131093 GXV131093 HHR131093 HRN131093 IBJ131093 ILF131093 IVB131093 JEX131093 JOT131093 JYP131093 KIL131093 KSH131093 LCD131093 LLZ131093 LVV131093 MFR131093 MPN131093 MZJ131093 NJF131093 NTB131093 OCX131093 OMT131093 OWP131093 PGL131093 PQH131093 QAD131093 QJZ131093 QTV131093 RDR131093 RNN131093 RXJ131093 SHF131093 SRB131093 TAX131093 TKT131093 TUP131093 UEL131093 UOH131093 UYD131093 VHZ131093 VRV131093 WBR131093 WLN131093 WVJ131093 B196629 IX196629 ST196629 ACP196629 AML196629 AWH196629 BGD196629 BPZ196629 BZV196629 CJR196629 CTN196629 DDJ196629 DNF196629 DXB196629 EGX196629 EQT196629 FAP196629 FKL196629 FUH196629 GED196629 GNZ196629 GXV196629 HHR196629 HRN196629 IBJ196629 ILF196629 IVB196629 JEX196629 JOT196629 JYP196629 KIL196629 KSH196629 LCD196629 LLZ196629 LVV196629 MFR196629 MPN196629 MZJ196629 NJF196629 NTB196629 OCX196629 OMT196629 OWP196629 PGL196629 PQH196629 QAD196629 QJZ196629 QTV196629 RDR196629 RNN196629 RXJ196629 SHF196629 SRB196629 TAX196629 TKT196629 TUP196629 UEL196629 UOH196629 UYD196629 VHZ196629 VRV196629 WBR196629 WLN196629 WVJ196629 B262165 IX262165 ST262165 ACP262165 AML262165 AWH262165 BGD262165 BPZ262165 BZV262165 CJR262165 CTN262165 DDJ262165 DNF262165 DXB262165 EGX262165 EQT262165 FAP262165 FKL262165 FUH262165 GED262165 GNZ262165 GXV262165 HHR262165 HRN262165 IBJ262165 ILF262165 IVB262165 JEX262165 JOT262165 JYP262165 KIL262165 KSH262165 LCD262165 LLZ262165 LVV262165 MFR262165 MPN262165 MZJ262165 NJF262165 NTB262165 OCX262165 OMT262165 OWP262165 PGL262165 PQH262165 QAD262165 QJZ262165 QTV262165 RDR262165 RNN262165 RXJ262165 SHF262165 SRB262165 TAX262165 TKT262165 TUP262165 UEL262165 UOH262165 UYD262165 VHZ262165 VRV262165 WBR262165 WLN262165 WVJ262165 B327701 IX327701 ST327701 ACP327701 AML327701 AWH327701 BGD327701 BPZ327701 BZV327701 CJR327701 CTN327701 DDJ327701 DNF327701 DXB327701 EGX327701 EQT327701 FAP327701 FKL327701 FUH327701 GED327701 GNZ327701 GXV327701 HHR327701 HRN327701 IBJ327701 ILF327701 IVB327701 JEX327701 JOT327701 JYP327701 KIL327701 KSH327701 LCD327701 LLZ327701 LVV327701 MFR327701 MPN327701 MZJ327701 NJF327701 NTB327701 OCX327701 OMT327701 OWP327701 PGL327701 PQH327701 QAD327701 QJZ327701 QTV327701 RDR327701 RNN327701 RXJ327701 SHF327701 SRB327701 TAX327701 TKT327701 TUP327701 UEL327701 UOH327701 UYD327701 VHZ327701 VRV327701 WBR327701 WLN327701 WVJ327701 B393237 IX393237 ST393237 ACP393237 AML393237 AWH393237 BGD393237 BPZ393237 BZV393237 CJR393237 CTN393237 DDJ393237 DNF393237 DXB393237 EGX393237 EQT393237 FAP393237 FKL393237 FUH393237 GED393237 GNZ393237 GXV393237 HHR393237 HRN393237 IBJ393237 ILF393237 IVB393237 JEX393237 JOT393237 JYP393237 KIL393237 KSH393237 LCD393237 LLZ393237 LVV393237 MFR393237 MPN393237 MZJ393237 NJF393237 NTB393237 OCX393237 OMT393237 OWP393237 PGL393237 PQH393237 QAD393237 QJZ393237 QTV393237 RDR393237 RNN393237 RXJ393237 SHF393237 SRB393237 TAX393237 TKT393237 TUP393237 UEL393237 UOH393237 UYD393237 VHZ393237 VRV393237 WBR393237 WLN393237 WVJ393237 B458773 IX458773 ST458773 ACP458773 AML458773 AWH458773 BGD458773 BPZ458773 BZV458773 CJR458773 CTN458773 DDJ458773 DNF458773 DXB458773 EGX458773 EQT458773 FAP458773 FKL458773 FUH458773 GED458773 GNZ458773 GXV458773 HHR458773 HRN458773 IBJ458773 ILF458773 IVB458773 JEX458773 JOT458773 JYP458773 KIL458773 KSH458773 LCD458773 LLZ458773 LVV458773 MFR458773 MPN458773 MZJ458773 NJF458773 NTB458773 OCX458773 OMT458773 OWP458773 PGL458773 PQH458773 QAD458773 QJZ458773 QTV458773 RDR458773 RNN458773 RXJ458773 SHF458773 SRB458773 TAX458773 TKT458773 TUP458773 UEL458773 UOH458773 UYD458773 VHZ458773 VRV458773 WBR458773 WLN458773 WVJ458773 B524309 IX524309 ST524309 ACP524309 AML524309 AWH524309 BGD524309 BPZ524309 BZV524309 CJR524309 CTN524309 DDJ524309 DNF524309 DXB524309 EGX524309 EQT524309 FAP524309 FKL524309 FUH524309 GED524309 GNZ524309 GXV524309 HHR524309 HRN524309 IBJ524309 ILF524309 IVB524309 JEX524309 JOT524309 JYP524309 KIL524309 KSH524309 LCD524309 LLZ524309 LVV524309 MFR524309 MPN524309 MZJ524309 NJF524309 NTB524309 OCX524309 OMT524309 OWP524309 PGL524309 PQH524309 QAD524309 QJZ524309 QTV524309 RDR524309 RNN524309 RXJ524309 SHF524309 SRB524309 TAX524309 TKT524309 TUP524309 UEL524309 UOH524309 UYD524309 VHZ524309 VRV524309 WBR524309 WLN524309 WVJ524309 B589845 IX589845 ST589845 ACP589845 AML589845 AWH589845 BGD589845 BPZ589845 BZV589845 CJR589845 CTN589845 DDJ589845 DNF589845 DXB589845 EGX589845 EQT589845 FAP589845 FKL589845 FUH589845 GED589845 GNZ589845 GXV589845 HHR589845 HRN589845 IBJ589845 ILF589845 IVB589845 JEX589845 JOT589845 JYP589845 KIL589845 KSH589845 LCD589845 LLZ589845 LVV589845 MFR589845 MPN589845 MZJ589845 NJF589845 NTB589845 OCX589845 OMT589845 OWP589845 PGL589845 PQH589845 QAD589845 QJZ589845 QTV589845 RDR589845 RNN589845 RXJ589845 SHF589845 SRB589845 TAX589845 TKT589845 TUP589845 UEL589845 UOH589845 UYD589845 VHZ589845 VRV589845 WBR589845 WLN589845 WVJ589845 B655381 IX655381 ST655381 ACP655381 AML655381 AWH655381 BGD655381 BPZ655381 BZV655381 CJR655381 CTN655381 DDJ655381 DNF655381 DXB655381 EGX655381 EQT655381 FAP655381 FKL655381 FUH655381 GED655381 GNZ655381 GXV655381 HHR655381 HRN655381 IBJ655381 ILF655381 IVB655381 JEX655381 JOT655381 JYP655381 KIL655381 KSH655381 LCD655381 LLZ655381 LVV655381 MFR655381 MPN655381 MZJ655381 NJF655381 NTB655381 OCX655381 OMT655381 OWP655381 PGL655381 PQH655381 QAD655381 QJZ655381 QTV655381 RDR655381 RNN655381 RXJ655381 SHF655381 SRB655381 TAX655381 TKT655381 TUP655381 UEL655381 UOH655381 UYD655381 VHZ655381 VRV655381 WBR655381 WLN655381 WVJ655381 B720917 IX720917 ST720917 ACP720917 AML720917 AWH720917 BGD720917 BPZ720917 BZV720917 CJR720917 CTN720917 DDJ720917 DNF720917 DXB720917 EGX720917 EQT720917 FAP720917 FKL720917 FUH720917 GED720917 GNZ720917 GXV720917 HHR720917 HRN720917 IBJ720917 ILF720917 IVB720917 JEX720917 JOT720917 JYP720917 KIL720917 KSH720917 LCD720917 LLZ720917 LVV720917 MFR720917 MPN720917 MZJ720917 NJF720917 NTB720917 OCX720917 OMT720917 OWP720917 PGL720917 PQH720917 QAD720917 QJZ720917 QTV720917 RDR720917 RNN720917 RXJ720917 SHF720917 SRB720917 TAX720917 TKT720917 TUP720917 UEL720917 UOH720917 UYD720917 VHZ720917 VRV720917 WBR720917 WLN720917 WVJ720917 B786453 IX786453 ST786453 ACP786453 AML786453 AWH786453 BGD786453 BPZ786453 BZV786453 CJR786453 CTN786453 DDJ786453 DNF786453 DXB786453 EGX786453 EQT786453 FAP786453 FKL786453 FUH786453 GED786453 GNZ786453 GXV786453 HHR786453 HRN786453 IBJ786453 ILF786453 IVB786453 JEX786453 JOT786453 JYP786453 KIL786453 KSH786453 LCD786453 LLZ786453 LVV786453 MFR786453 MPN786453 MZJ786453 NJF786453 NTB786453 OCX786453 OMT786453 OWP786453 PGL786453 PQH786453 QAD786453 QJZ786453 QTV786453 RDR786453 RNN786453 RXJ786453 SHF786453 SRB786453 TAX786453 TKT786453 TUP786453 UEL786453 UOH786453 UYD786453 VHZ786453 VRV786453 WBR786453 WLN786453 WVJ786453 B851989 IX851989 ST851989 ACP851989 AML851989 AWH851989 BGD851989 BPZ851989 BZV851989 CJR851989 CTN851989 DDJ851989 DNF851989 DXB851989 EGX851989 EQT851989 FAP851989 FKL851989 FUH851989 GED851989 GNZ851989 GXV851989 HHR851989 HRN851989 IBJ851989 ILF851989 IVB851989 JEX851989 JOT851989 JYP851989 KIL851989 KSH851989 LCD851989 LLZ851989 LVV851989 MFR851989 MPN851989 MZJ851989 NJF851989 NTB851989 OCX851989 OMT851989 OWP851989 PGL851989 PQH851989 QAD851989 QJZ851989 QTV851989 RDR851989 RNN851989 RXJ851989 SHF851989 SRB851989 TAX851989 TKT851989 TUP851989 UEL851989 UOH851989 UYD851989 VHZ851989 VRV851989 WBR851989 WLN851989 WVJ851989 B917525 IX917525 ST917525 ACP917525 AML917525 AWH917525 BGD917525 BPZ917525 BZV917525 CJR917525 CTN917525 DDJ917525 DNF917525 DXB917525 EGX917525 EQT917525 FAP917525 FKL917525 FUH917525 GED917525 GNZ917525 GXV917525 HHR917525 HRN917525 IBJ917525 ILF917525 IVB917525 JEX917525 JOT917525 JYP917525 KIL917525 KSH917525 LCD917525 LLZ917525 LVV917525 MFR917525 MPN917525 MZJ917525 NJF917525 NTB917525 OCX917525 OMT917525 OWP917525 PGL917525 PQH917525 QAD917525 QJZ917525 QTV917525 RDR917525 RNN917525 RXJ917525 SHF917525 SRB917525 TAX917525 TKT917525 TUP917525 UEL917525 UOH917525 UYD917525 VHZ917525 VRV917525 WBR917525 WLN917525 WVJ917525 B983061 IX983061 ST983061 ACP983061 AML983061 AWH983061 BGD983061 BPZ983061 BZV983061 CJR983061 CTN983061 DDJ983061 DNF983061 DXB983061 EGX983061 EQT983061 FAP983061 FKL983061 FUH983061 GED983061 GNZ983061 GXV983061 HHR983061 HRN983061 IBJ983061 ILF983061 IVB983061 JEX983061 JOT983061 JYP983061 KIL983061 KSH983061 LCD983061 LLZ983061 LVV983061 MFR983061 MPN983061 MZJ983061 NJF983061 NTB983061 OCX983061 OMT983061 OWP983061 PGL983061 PQH983061 QAD983061 QJZ983061 QTV983061 RDR983061 RNN983061 RXJ983061 SHF983061 SRB983061 TAX983061 TKT983061 TUP983061 UEL983061 UOH983061 UYD983061 VHZ983061 VRV983061 WBR983061 WLN983061 WVJ983061">
      <formula1>0</formula1>
    </dataValidation>
  </dataValidations>
  <pageMargins left="0.78740157480314965" right="0.19685039370078741" top="0.39370078740157483" bottom="0.39370078740157483" header="0.51181102362204722" footer="0.51181102362204722"/>
  <pageSetup paperSize="9" scale="69" fitToHeight="2"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selection activeCell="G5" sqref="G5"/>
    </sheetView>
  </sheetViews>
  <sheetFormatPr defaultRowHeight="12.75" x14ac:dyDescent="0.2"/>
  <cols>
    <col min="1" max="1" width="23" bestFit="1" customWidth="1"/>
    <col min="2" max="2" width="9.85546875" customWidth="1"/>
    <col min="3" max="3" width="8.5703125" bestFit="1" customWidth="1"/>
    <col min="4" max="4" width="12.140625" bestFit="1" customWidth="1"/>
    <col min="5" max="5" width="10.140625" customWidth="1"/>
    <col min="6" max="6" width="28.7109375" bestFit="1" customWidth="1"/>
    <col min="7" max="7" width="13.5703125" bestFit="1" customWidth="1"/>
    <col min="8" max="8" width="8" customWidth="1"/>
    <col min="10" max="10" width="27.85546875" bestFit="1" customWidth="1"/>
    <col min="257" max="257" width="23" bestFit="1" customWidth="1"/>
    <col min="258" max="258" width="9.85546875" customWidth="1"/>
    <col min="259" max="259" width="8.5703125" bestFit="1" customWidth="1"/>
    <col min="260" max="260" width="12.140625" bestFit="1" customWidth="1"/>
    <col min="261" max="261" width="10.140625" customWidth="1"/>
    <col min="262" max="262" width="28.7109375" bestFit="1" customWidth="1"/>
    <col min="263" max="263" width="13.5703125" bestFit="1" customWidth="1"/>
    <col min="264" max="264" width="8" customWidth="1"/>
    <col min="266" max="266" width="27.85546875" bestFit="1" customWidth="1"/>
    <col min="513" max="513" width="23" bestFit="1" customWidth="1"/>
    <col min="514" max="514" width="9.85546875" customWidth="1"/>
    <col min="515" max="515" width="8.5703125" bestFit="1" customWidth="1"/>
    <col min="516" max="516" width="12.140625" bestFit="1" customWidth="1"/>
    <col min="517" max="517" width="10.140625" customWidth="1"/>
    <col min="518" max="518" width="28.7109375" bestFit="1" customWidth="1"/>
    <col min="519" max="519" width="13.5703125" bestFit="1" customWidth="1"/>
    <col min="520" max="520" width="8" customWidth="1"/>
    <col min="522" max="522" width="27.85546875" bestFit="1" customWidth="1"/>
    <col min="769" max="769" width="23" bestFit="1" customWidth="1"/>
    <col min="770" max="770" width="9.85546875" customWidth="1"/>
    <col min="771" max="771" width="8.5703125" bestFit="1" customWidth="1"/>
    <col min="772" max="772" width="12.140625" bestFit="1" customWidth="1"/>
    <col min="773" max="773" width="10.140625" customWidth="1"/>
    <col min="774" max="774" width="28.7109375" bestFit="1" customWidth="1"/>
    <col min="775" max="775" width="13.5703125" bestFit="1" customWidth="1"/>
    <col min="776" max="776" width="8" customWidth="1"/>
    <col min="778" max="778" width="27.85546875" bestFit="1" customWidth="1"/>
    <col min="1025" max="1025" width="23" bestFit="1" customWidth="1"/>
    <col min="1026" max="1026" width="9.85546875" customWidth="1"/>
    <col min="1027" max="1027" width="8.5703125" bestFit="1" customWidth="1"/>
    <col min="1028" max="1028" width="12.140625" bestFit="1" customWidth="1"/>
    <col min="1029" max="1029" width="10.140625" customWidth="1"/>
    <col min="1030" max="1030" width="28.7109375" bestFit="1" customWidth="1"/>
    <col min="1031" max="1031" width="13.5703125" bestFit="1" customWidth="1"/>
    <col min="1032" max="1032" width="8" customWidth="1"/>
    <col min="1034" max="1034" width="27.85546875" bestFit="1" customWidth="1"/>
    <col min="1281" max="1281" width="23" bestFit="1" customWidth="1"/>
    <col min="1282" max="1282" width="9.85546875" customWidth="1"/>
    <col min="1283" max="1283" width="8.5703125" bestFit="1" customWidth="1"/>
    <col min="1284" max="1284" width="12.140625" bestFit="1" customWidth="1"/>
    <col min="1285" max="1285" width="10.140625" customWidth="1"/>
    <col min="1286" max="1286" width="28.7109375" bestFit="1" customWidth="1"/>
    <col min="1287" max="1287" width="13.5703125" bestFit="1" customWidth="1"/>
    <col min="1288" max="1288" width="8" customWidth="1"/>
    <col min="1290" max="1290" width="27.85546875" bestFit="1" customWidth="1"/>
    <col min="1537" max="1537" width="23" bestFit="1" customWidth="1"/>
    <col min="1538" max="1538" width="9.85546875" customWidth="1"/>
    <col min="1539" max="1539" width="8.5703125" bestFit="1" customWidth="1"/>
    <col min="1540" max="1540" width="12.140625" bestFit="1" customWidth="1"/>
    <col min="1541" max="1541" width="10.140625" customWidth="1"/>
    <col min="1542" max="1542" width="28.7109375" bestFit="1" customWidth="1"/>
    <col min="1543" max="1543" width="13.5703125" bestFit="1" customWidth="1"/>
    <col min="1544" max="1544" width="8" customWidth="1"/>
    <col min="1546" max="1546" width="27.85546875" bestFit="1" customWidth="1"/>
    <col min="1793" max="1793" width="23" bestFit="1" customWidth="1"/>
    <col min="1794" max="1794" width="9.85546875" customWidth="1"/>
    <col min="1795" max="1795" width="8.5703125" bestFit="1" customWidth="1"/>
    <col min="1796" max="1796" width="12.140625" bestFit="1" customWidth="1"/>
    <col min="1797" max="1797" width="10.140625" customWidth="1"/>
    <col min="1798" max="1798" width="28.7109375" bestFit="1" customWidth="1"/>
    <col min="1799" max="1799" width="13.5703125" bestFit="1" customWidth="1"/>
    <col min="1800" max="1800" width="8" customWidth="1"/>
    <col min="1802" max="1802" width="27.85546875" bestFit="1" customWidth="1"/>
    <col min="2049" max="2049" width="23" bestFit="1" customWidth="1"/>
    <col min="2050" max="2050" width="9.85546875" customWidth="1"/>
    <col min="2051" max="2051" width="8.5703125" bestFit="1" customWidth="1"/>
    <col min="2052" max="2052" width="12.140625" bestFit="1" customWidth="1"/>
    <col min="2053" max="2053" width="10.140625" customWidth="1"/>
    <col min="2054" max="2054" width="28.7109375" bestFit="1" customWidth="1"/>
    <col min="2055" max="2055" width="13.5703125" bestFit="1" customWidth="1"/>
    <col min="2056" max="2056" width="8" customWidth="1"/>
    <col min="2058" max="2058" width="27.85546875" bestFit="1" customWidth="1"/>
    <col min="2305" max="2305" width="23" bestFit="1" customWidth="1"/>
    <col min="2306" max="2306" width="9.85546875" customWidth="1"/>
    <col min="2307" max="2307" width="8.5703125" bestFit="1" customWidth="1"/>
    <col min="2308" max="2308" width="12.140625" bestFit="1" customWidth="1"/>
    <col min="2309" max="2309" width="10.140625" customWidth="1"/>
    <col min="2310" max="2310" width="28.7109375" bestFit="1" customWidth="1"/>
    <col min="2311" max="2311" width="13.5703125" bestFit="1" customWidth="1"/>
    <col min="2312" max="2312" width="8" customWidth="1"/>
    <col min="2314" max="2314" width="27.85546875" bestFit="1" customWidth="1"/>
    <col min="2561" max="2561" width="23" bestFit="1" customWidth="1"/>
    <col min="2562" max="2562" width="9.85546875" customWidth="1"/>
    <col min="2563" max="2563" width="8.5703125" bestFit="1" customWidth="1"/>
    <col min="2564" max="2564" width="12.140625" bestFit="1" customWidth="1"/>
    <col min="2565" max="2565" width="10.140625" customWidth="1"/>
    <col min="2566" max="2566" width="28.7109375" bestFit="1" customWidth="1"/>
    <col min="2567" max="2567" width="13.5703125" bestFit="1" customWidth="1"/>
    <col min="2568" max="2568" width="8" customWidth="1"/>
    <col min="2570" max="2570" width="27.85546875" bestFit="1" customWidth="1"/>
    <col min="2817" max="2817" width="23" bestFit="1" customWidth="1"/>
    <col min="2818" max="2818" width="9.85546875" customWidth="1"/>
    <col min="2819" max="2819" width="8.5703125" bestFit="1" customWidth="1"/>
    <col min="2820" max="2820" width="12.140625" bestFit="1" customWidth="1"/>
    <col min="2821" max="2821" width="10.140625" customWidth="1"/>
    <col min="2822" max="2822" width="28.7109375" bestFit="1" customWidth="1"/>
    <col min="2823" max="2823" width="13.5703125" bestFit="1" customWidth="1"/>
    <col min="2824" max="2824" width="8" customWidth="1"/>
    <col min="2826" max="2826" width="27.85546875" bestFit="1" customWidth="1"/>
    <col min="3073" max="3073" width="23" bestFit="1" customWidth="1"/>
    <col min="3074" max="3074" width="9.85546875" customWidth="1"/>
    <col min="3075" max="3075" width="8.5703125" bestFit="1" customWidth="1"/>
    <col min="3076" max="3076" width="12.140625" bestFit="1" customWidth="1"/>
    <col min="3077" max="3077" width="10.140625" customWidth="1"/>
    <col min="3078" max="3078" width="28.7109375" bestFit="1" customWidth="1"/>
    <col min="3079" max="3079" width="13.5703125" bestFit="1" customWidth="1"/>
    <col min="3080" max="3080" width="8" customWidth="1"/>
    <col min="3082" max="3082" width="27.85546875" bestFit="1" customWidth="1"/>
    <col min="3329" max="3329" width="23" bestFit="1" customWidth="1"/>
    <col min="3330" max="3330" width="9.85546875" customWidth="1"/>
    <col min="3331" max="3331" width="8.5703125" bestFit="1" customWidth="1"/>
    <col min="3332" max="3332" width="12.140625" bestFit="1" customWidth="1"/>
    <col min="3333" max="3333" width="10.140625" customWidth="1"/>
    <col min="3334" max="3334" width="28.7109375" bestFit="1" customWidth="1"/>
    <col min="3335" max="3335" width="13.5703125" bestFit="1" customWidth="1"/>
    <col min="3336" max="3336" width="8" customWidth="1"/>
    <col min="3338" max="3338" width="27.85546875" bestFit="1" customWidth="1"/>
    <col min="3585" max="3585" width="23" bestFit="1" customWidth="1"/>
    <col min="3586" max="3586" width="9.85546875" customWidth="1"/>
    <col min="3587" max="3587" width="8.5703125" bestFit="1" customWidth="1"/>
    <col min="3588" max="3588" width="12.140625" bestFit="1" customWidth="1"/>
    <col min="3589" max="3589" width="10.140625" customWidth="1"/>
    <col min="3590" max="3590" width="28.7109375" bestFit="1" customWidth="1"/>
    <col min="3591" max="3591" width="13.5703125" bestFit="1" customWidth="1"/>
    <col min="3592" max="3592" width="8" customWidth="1"/>
    <col min="3594" max="3594" width="27.85546875" bestFit="1" customWidth="1"/>
    <col min="3841" max="3841" width="23" bestFit="1" customWidth="1"/>
    <col min="3842" max="3842" width="9.85546875" customWidth="1"/>
    <col min="3843" max="3843" width="8.5703125" bestFit="1" customWidth="1"/>
    <col min="3844" max="3844" width="12.140625" bestFit="1" customWidth="1"/>
    <col min="3845" max="3845" width="10.140625" customWidth="1"/>
    <col min="3846" max="3846" width="28.7109375" bestFit="1" customWidth="1"/>
    <col min="3847" max="3847" width="13.5703125" bestFit="1" customWidth="1"/>
    <col min="3848" max="3848" width="8" customWidth="1"/>
    <col min="3850" max="3850" width="27.85546875" bestFit="1" customWidth="1"/>
    <col min="4097" max="4097" width="23" bestFit="1" customWidth="1"/>
    <col min="4098" max="4098" width="9.85546875" customWidth="1"/>
    <col min="4099" max="4099" width="8.5703125" bestFit="1" customWidth="1"/>
    <col min="4100" max="4100" width="12.140625" bestFit="1" customWidth="1"/>
    <col min="4101" max="4101" width="10.140625" customWidth="1"/>
    <col min="4102" max="4102" width="28.7109375" bestFit="1" customWidth="1"/>
    <col min="4103" max="4103" width="13.5703125" bestFit="1" customWidth="1"/>
    <col min="4104" max="4104" width="8" customWidth="1"/>
    <col min="4106" max="4106" width="27.85546875" bestFit="1" customWidth="1"/>
    <col min="4353" max="4353" width="23" bestFit="1" customWidth="1"/>
    <col min="4354" max="4354" width="9.85546875" customWidth="1"/>
    <col min="4355" max="4355" width="8.5703125" bestFit="1" customWidth="1"/>
    <col min="4356" max="4356" width="12.140625" bestFit="1" customWidth="1"/>
    <col min="4357" max="4357" width="10.140625" customWidth="1"/>
    <col min="4358" max="4358" width="28.7109375" bestFit="1" customWidth="1"/>
    <col min="4359" max="4359" width="13.5703125" bestFit="1" customWidth="1"/>
    <col min="4360" max="4360" width="8" customWidth="1"/>
    <col min="4362" max="4362" width="27.85546875" bestFit="1" customWidth="1"/>
    <col min="4609" max="4609" width="23" bestFit="1" customWidth="1"/>
    <col min="4610" max="4610" width="9.85546875" customWidth="1"/>
    <col min="4611" max="4611" width="8.5703125" bestFit="1" customWidth="1"/>
    <col min="4612" max="4612" width="12.140625" bestFit="1" customWidth="1"/>
    <col min="4613" max="4613" width="10.140625" customWidth="1"/>
    <col min="4614" max="4614" width="28.7109375" bestFit="1" customWidth="1"/>
    <col min="4615" max="4615" width="13.5703125" bestFit="1" customWidth="1"/>
    <col min="4616" max="4616" width="8" customWidth="1"/>
    <col min="4618" max="4618" width="27.85546875" bestFit="1" customWidth="1"/>
    <col min="4865" max="4865" width="23" bestFit="1" customWidth="1"/>
    <col min="4866" max="4866" width="9.85546875" customWidth="1"/>
    <col min="4867" max="4867" width="8.5703125" bestFit="1" customWidth="1"/>
    <col min="4868" max="4868" width="12.140625" bestFit="1" customWidth="1"/>
    <col min="4869" max="4869" width="10.140625" customWidth="1"/>
    <col min="4870" max="4870" width="28.7109375" bestFit="1" customWidth="1"/>
    <col min="4871" max="4871" width="13.5703125" bestFit="1" customWidth="1"/>
    <col min="4872" max="4872" width="8" customWidth="1"/>
    <col min="4874" max="4874" width="27.85546875" bestFit="1" customWidth="1"/>
    <col min="5121" max="5121" width="23" bestFit="1" customWidth="1"/>
    <col min="5122" max="5122" width="9.85546875" customWidth="1"/>
    <col min="5123" max="5123" width="8.5703125" bestFit="1" customWidth="1"/>
    <col min="5124" max="5124" width="12.140625" bestFit="1" customWidth="1"/>
    <col min="5125" max="5125" width="10.140625" customWidth="1"/>
    <col min="5126" max="5126" width="28.7109375" bestFit="1" customWidth="1"/>
    <col min="5127" max="5127" width="13.5703125" bestFit="1" customWidth="1"/>
    <col min="5128" max="5128" width="8" customWidth="1"/>
    <col min="5130" max="5130" width="27.85546875" bestFit="1" customWidth="1"/>
    <col min="5377" max="5377" width="23" bestFit="1" customWidth="1"/>
    <col min="5378" max="5378" width="9.85546875" customWidth="1"/>
    <col min="5379" max="5379" width="8.5703125" bestFit="1" customWidth="1"/>
    <col min="5380" max="5380" width="12.140625" bestFit="1" customWidth="1"/>
    <col min="5381" max="5381" width="10.140625" customWidth="1"/>
    <col min="5382" max="5382" width="28.7109375" bestFit="1" customWidth="1"/>
    <col min="5383" max="5383" width="13.5703125" bestFit="1" customWidth="1"/>
    <col min="5384" max="5384" width="8" customWidth="1"/>
    <col min="5386" max="5386" width="27.85546875" bestFit="1" customWidth="1"/>
    <col min="5633" max="5633" width="23" bestFit="1" customWidth="1"/>
    <col min="5634" max="5634" width="9.85546875" customWidth="1"/>
    <col min="5635" max="5635" width="8.5703125" bestFit="1" customWidth="1"/>
    <col min="5636" max="5636" width="12.140625" bestFit="1" customWidth="1"/>
    <col min="5637" max="5637" width="10.140625" customWidth="1"/>
    <col min="5638" max="5638" width="28.7109375" bestFit="1" customWidth="1"/>
    <col min="5639" max="5639" width="13.5703125" bestFit="1" customWidth="1"/>
    <col min="5640" max="5640" width="8" customWidth="1"/>
    <col min="5642" max="5642" width="27.85546875" bestFit="1" customWidth="1"/>
    <col min="5889" max="5889" width="23" bestFit="1" customWidth="1"/>
    <col min="5890" max="5890" width="9.85546875" customWidth="1"/>
    <col min="5891" max="5891" width="8.5703125" bestFit="1" customWidth="1"/>
    <col min="5892" max="5892" width="12.140625" bestFit="1" customWidth="1"/>
    <col min="5893" max="5893" width="10.140625" customWidth="1"/>
    <col min="5894" max="5894" width="28.7109375" bestFit="1" customWidth="1"/>
    <col min="5895" max="5895" width="13.5703125" bestFit="1" customWidth="1"/>
    <col min="5896" max="5896" width="8" customWidth="1"/>
    <col min="5898" max="5898" width="27.85546875" bestFit="1" customWidth="1"/>
    <col min="6145" max="6145" width="23" bestFit="1" customWidth="1"/>
    <col min="6146" max="6146" width="9.85546875" customWidth="1"/>
    <col min="6147" max="6147" width="8.5703125" bestFit="1" customWidth="1"/>
    <col min="6148" max="6148" width="12.140625" bestFit="1" customWidth="1"/>
    <col min="6149" max="6149" width="10.140625" customWidth="1"/>
    <col min="6150" max="6150" width="28.7109375" bestFit="1" customWidth="1"/>
    <col min="6151" max="6151" width="13.5703125" bestFit="1" customWidth="1"/>
    <col min="6152" max="6152" width="8" customWidth="1"/>
    <col min="6154" max="6154" width="27.85546875" bestFit="1" customWidth="1"/>
    <col min="6401" max="6401" width="23" bestFit="1" customWidth="1"/>
    <col min="6402" max="6402" width="9.85546875" customWidth="1"/>
    <col min="6403" max="6403" width="8.5703125" bestFit="1" customWidth="1"/>
    <col min="6404" max="6404" width="12.140625" bestFit="1" customWidth="1"/>
    <col min="6405" max="6405" width="10.140625" customWidth="1"/>
    <col min="6406" max="6406" width="28.7109375" bestFit="1" customWidth="1"/>
    <col min="6407" max="6407" width="13.5703125" bestFit="1" customWidth="1"/>
    <col min="6408" max="6408" width="8" customWidth="1"/>
    <col min="6410" max="6410" width="27.85546875" bestFit="1" customWidth="1"/>
    <col min="6657" max="6657" width="23" bestFit="1" customWidth="1"/>
    <col min="6658" max="6658" width="9.85546875" customWidth="1"/>
    <col min="6659" max="6659" width="8.5703125" bestFit="1" customWidth="1"/>
    <col min="6660" max="6660" width="12.140625" bestFit="1" customWidth="1"/>
    <col min="6661" max="6661" width="10.140625" customWidth="1"/>
    <col min="6662" max="6662" width="28.7109375" bestFit="1" customWidth="1"/>
    <col min="6663" max="6663" width="13.5703125" bestFit="1" customWidth="1"/>
    <col min="6664" max="6664" width="8" customWidth="1"/>
    <col min="6666" max="6666" width="27.85546875" bestFit="1" customWidth="1"/>
    <col min="6913" max="6913" width="23" bestFit="1" customWidth="1"/>
    <col min="6914" max="6914" width="9.85546875" customWidth="1"/>
    <col min="6915" max="6915" width="8.5703125" bestFit="1" customWidth="1"/>
    <col min="6916" max="6916" width="12.140625" bestFit="1" customWidth="1"/>
    <col min="6917" max="6917" width="10.140625" customWidth="1"/>
    <col min="6918" max="6918" width="28.7109375" bestFit="1" customWidth="1"/>
    <col min="6919" max="6919" width="13.5703125" bestFit="1" customWidth="1"/>
    <col min="6920" max="6920" width="8" customWidth="1"/>
    <col min="6922" max="6922" width="27.85546875" bestFit="1" customWidth="1"/>
    <col min="7169" max="7169" width="23" bestFit="1" customWidth="1"/>
    <col min="7170" max="7170" width="9.85546875" customWidth="1"/>
    <col min="7171" max="7171" width="8.5703125" bestFit="1" customWidth="1"/>
    <col min="7172" max="7172" width="12.140625" bestFit="1" customWidth="1"/>
    <col min="7173" max="7173" width="10.140625" customWidth="1"/>
    <col min="7174" max="7174" width="28.7109375" bestFit="1" customWidth="1"/>
    <col min="7175" max="7175" width="13.5703125" bestFit="1" customWidth="1"/>
    <col min="7176" max="7176" width="8" customWidth="1"/>
    <col min="7178" max="7178" width="27.85546875" bestFit="1" customWidth="1"/>
    <col min="7425" max="7425" width="23" bestFit="1" customWidth="1"/>
    <col min="7426" max="7426" width="9.85546875" customWidth="1"/>
    <col min="7427" max="7427" width="8.5703125" bestFit="1" customWidth="1"/>
    <col min="7428" max="7428" width="12.140625" bestFit="1" customWidth="1"/>
    <col min="7429" max="7429" width="10.140625" customWidth="1"/>
    <col min="7430" max="7430" width="28.7109375" bestFit="1" customWidth="1"/>
    <col min="7431" max="7431" width="13.5703125" bestFit="1" customWidth="1"/>
    <col min="7432" max="7432" width="8" customWidth="1"/>
    <col min="7434" max="7434" width="27.85546875" bestFit="1" customWidth="1"/>
    <col min="7681" max="7681" width="23" bestFit="1" customWidth="1"/>
    <col min="7682" max="7682" width="9.85546875" customWidth="1"/>
    <col min="7683" max="7683" width="8.5703125" bestFit="1" customWidth="1"/>
    <col min="7684" max="7684" width="12.140625" bestFit="1" customWidth="1"/>
    <col min="7685" max="7685" width="10.140625" customWidth="1"/>
    <col min="7686" max="7686" width="28.7109375" bestFit="1" customWidth="1"/>
    <col min="7687" max="7687" width="13.5703125" bestFit="1" customWidth="1"/>
    <col min="7688" max="7688" width="8" customWidth="1"/>
    <col min="7690" max="7690" width="27.85546875" bestFit="1" customWidth="1"/>
    <col min="7937" max="7937" width="23" bestFit="1" customWidth="1"/>
    <col min="7938" max="7938" width="9.85546875" customWidth="1"/>
    <col min="7939" max="7939" width="8.5703125" bestFit="1" customWidth="1"/>
    <col min="7940" max="7940" width="12.140625" bestFit="1" customWidth="1"/>
    <col min="7941" max="7941" width="10.140625" customWidth="1"/>
    <col min="7942" max="7942" width="28.7109375" bestFit="1" customWidth="1"/>
    <col min="7943" max="7943" width="13.5703125" bestFit="1" customWidth="1"/>
    <col min="7944" max="7944" width="8" customWidth="1"/>
    <col min="7946" max="7946" width="27.85546875" bestFit="1" customWidth="1"/>
    <col min="8193" max="8193" width="23" bestFit="1" customWidth="1"/>
    <col min="8194" max="8194" width="9.85546875" customWidth="1"/>
    <col min="8195" max="8195" width="8.5703125" bestFit="1" customWidth="1"/>
    <col min="8196" max="8196" width="12.140625" bestFit="1" customWidth="1"/>
    <col min="8197" max="8197" width="10.140625" customWidth="1"/>
    <col min="8198" max="8198" width="28.7109375" bestFit="1" customWidth="1"/>
    <col min="8199" max="8199" width="13.5703125" bestFit="1" customWidth="1"/>
    <col min="8200" max="8200" width="8" customWidth="1"/>
    <col min="8202" max="8202" width="27.85546875" bestFit="1" customWidth="1"/>
    <col min="8449" max="8449" width="23" bestFit="1" customWidth="1"/>
    <col min="8450" max="8450" width="9.85546875" customWidth="1"/>
    <col min="8451" max="8451" width="8.5703125" bestFit="1" customWidth="1"/>
    <col min="8452" max="8452" width="12.140625" bestFit="1" customWidth="1"/>
    <col min="8453" max="8453" width="10.140625" customWidth="1"/>
    <col min="8454" max="8454" width="28.7109375" bestFit="1" customWidth="1"/>
    <col min="8455" max="8455" width="13.5703125" bestFit="1" customWidth="1"/>
    <col min="8456" max="8456" width="8" customWidth="1"/>
    <col min="8458" max="8458" width="27.85546875" bestFit="1" customWidth="1"/>
    <col min="8705" max="8705" width="23" bestFit="1" customWidth="1"/>
    <col min="8706" max="8706" width="9.85546875" customWidth="1"/>
    <col min="8707" max="8707" width="8.5703125" bestFit="1" customWidth="1"/>
    <col min="8708" max="8708" width="12.140625" bestFit="1" customWidth="1"/>
    <col min="8709" max="8709" width="10.140625" customWidth="1"/>
    <col min="8710" max="8710" width="28.7109375" bestFit="1" customWidth="1"/>
    <col min="8711" max="8711" width="13.5703125" bestFit="1" customWidth="1"/>
    <col min="8712" max="8712" width="8" customWidth="1"/>
    <col min="8714" max="8714" width="27.85546875" bestFit="1" customWidth="1"/>
    <col min="8961" max="8961" width="23" bestFit="1" customWidth="1"/>
    <col min="8962" max="8962" width="9.85546875" customWidth="1"/>
    <col min="8963" max="8963" width="8.5703125" bestFit="1" customWidth="1"/>
    <col min="8964" max="8964" width="12.140625" bestFit="1" customWidth="1"/>
    <col min="8965" max="8965" width="10.140625" customWidth="1"/>
    <col min="8966" max="8966" width="28.7109375" bestFit="1" customWidth="1"/>
    <col min="8967" max="8967" width="13.5703125" bestFit="1" customWidth="1"/>
    <col min="8968" max="8968" width="8" customWidth="1"/>
    <col min="8970" max="8970" width="27.85546875" bestFit="1" customWidth="1"/>
    <col min="9217" max="9217" width="23" bestFit="1" customWidth="1"/>
    <col min="9218" max="9218" width="9.85546875" customWidth="1"/>
    <col min="9219" max="9219" width="8.5703125" bestFit="1" customWidth="1"/>
    <col min="9220" max="9220" width="12.140625" bestFit="1" customWidth="1"/>
    <col min="9221" max="9221" width="10.140625" customWidth="1"/>
    <col min="9222" max="9222" width="28.7109375" bestFit="1" customWidth="1"/>
    <col min="9223" max="9223" width="13.5703125" bestFit="1" customWidth="1"/>
    <col min="9224" max="9224" width="8" customWidth="1"/>
    <col min="9226" max="9226" width="27.85546875" bestFit="1" customWidth="1"/>
    <col min="9473" max="9473" width="23" bestFit="1" customWidth="1"/>
    <col min="9474" max="9474" width="9.85546875" customWidth="1"/>
    <col min="9475" max="9475" width="8.5703125" bestFit="1" customWidth="1"/>
    <col min="9476" max="9476" width="12.140625" bestFit="1" customWidth="1"/>
    <col min="9477" max="9477" width="10.140625" customWidth="1"/>
    <col min="9478" max="9478" width="28.7109375" bestFit="1" customWidth="1"/>
    <col min="9479" max="9479" width="13.5703125" bestFit="1" customWidth="1"/>
    <col min="9480" max="9480" width="8" customWidth="1"/>
    <col min="9482" max="9482" width="27.85546875" bestFit="1" customWidth="1"/>
    <col min="9729" max="9729" width="23" bestFit="1" customWidth="1"/>
    <col min="9730" max="9730" width="9.85546875" customWidth="1"/>
    <col min="9731" max="9731" width="8.5703125" bestFit="1" customWidth="1"/>
    <col min="9732" max="9732" width="12.140625" bestFit="1" customWidth="1"/>
    <col min="9733" max="9733" width="10.140625" customWidth="1"/>
    <col min="9734" max="9734" width="28.7109375" bestFit="1" customWidth="1"/>
    <col min="9735" max="9735" width="13.5703125" bestFit="1" customWidth="1"/>
    <col min="9736" max="9736" width="8" customWidth="1"/>
    <col min="9738" max="9738" width="27.85546875" bestFit="1" customWidth="1"/>
    <col min="9985" max="9985" width="23" bestFit="1" customWidth="1"/>
    <col min="9986" max="9986" width="9.85546875" customWidth="1"/>
    <col min="9987" max="9987" width="8.5703125" bestFit="1" customWidth="1"/>
    <col min="9988" max="9988" width="12.140625" bestFit="1" customWidth="1"/>
    <col min="9989" max="9989" width="10.140625" customWidth="1"/>
    <col min="9990" max="9990" width="28.7109375" bestFit="1" customWidth="1"/>
    <col min="9991" max="9991" width="13.5703125" bestFit="1" customWidth="1"/>
    <col min="9992" max="9992" width="8" customWidth="1"/>
    <col min="9994" max="9994" width="27.85546875" bestFit="1" customWidth="1"/>
    <col min="10241" max="10241" width="23" bestFit="1" customWidth="1"/>
    <col min="10242" max="10242" width="9.85546875" customWidth="1"/>
    <col min="10243" max="10243" width="8.5703125" bestFit="1" customWidth="1"/>
    <col min="10244" max="10244" width="12.140625" bestFit="1" customWidth="1"/>
    <col min="10245" max="10245" width="10.140625" customWidth="1"/>
    <col min="10246" max="10246" width="28.7109375" bestFit="1" customWidth="1"/>
    <col min="10247" max="10247" width="13.5703125" bestFit="1" customWidth="1"/>
    <col min="10248" max="10248" width="8" customWidth="1"/>
    <col min="10250" max="10250" width="27.85546875" bestFit="1" customWidth="1"/>
    <col min="10497" max="10497" width="23" bestFit="1" customWidth="1"/>
    <col min="10498" max="10498" width="9.85546875" customWidth="1"/>
    <col min="10499" max="10499" width="8.5703125" bestFit="1" customWidth="1"/>
    <col min="10500" max="10500" width="12.140625" bestFit="1" customWidth="1"/>
    <col min="10501" max="10501" width="10.140625" customWidth="1"/>
    <col min="10502" max="10502" width="28.7109375" bestFit="1" customWidth="1"/>
    <col min="10503" max="10503" width="13.5703125" bestFit="1" customWidth="1"/>
    <col min="10504" max="10504" width="8" customWidth="1"/>
    <col min="10506" max="10506" width="27.85546875" bestFit="1" customWidth="1"/>
    <col min="10753" max="10753" width="23" bestFit="1" customWidth="1"/>
    <col min="10754" max="10754" width="9.85546875" customWidth="1"/>
    <col min="10755" max="10755" width="8.5703125" bestFit="1" customWidth="1"/>
    <col min="10756" max="10756" width="12.140625" bestFit="1" customWidth="1"/>
    <col min="10757" max="10757" width="10.140625" customWidth="1"/>
    <col min="10758" max="10758" width="28.7109375" bestFit="1" customWidth="1"/>
    <col min="10759" max="10759" width="13.5703125" bestFit="1" customWidth="1"/>
    <col min="10760" max="10760" width="8" customWidth="1"/>
    <col min="10762" max="10762" width="27.85546875" bestFit="1" customWidth="1"/>
    <col min="11009" max="11009" width="23" bestFit="1" customWidth="1"/>
    <col min="11010" max="11010" width="9.85546875" customWidth="1"/>
    <col min="11011" max="11011" width="8.5703125" bestFit="1" customWidth="1"/>
    <col min="11012" max="11012" width="12.140625" bestFit="1" customWidth="1"/>
    <col min="11013" max="11013" width="10.140625" customWidth="1"/>
    <col min="11014" max="11014" width="28.7109375" bestFit="1" customWidth="1"/>
    <col min="11015" max="11015" width="13.5703125" bestFit="1" customWidth="1"/>
    <col min="11016" max="11016" width="8" customWidth="1"/>
    <col min="11018" max="11018" width="27.85546875" bestFit="1" customWidth="1"/>
    <col min="11265" max="11265" width="23" bestFit="1" customWidth="1"/>
    <col min="11266" max="11266" width="9.85546875" customWidth="1"/>
    <col min="11267" max="11267" width="8.5703125" bestFit="1" customWidth="1"/>
    <col min="11268" max="11268" width="12.140625" bestFit="1" customWidth="1"/>
    <col min="11269" max="11269" width="10.140625" customWidth="1"/>
    <col min="11270" max="11270" width="28.7109375" bestFit="1" customWidth="1"/>
    <col min="11271" max="11271" width="13.5703125" bestFit="1" customWidth="1"/>
    <col min="11272" max="11272" width="8" customWidth="1"/>
    <col min="11274" max="11274" width="27.85546875" bestFit="1" customWidth="1"/>
    <col min="11521" max="11521" width="23" bestFit="1" customWidth="1"/>
    <col min="11522" max="11522" width="9.85546875" customWidth="1"/>
    <col min="11523" max="11523" width="8.5703125" bestFit="1" customWidth="1"/>
    <col min="11524" max="11524" width="12.140625" bestFit="1" customWidth="1"/>
    <col min="11525" max="11525" width="10.140625" customWidth="1"/>
    <col min="11526" max="11526" width="28.7109375" bestFit="1" customWidth="1"/>
    <col min="11527" max="11527" width="13.5703125" bestFit="1" customWidth="1"/>
    <col min="11528" max="11528" width="8" customWidth="1"/>
    <col min="11530" max="11530" width="27.85546875" bestFit="1" customWidth="1"/>
    <col min="11777" max="11777" width="23" bestFit="1" customWidth="1"/>
    <col min="11778" max="11778" width="9.85546875" customWidth="1"/>
    <col min="11779" max="11779" width="8.5703125" bestFit="1" customWidth="1"/>
    <col min="11780" max="11780" width="12.140625" bestFit="1" customWidth="1"/>
    <col min="11781" max="11781" width="10.140625" customWidth="1"/>
    <col min="11782" max="11782" width="28.7109375" bestFit="1" customWidth="1"/>
    <col min="11783" max="11783" width="13.5703125" bestFit="1" customWidth="1"/>
    <col min="11784" max="11784" width="8" customWidth="1"/>
    <col min="11786" max="11786" width="27.85546875" bestFit="1" customWidth="1"/>
    <col min="12033" max="12033" width="23" bestFit="1" customWidth="1"/>
    <col min="12034" max="12034" width="9.85546875" customWidth="1"/>
    <col min="12035" max="12035" width="8.5703125" bestFit="1" customWidth="1"/>
    <col min="12036" max="12036" width="12.140625" bestFit="1" customWidth="1"/>
    <col min="12037" max="12037" width="10.140625" customWidth="1"/>
    <col min="12038" max="12038" width="28.7109375" bestFit="1" customWidth="1"/>
    <col min="12039" max="12039" width="13.5703125" bestFit="1" customWidth="1"/>
    <col min="12040" max="12040" width="8" customWidth="1"/>
    <col min="12042" max="12042" width="27.85546875" bestFit="1" customWidth="1"/>
    <col min="12289" max="12289" width="23" bestFit="1" customWidth="1"/>
    <col min="12290" max="12290" width="9.85546875" customWidth="1"/>
    <col min="12291" max="12291" width="8.5703125" bestFit="1" customWidth="1"/>
    <col min="12292" max="12292" width="12.140625" bestFit="1" customWidth="1"/>
    <col min="12293" max="12293" width="10.140625" customWidth="1"/>
    <col min="12294" max="12294" width="28.7109375" bestFit="1" customWidth="1"/>
    <col min="12295" max="12295" width="13.5703125" bestFit="1" customWidth="1"/>
    <col min="12296" max="12296" width="8" customWidth="1"/>
    <col min="12298" max="12298" width="27.85546875" bestFit="1" customWidth="1"/>
    <col min="12545" max="12545" width="23" bestFit="1" customWidth="1"/>
    <col min="12546" max="12546" width="9.85546875" customWidth="1"/>
    <col min="12547" max="12547" width="8.5703125" bestFit="1" customWidth="1"/>
    <col min="12548" max="12548" width="12.140625" bestFit="1" customWidth="1"/>
    <col min="12549" max="12549" width="10.140625" customWidth="1"/>
    <col min="12550" max="12550" width="28.7109375" bestFit="1" customWidth="1"/>
    <col min="12551" max="12551" width="13.5703125" bestFit="1" customWidth="1"/>
    <col min="12552" max="12552" width="8" customWidth="1"/>
    <col min="12554" max="12554" width="27.85546875" bestFit="1" customWidth="1"/>
    <col min="12801" max="12801" width="23" bestFit="1" customWidth="1"/>
    <col min="12802" max="12802" width="9.85546875" customWidth="1"/>
    <col min="12803" max="12803" width="8.5703125" bestFit="1" customWidth="1"/>
    <col min="12804" max="12804" width="12.140625" bestFit="1" customWidth="1"/>
    <col min="12805" max="12805" width="10.140625" customWidth="1"/>
    <col min="12806" max="12806" width="28.7109375" bestFit="1" customWidth="1"/>
    <col min="12807" max="12807" width="13.5703125" bestFit="1" customWidth="1"/>
    <col min="12808" max="12808" width="8" customWidth="1"/>
    <col min="12810" max="12810" width="27.85546875" bestFit="1" customWidth="1"/>
    <col min="13057" max="13057" width="23" bestFit="1" customWidth="1"/>
    <col min="13058" max="13058" width="9.85546875" customWidth="1"/>
    <col min="13059" max="13059" width="8.5703125" bestFit="1" customWidth="1"/>
    <col min="13060" max="13060" width="12.140625" bestFit="1" customWidth="1"/>
    <col min="13061" max="13061" width="10.140625" customWidth="1"/>
    <col min="13062" max="13062" width="28.7109375" bestFit="1" customWidth="1"/>
    <col min="13063" max="13063" width="13.5703125" bestFit="1" customWidth="1"/>
    <col min="13064" max="13064" width="8" customWidth="1"/>
    <col min="13066" max="13066" width="27.85546875" bestFit="1" customWidth="1"/>
    <col min="13313" max="13313" width="23" bestFit="1" customWidth="1"/>
    <col min="13314" max="13314" width="9.85546875" customWidth="1"/>
    <col min="13315" max="13315" width="8.5703125" bestFit="1" customWidth="1"/>
    <col min="13316" max="13316" width="12.140625" bestFit="1" customWidth="1"/>
    <col min="13317" max="13317" width="10.140625" customWidth="1"/>
    <col min="13318" max="13318" width="28.7109375" bestFit="1" customWidth="1"/>
    <col min="13319" max="13319" width="13.5703125" bestFit="1" customWidth="1"/>
    <col min="13320" max="13320" width="8" customWidth="1"/>
    <col min="13322" max="13322" width="27.85546875" bestFit="1" customWidth="1"/>
    <col min="13569" max="13569" width="23" bestFit="1" customWidth="1"/>
    <col min="13570" max="13570" width="9.85546875" customWidth="1"/>
    <col min="13571" max="13571" width="8.5703125" bestFit="1" customWidth="1"/>
    <col min="13572" max="13572" width="12.140625" bestFit="1" customWidth="1"/>
    <col min="13573" max="13573" width="10.140625" customWidth="1"/>
    <col min="13574" max="13574" width="28.7109375" bestFit="1" customWidth="1"/>
    <col min="13575" max="13575" width="13.5703125" bestFit="1" customWidth="1"/>
    <col min="13576" max="13576" width="8" customWidth="1"/>
    <col min="13578" max="13578" width="27.85546875" bestFit="1" customWidth="1"/>
    <col min="13825" max="13825" width="23" bestFit="1" customWidth="1"/>
    <col min="13826" max="13826" width="9.85546875" customWidth="1"/>
    <col min="13827" max="13827" width="8.5703125" bestFit="1" customWidth="1"/>
    <col min="13828" max="13828" width="12.140625" bestFit="1" customWidth="1"/>
    <col min="13829" max="13829" width="10.140625" customWidth="1"/>
    <col min="13830" max="13830" width="28.7109375" bestFit="1" customWidth="1"/>
    <col min="13831" max="13831" width="13.5703125" bestFit="1" customWidth="1"/>
    <col min="13832" max="13832" width="8" customWidth="1"/>
    <col min="13834" max="13834" width="27.85546875" bestFit="1" customWidth="1"/>
    <col min="14081" max="14081" width="23" bestFit="1" customWidth="1"/>
    <col min="14082" max="14082" width="9.85546875" customWidth="1"/>
    <col min="14083" max="14083" width="8.5703125" bestFit="1" customWidth="1"/>
    <col min="14084" max="14084" width="12.140625" bestFit="1" customWidth="1"/>
    <col min="14085" max="14085" width="10.140625" customWidth="1"/>
    <col min="14086" max="14086" width="28.7109375" bestFit="1" customWidth="1"/>
    <col min="14087" max="14087" width="13.5703125" bestFit="1" customWidth="1"/>
    <col min="14088" max="14088" width="8" customWidth="1"/>
    <col min="14090" max="14090" width="27.85546875" bestFit="1" customWidth="1"/>
    <col min="14337" max="14337" width="23" bestFit="1" customWidth="1"/>
    <col min="14338" max="14338" width="9.85546875" customWidth="1"/>
    <col min="14339" max="14339" width="8.5703125" bestFit="1" customWidth="1"/>
    <col min="14340" max="14340" width="12.140625" bestFit="1" customWidth="1"/>
    <col min="14341" max="14341" width="10.140625" customWidth="1"/>
    <col min="14342" max="14342" width="28.7109375" bestFit="1" customWidth="1"/>
    <col min="14343" max="14343" width="13.5703125" bestFit="1" customWidth="1"/>
    <col min="14344" max="14344" width="8" customWidth="1"/>
    <col min="14346" max="14346" width="27.85546875" bestFit="1" customWidth="1"/>
    <col min="14593" max="14593" width="23" bestFit="1" customWidth="1"/>
    <col min="14594" max="14594" width="9.85546875" customWidth="1"/>
    <col min="14595" max="14595" width="8.5703125" bestFit="1" customWidth="1"/>
    <col min="14596" max="14596" width="12.140625" bestFit="1" customWidth="1"/>
    <col min="14597" max="14597" width="10.140625" customWidth="1"/>
    <col min="14598" max="14598" width="28.7109375" bestFit="1" customWidth="1"/>
    <col min="14599" max="14599" width="13.5703125" bestFit="1" customWidth="1"/>
    <col min="14600" max="14600" width="8" customWidth="1"/>
    <col min="14602" max="14602" width="27.85546875" bestFit="1" customWidth="1"/>
    <col min="14849" max="14849" width="23" bestFit="1" customWidth="1"/>
    <col min="14850" max="14850" width="9.85546875" customWidth="1"/>
    <col min="14851" max="14851" width="8.5703125" bestFit="1" customWidth="1"/>
    <col min="14852" max="14852" width="12.140625" bestFit="1" customWidth="1"/>
    <col min="14853" max="14853" width="10.140625" customWidth="1"/>
    <col min="14854" max="14854" width="28.7109375" bestFit="1" customWidth="1"/>
    <col min="14855" max="14855" width="13.5703125" bestFit="1" customWidth="1"/>
    <col min="14856" max="14856" width="8" customWidth="1"/>
    <col min="14858" max="14858" width="27.85546875" bestFit="1" customWidth="1"/>
    <col min="15105" max="15105" width="23" bestFit="1" customWidth="1"/>
    <col min="15106" max="15106" width="9.85546875" customWidth="1"/>
    <col min="15107" max="15107" width="8.5703125" bestFit="1" customWidth="1"/>
    <col min="15108" max="15108" width="12.140625" bestFit="1" customWidth="1"/>
    <col min="15109" max="15109" width="10.140625" customWidth="1"/>
    <col min="15110" max="15110" width="28.7109375" bestFit="1" customWidth="1"/>
    <col min="15111" max="15111" width="13.5703125" bestFit="1" customWidth="1"/>
    <col min="15112" max="15112" width="8" customWidth="1"/>
    <col min="15114" max="15114" width="27.85546875" bestFit="1" customWidth="1"/>
    <col min="15361" max="15361" width="23" bestFit="1" customWidth="1"/>
    <col min="15362" max="15362" width="9.85546875" customWidth="1"/>
    <col min="15363" max="15363" width="8.5703125" bestFit="1" customWidth="1"/>
    <col min="15364" max="15364" width="12.140625" bestFit="1" customWidth="1"/>
    <col min="15365" max="15365" width="10.140625" customWidth="1"/>
    <col min="15366" max="15366" width="28.7109375" bestFit="1" customWidth="1"/>
    <col min="15367" max="15367" width="13.5703125" bestFit="1" customWidth="1"/>
    <col min="15368" max="15368" width="8" customWidth="1"/>
    <col min="15370" max="15370" width="27.85546875" bestFit="1" customWidth="1"/>
    <col min="15617" max="15617" width="23" bestFit="1" customWidth="1"/>
    <col min="15618" max="15618" width="9.85546875" customWidth="1"/>
    <col min="15619" max="15619" width="8.5703125" bestFit="1" customWidth="1"/>
    <col min="15620" max="15620" width="12.140625" bestFit="1" customWidth="1"/>
    <col min="15621" max="15621" width="10.140625" customWidth="1"/>
    <col min="15622" max="15622" width="28.7109375" bestFit="1" customWidth="1"/>
    <col min="15623" max="15623" width="13.5703125" bestFit="1" customWidth="1"/>
    <col min="15624" max="15624" width="8" customWidth="1"/>
    <col min="15626" max="15626" width="27.85546875" bestFit="1" customWidth="1"/>
    <col min="15873" max="15873" width="23" bestFit="1" customWidth="1"/>
    <col min="15874" max="15874" width="9.85546875" customWidth="1"/>
    <col min="15875" max="15875" width="8.5703125" bestFit="1" customWidth="1"/>
    <col min="15876" max="15876" width="12.140625" bestFit="1" customWidth="1"/>
    <col min="15877" max="15877" width="10.140625" customWidth="1"/>
    <col min="15878" max="15878" width="28.7109375" bestFit="1" customWidth="1"/>
    <col min="15879" max="15879" width="13.5703125" bestFit="1" customWidth="1"/>
    <col min="15880" max="15880" width="8" customWidth="1"/>
    <col min="15882" max="15882" width="27.85546875" bestFit="1" customWidth="1"/>
    <col min="16129" max="16129" width="23" bestFit="1" customWidth="1"/>
    <col min="16130" max="16130" width="9.85546875" customWidth="1"/>
    <col min="16131" max="16131" width="8.5703125" bestFit="1" customWidth="1"/>
    <col min="16132" max="16132" width="12.140625" bestFit="1" customWidth="1"/>
    <col min="16133" max="16133" width="10.140625" customWidth="1"/>
    <col min="16134" max="16134" width="28.7109375" bestFit="1" customWidth="1"/>
    <col min="16135" max="16135" width="13.5703125" bestFit="1" customWidth="1"/>
    <col min="16136" max="16136" width="8" customWidth="1"/>
    <col min="16138" max="16138" width="27.85546875" bestFit="1" customWidth="1"/>
  </cols>
  <sheetData>
    <row r="1" spans="1:8" x14ac:dyDescent="0.2">
      <c r="A1" s="187"/>
      <c r="B1" s="188" t="s">
        <v>220</v>
      </c>
      <c r="C1" s="189" t="s">
        <v>221</v>
      </c>
      <c r="D1" s="189" t="s">
        <v>221</v>
      </c>
      <c r="E1" s="190" t="s">
        <v>221</v>
      </c>
      <c r="F1" s="191"/>
      <c r="G1" s="192"/>
      <c r="H1" s="193"/>
    </row>
    <row r="2" spans="1:8" ht="13.5" customHeight="1" thickBot="1" x14ac:dyDescent="0.25">
      <c r="A2" s="194" t="s">
        <v>222</v>
      </c>
      <c r="B2" s="195" t="s">
        <v>223</v>
      </c>
      <c r="C2" s="195" t="s">
        <v>224</v>
      </c>
      <c r="D2" s="195" t="s">
        <v>225</v>
      </c>
      <c r="E2" s="196" t="s">
        <v>8</v>
      </c>
      <c r="F2" s="197"/>
      <c r="G2" s="198"/>
      <c r="H2" s="199"/>
    </row>
    <row r="3" spans="1:8" ht="17.25" customHeight="1" thickTop="1" thickBot="1" x14ac:dyDescent="0.3">
      <c r="A3" s="200" t="s">
        <v>226</v>
      </c>
      <c r="B3" s="36" t="s">
        <v>227</v>
      </c>
      <c r="C3" s="36">
        <v>800</v>
      </c>
      <c r="D3" s="36">
        <v>1300</v>
      </c>
      <c r="E3" s="201">
        <f>C3+D3</f>
        <v>2100</v>
      </c>
      <c r="F3" s="463" t="s">
        <v>228</v>
      </c>
      <c r="G3" s="464"/>
      <c r="H3" s="465"/>
    </row>
    <row r="4" spans="1:8" x14ac:dyDescent="0.2">
      <c r="A4" s="200" t="s">
        <v>229</v>
      </c>
      <c r="B4" s="26" t="s">
        <v>230</v>
      </c>
      <c r="C4" s="26">
        <v>1200</v>
      </c>
      <c r="D4" s="26">
        <v>1100</v>
      </c>
      <c r="E4" s="201">
        <f t="shared" ref="E4:E16" si="0">C4+D4</f>
        <v>2300</v>
      </c>
      <c r="F4" s="202"/>
      <c r="G4" s="36"/>
      <c r="H4" s="108"/>
    </row>
    <row r="5" spans="1:8" x14ac:dyDescent="0.2">
      <c r="A5" s="200" t="s">
        <v>231</v>
      </c>
      <c r="B5" s="26" t="s">
        <v>232</v>
      </c>
      <c r="C5" s="26">
        <v>1200</v>
      </c>
      <c r="D5" s="26">
        <v>500</v>
      </c>
      <c r="E5" s="201">
        <f t="shared" si="0"/>
        <v>1700</v>
      </c>
      <c r="F5" s="203" t="s">
        <v>233</v>
      </c>
      <c r="G5" s="204">
        <v>14</v>
      </c>
      <c r="H5" s="110"/>
    </row>
    <row r="6" spans="1:8" x14ac:dyDescent="0.2">
      <c r="A6" s="200" t="s">
        <v>234</v>
      </c>
      <c r="B6" s="36" t="s">
        <v>227</v>
      </c>
      <c r="C6" s="26">
        <v>1500</v>
      </c>
      <c r="D6" s="26">
        <v>1300</v>
      </c>
      <c r="E6" s="201">
        <f t="shared" si="0"/>
        <v>2800</v>
      </c>
      <c r="F6" s="200" t="s">
        <v>235</v>
      </c>
      <c r="G6" s="205">
        <v>5</v>
      </c>
      <c r="H6" s="206"/>
    </row>
    <row r="7" spans="1:8" x14ac:dyDescent="0.2">
      <c r="A7" s="200" t="s">
        <v>236</v>
      </c>
      <c r="B7" s="26" t="s">
        <v>230</v>
      </c>
      <c r="C7" s="26">
        <v>500</v>
      </c>
      <c r="D7" s="26">
        <v>1100</v>
      </c>
      <c r="E7" s="201">
        <f t="shared" si="0"/>
        <v>1600</v>
      </c>
      <c r="F7" s="203" t="s">
        <v>237</v>
      </c>
      <c r="G7" s="207">
        <v>658</v>
      </c>
      <c r="H7" s="206"/>
    </row>
    <row r="8" spans="1:8" x14ac:dyDescent="0.2">
      <c r="A8" s="200" t="s">
        <v>238</v>
      </c>
      <c r="B8" s="26" t="s">
        <v>232</v>
      </c>
      <c r="C8" s="26">
        <v>1200</v>
      </c>
      <c r="D8" s="26">
        <v>1200</v>
      </c>
      <c r="E8" s="201">
        <f t="shared" si="0"/>
        <v>2400</v>
      </c>
      <c r="F8" s="203" t="s">
        <v>239</v>
      </c>
      <c r="G8" s="207">
        <v>9</v>
      </c>
      <c r="H8" s="206"/>
    </row>
    <row r="9" spans="1:8" ht="13.5" thickBot="1" x14ac:dyDescent="0.25">
      <c r="A9" s="200" t="s">
        <v>240</v>
      </c>
      <c r="B9" s="26" t="s">
        <v>230</v>
      </c>
      <c r="C9" s="26">
        <v>600</v>
      </c>
      <c r="D9" s="26">
        <v>300</v>
      </c>
      <c r="E9" s="201">
        <f t="shared" si="0"/>
        <v>900</v>
      </c>
      <c r="F9" s="208" t="s">
        <v>241</v>
      </c>
      <c r="G9" s="209">
        <v>7</v>
      </c>
      <c r="H9" s="206"/>
    </row>
    <row r="10" spans="1:8" ht="13.5" thickBot="1" x14ac:dyDescent="0.25">
      <c r="A10" s="200" t="s">
        <v>242</v>
      </c>
      <c r="B10" s="26" t="s">
        <v>232</v>
      </c>
      <c r="C10" s="26">
        <v>1500</v>
      </c>
      <c r="D10" s="26">
        <v>500</v>
      </c>
      <c r="E10" s="201">
        <f t="shared" si="0"/>
        <v>2000</v>
      </c>
      <c r="F10" s="210"/>
      <c r="G10" s="211"/>
      <c r="H10" s="212"/>
    </row>
    <row r="11" spans="1:8" x14ac:dyDescent="0.2">
      <c r="A11" s="200" t="s">
        <v>243</v>
      </c>
      <c r="B11" s="36" t="s">
        <v>227</v>
      </c>
      <c r="C11" s="26">
        <v>800</v>
      </c>
      <c r="D11" s="26">
        <v>2000</v>
      </c>
      <c r="E11" s="201">
        <f t="shared" si="0"/>
        <v>2800</v>
      </c>
      <c r="F11" s="213" t="s">
        <v>244</v>
      </c>
      <c r="G11" s="214" t="s">
        <v>245</v>
      </c>
      <c r="H11" s="215" t="s">
        <v>246</v>
      </c>
    </row>
    <row r="12" spans="1:8" ht="12.75" customHeight="1" x14ac:dyDescent="0.2">
      <c r="A12" s="203" t="s">
        <v>247</v>
      </c>
      <c r="B12" s="26" t="s">
        <v>232</v>
      </c>
      <c r="C12" s="26">
        <v>100</v>
      </c>
      <c r="D12" s="26">
        <v>300</v>
      </c>
      <c r="E12" s="201">
        <f t="shared" si="0"/>
        <v>400</v>
      </c>
      <c r="F12" s="203" t="s">
        <v>227</v>
      </c>
      <c r="G12" s="204">
        <v>5</v>
      </c>
      <c r="H12" s="216">
        <v>1730</v>
      </c>
    </row>
    <row r="13" spans="1:8" ht="12.75" customHeight="1" x14ac:dyDescent="0.2">
      <c r="A13" s="203" t="s">
        <v>248</v>
      </c>
      <c r="B13" s="26" t="s">
        <v>230</v>
      </c>
      <c r="C13" s="217">
        <v>200</v>
      </c>
      <c r="D13" s="217">
        <v>652</v>
      </c>
      <c r="E13" s="201">
        <f t="shared" si="0"/>
        <v>852</v>
      </c>
      <c r="F13" s="203" t="s">
        <v>230</v>
      </c>
      <c r="G13" s="204">
        <v>4</v>
      </c>
      <c r="H13" s="216">
        <v>1413</v>
      </c>
    </row>
    <row r="14" spans="1:8" ht="12.75" customHeight="1" thickBot="1" x14ac:dyDescent="0.25">
      <c r="A14" s="203" t="s">
        <v>249</v>
      </c>
      <c r="B14" s="36" t="s">
        <v>227</v>
      </c>
      <c r="C14" s="217">
        <v>145</v>
      </c>
      <c r="D14" s="217">
        <v>450</v>
      </c>
      <c r="E14" s="201">
        <f t="shared" si="0"/>
        <v>595</v>
      </c>
      <c r="F14" s="208" t="s">
        <v>232</v>
      </c>
      <c r="G14" s="218">
        <v>5</v>
      </c>
      <c r="H14" s="219">
        <v>1606</v>
      </c>
    </row>
    <row r="15" spans="1:8" ht="12.75" customHeight="1" x14ac:dyDescent="0.2">
      <c r="A15" s="203" t="s">
        <v>250</v>
      </c>
      <c r="B15" s="26" t="s">
        <v>232</v>
      </c>
      <c r="C15" s="217">
        <v>741</v>
      </c>
      <c r="D15" s="217">
        <v>789</v>
      </c>
      <c r="E15" s="201">
        <f t="shared" si="0"/>
        <v>1530</v>
      </c>
      <c r="F15" s="220"/>
      <c r="G15" s="145"/>
      <c r="H15" s="221"/>
    </row>
    <row r="16" spans="1:8" ht="12.75" customHeight="1" x14ac:dyDescent="0.2">
      <c r="A16" s="203" t="s">
        <v>251</v>
      </c>
      <c r="B16" s="36" t="s">
        <v>227</v>
      </c>
      <c r="C16" s="217">
        <v>200</v>
      </c>
      <c r="D16" s="217">
        <v>154</v>
      </c>
      <c r="E16" s="201">
        <f t="shared" si="0"/>
        <v>354</v>
      </c>
      <c r="F16" s="220"/>
      <c r="G16" s="145"/>
      <c r="H16" s="221"/>
    </row>
    <row r="17" spans="1:8" x14ac:dyDescent="0.2">
      <c r="A17" s="222" t="s">
        <v>8</v>
      </c>
      <c r="B17" s="26"/>
      <c r="C17" s="223">
        <f>SUM(C3:C16)</f>
        <v>10686</v>
      </c>
      <c r="D17" s="223">
        <f>SUM(D3:D16)</f>
        <v>11645</v>
      </c>
      <c r="E17" s="223">
        <f>SUM(E3:E16)</f>
        <v>22331</v>
      </c>
      <c r="F17" s="220"/>
      <c r="G17" s="26"/>
      <c r="H17" s="110"/>
    </row>
    <row r="18" spans="1:8" ht="13.5" thickBot="1" x14ac:dyDescent="0.25">
      <c r="A18" s="224" t="s">
        <v>252</v>
      </c>
      <c r="B18" s="107"/>
      <c r="C18" s="225">
        <f>ROUND(AVERAGE(C3:C16),)</f>
        <v>763</v>
      </c>
      <c r="D18" s="225">
        <f>ROUND(AVERAGE(D3:D16),0)</f>
        <v>832</v>
      </c>
      <c r="E18" s="226"/>
      <c r="F18" s="227"/>
      <c r="G18" s="107"/>
      <c r="H18" s="228"/>
    </row>
    <row r="19" spans="1:8" x14ac:dyDescent="0.2">
      <c r="A19" s="36"/>
      <c r="B19" s="36"/>
      <c r="C19" s="36"/>
      <c r="D19" s="36"/>
      <c r="E19" s="36"/>
      <c r="F19" s="36"/>
      <c r="G19" s="36"/>
      <c r="H19" s="36"/>
    </row>
    <row r="21" spans="1:8" x14ac:dyDescent="0.2">
      <c r="A21" s="229"/>
      <c r="B21" s="230"/>
      <c r="C21" s="231"/>
      <c r="D21" s="231"/>
      <c r="E21" s="231"/>
    </row>
    <row r="22" spans="1:8" x14ac:dyDescent="0.2">
      <c r="A22" s="229"/>
      <c r="B22" s="231"/>
      <c r="C22" s="231"/>
      <c r="D22" s="231"/>
      <c r="E22" s="231"/>
    </row>
    <row r="23" spans="1:8" x14ac:dyDescent="0.2">
      <c r="A23" s="229"/>
      <c r="B23" s="230"/>
      <c r="C23" s="231"/>
      <c r="D23" s="231"/>
      <c r="E23" s="231"/>
    </row>
    <row r="24" spans="1:8" x14ac:dyDescent="0.2">
      <c r="A24" s="229"/>
      <c r="B24" s="231"/>
      <c r="C24" s="231"/>
      <c r="D24" s="231"/>
      <c r="E24" s="231"/>
    </row>
    <row r="25" spans="1:8" x14ac:dyDescent="0.2">
      <c r="A25" s="229"/>
      <c r="B25" s="230"/>
      <c r="C25" s="231"/>
      <c r="D25" s="231"/>
      <c r="E25" s="231"/>
    </row>
    <row r="26" spans="1:8" x14ac:dyDescent="0.2">
      <c r="A26" s="229"/>
      <c r="B26" s="231"/>
      <c r="C26" s="231"/>
      <c r="D26" s="231"/>
      <c r="E26" s="231"/>
    </row>
    <row r="27" spans="1:8" x14ac:dyDescent="0.2">
      <c r="A27" s="229"/>
      <c r="B27" s="230"/>
      <c r="C27" s="231"/>
      <c r="D27" s="231"/>
      <c r="E27" s="231"/>
      <c r="F27" s="232"/>
    </row>
    <row r="28" spans="1:8" x14ac:dyDescent="0.2">
      <c r="A28" s="229"/>
      <c r="B28" s="231"/>
      <c r="C28" s="231"/>
      <c r="D28" s="231"/>
      <c r="E28" s="231"/>
    </row>
    <row r="29" spans="1:8" x14ac:dyDescent="0.2">
      <c r="A29" s="229"/>
      <c r="B29" s="230"/>
      <c r="C29" s="231"/>
      <c r="D29" s="231"/>
      <c r="E29" s="231"/>
      <c r="F29" s="232"/>
    </row>
    <row r="30" spans="1:8" x14ac:dyDescent="0.2">
      <c r="A30" s="229"/>
      <c r="B30" s="231"/>
      <c r="C30" s="231"/>
      <c r="D30" s="231"/>
      <c r="E30" s="231"/>
    </row>
    <row r="31" spans="1:8" x14ac:dyDescent="0.2">
      <c r="A31" s="229"/>
      <c r="B31" s="230"/>
      <c r="C31" s="231"/>
      <c r="D31" s="231"/>
      <c r="E31" s="231"/>
    </row>
    <row r="32" spans="1:8" x14ac:dyDescent="0.2">
      <c r="A32" s="229"/>
      <c r="B32" s="233"/>
      <c r="C32" s="231"/>
      <c r="D32" s="231"/>
      <c r="E32" s="231"/>
    </row>
    <row r="33" spans="1:5" x14ac:dyDescent="0.2">
      <c r="A33" s="229"/>
      <c r="B33" s="230"/>
      <c r="C33" s="231"/>
      <c r="D33" s="231"/>
      <c r="E33" s="231"/>
    </row>
    <row r="34" spans="1:5" x14ac:dyDescent="0.2">
      <c r="A34" s="231"/>
      <c r="B34" s="231"/>
      <c r="C34" s="231"/>
      <c r="D34" s="231"/>
      <c r="E34" s="231"/>
    </row>
    <row r="35" spans="1:5" x14ac:dyDescent="0.2">
      <c r="A35" s="231"/>
      <c r="B35" s="231"/>
      <c r="C35" s="231"/>
      <c r="D35" s="231"/>
      <c r="E35" s="231"/>
    </row>
  </sheetData>
  <mergeCells count="1">
    <mergeCell ref="F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topLeftCell="A4" workbookViewId="0">
      <selection activeCell="P27" sqref="P27"/>
    </sheetView>
  </sheetViews>
  <sheetFormatPr defaultRowHeight="12.75" x14ac:dyDescent="0.2"/>
  <cols>
    <col min="1" max="1" width="4" customWidth="1"/>
    <col min="2" max="2" width="11.5703125" customWidth="1"/>
    <col min="3" max="3" width="5.7109375" customWidth="1"/>
    <col min="4" max="4" width="8" customWidth="1"/>
    <col min="5" max="5" width="11.140625" customWidth="1"/>
    <col min="6" max="6" width="3.7109375" customWidth="1"/>
    <col min="7" max="7" width="15.5703125" customWidth="1"/>
    <col min="8" max="8" width="12.7109375" customWidth="1"/>
    <col min="258" max="258" width="11.5703125" customWidth="1"/>
    <col min="259" max="259" width="5.7109375" customWidth="1"/>
    <col min="260" max="260" width="8" customWidth="1"/>
    <col min="261" max="261" width="11.140625" customWidth="1"/>
    <col min="262" max="262" width="3.7109375" customWidth="1"/>
    <col min="263" max="263" width="15.5703125" customWidth="1"/>
    <col min="264" max="264" width="12.7109375" customWidth="1"/>
    <col min="514" max="514" width="11.5703125" customWidth="1"/>
    <col min="515" max="515" width="5.7109375" customWidth="1"/>
    <col min="516" max="516" width="8" customWidth="1"/>
    <col min="517" max="517" width="11.140625" customWidth="1"/>
    <col min="518" max="518" width="3.7109375" customWidth="1"/>
    <col min="519" max="519" width="15.5703125" customWidth="1"/>
    <col min="520" max="520" width="12.7109375" customWidth="1"/>
    <col min="770" max="770" width="11.5703125" customWidth="1"/>
    <col min="771" max="771" width="5.7109375" customWidth="1"/>
    <col min="772" max="772" width="8" customWidth="1"/>
    <col min="773" max="773" width="11.140625" customWidth="1"/>
    <col min="774" max="774" width="3.7109375" customWidth="1"/>
    <col min="775" max="775" width="15.5703125" customWidth="1"/>
    <col min="776" max="776" width="12.7109375" customWidth="1"/>
    <col min="1026" max="1026" width="11.5703125" customWidth="1"/>
    <col min="1027" max="1027" width="5.7109375" customWidth="1"/>
    <col min="1028" max="1028" width="8" customWidth="1"/>
    <col min="1029" max="1029" width="11.140625" customWidth="1"/>
    <col min="1030" max="1030" width="3.7109375" customWidth="1"/>
    <col min="1031" max="1031" width="15.5703125" customWidth="1"/>
    <col min="1032" max="1032" width="12.7109375" customWidth="1"/>
    <col min="1282" max="1282" width="11.5703125" customWidth="1"/>
    <col min="1283" max="1283" width="5.7109375" customWidth="1"/>
    <col min="1284" max="1284" width="8" customWidth="1"/>
    <col min="1285" max="1285" width="11.140625" customWidth="1"/>
    <col min="1286" max="1286" width="3.7109375" customWidth="1"/>
    <col min="1287" max="1287" width="15.5703125" customWidth="1"/>
    <col min="1288" max="1288" width="12.7109375" customWidth="1"/>
    <col min="1538" max="1538" width="11.5703125" customWidth="1"/>
    <col min="1539" max="1539" width="5.7109375" customWidth="1"/>
    <col min="1540" max="1540" width="8" customWidth="1"/>
    <col min="1541" max="1541" width="11.140625" customWidth="1"/>
    <col min="1542" max="1542" width="3.7109375" customWidth="1"/>
    <col min="1543" max="1543" width="15.5703125" customWidth="1"/>
    <col min="1544" max="1544" width="12.7109375" customWidth="1"/>
    <col min="1794" max="1794" width="11.5703125" customWidth="1"/>
    <col min="1795" max="1795" width="5.7109375" customWidth="1"/>
    <col min="1796" max="1796" width="8" customWidth="1"/>
    <col min="1797" max="1797" width="11.140625" customWidth="1"/>
    <col min="1798" max="1798" width="3.7109375" customWidth="1"/>
    <col min="1799" max="1799" width="15.5703125" customWidth="1"/>
    <col min="1800" max="1800" width="12.7109375" customWidth="1"/>
    <col min="2050" max="2050" width="11.5703125" customWidth="1"/>
    <col min="2051" max="2051" width="5.7109375" customWidth="1"/>
    <col min="2052" max="2052" width="8" customWidth="1"/>
    <col min="2053" max="2053" width="11.140625" customWidth="1"/>
    <col min="2054" max="2054" width="3.7109375" customWidth="1"/>
    <col min="2055" max="2055" width="15.5703125" customWidth="1"/>
    <col min="2056" max="2056" width="12.7109375" customWidth="1"/>
    <col min="2306" max="2306" width="11.5703125" customWidth="1"/>
    <col min="2307" max="2307" width="5.7109375" customWidth="1"/>
    <col min="2308" max="2308" width="8" customWidth="1"/>
    <col min="2309" max="2309" width="11.140625" customWidth="1"/>
    <col min="2310" max="2310" width="3.7109375" customWidth="1"/>
    <col min="2311" max="2311" width="15.5703125" customWidth="1"/>
    <col min="2312" max="2312" width="12.7109375" customWidth="1"/>
    <col min="2562" max="2562" width="11.5703125" customWidth="1"/>
    <col min="2563" max="2563" width="5.7109375" customWidth="1"/>
    <col min="2564" max="2564" width="8" customWidth="1"/>
    <col min="2565" max="2565" width="11.140625" customWidth="1"/>
    <col min="2566" max="2566" width="3.7109375" customWidth="1"/>
    <col min="2567" max="2567" width="15.5703125" customWidth="1"/>
    <col min="2568" max="2568" width="12.7109375" customWidth="1"/>
    <col min="2818" max="2818" width="11.5703125" customWidth="1"/>
    <col min="2819" max="2819" width="5.7109375" customWidth="1"/>
    <col min="2820" max="2820" width="8" customWidth="1"/>
    <col min="2821" max="2821" width="11.140625" customWidth="1"/>
    <col min="2822" max="2822" width="3.7109375" customWidth="1"/>
    <col min="2823" max="2823" width="15.5703125" customWidth="1"/>
    <col min="2824" max="2824" width="12.7109375" customWidth="1"/>
    <col min="3074" max="3074" width="11.5703125" customWidth="1"/>
    <col min="3075" max="3075" width="5.7109375" customWidth="1"/>
    <col min="3076" max="3076" width="8" customWidth="1"/>
    <col min="3077" max="3077" width="11.140625" customWidth="1"/>
    <col min="3078" max="3078" width="3.7109375" customWidth="1"/>
    <col min="3079" max="3079" width="15.5703125" customWidth="1"/>
    <col min="3080" max="3080" width="12.7109375" customWidth="1"/>
    <col min="3330" max="3330" width="11.5703125" customWidth="1"/>
    <col min="3331" max="3331" width="5.7109375" customWidth="1"/>
    <col min="3332" max="3332" width="8" customWidth="1"/>
    <col min="3333" max="3333" width="11.140625" customWidth="1"/>
    <col min="3334" max="3334" width="3.7109375" customWidth="1"/>
    <col min="3335" max="3335" width="15.5703125" customWidth="1"/>
    <col min="3336" max="3336" width="12.7109375" customWidth="1"/>
    <col min="3586" max="3586" width="11.5703125" customWidth="1"/>
    <col min="3587" max="3587" width="5.7109375" customWidth="1"/>
    <col min="3588" max="3588" width="8" customWidth="1"/>
    <col min="3589" max="3589" width="11.140625" customWidth="1"/>
    <col min="3590" max="3590" width="3.7109375" customWidth="1"/>
    <col min="3591" max="3591" width="15.5703125" customWidth="1"/>
    <col min="3592" max="3592" width="12.7109375" customWidth="1"/>
    <col min="3842" max="3842" width="11.5703125" customWidth="1"/>
    <col min="3843" max="3843" width="5.7109375" customWidth="1"/>
    <col min="3844" max="3844" width="8" customWidth="1"/>
    <col min="3845" max="3845" width="11.140625" customWidth="1"/>
    <col min="3846" max="3846" width="3.7109375" customWidth="1"/>
    <col min="3847" max="3847" width="15.5703125" customWidth="1"/>
    <col min="3848" max="3848" width="12.7109375" customWidth="1"/>
    <col min="4098" max="4098" width="11.5703125" customWidth="1"/>
    <col min="4099" max="4099" width="5.7109375" customWidth="1"/>
    <col min="4100" max="4100" width="8" customWidth="1"/>
    <col min="4101" max="4101" width="11.140625" customWidth="1"/>
    <col min="4102" max="4102" width="3.7109375" customWidth="1"/>
    <col min="4103" max="4103" width="15.5703125" customWidth="1"/>
    <col min="4104" max="4104" width="12.7109375" customWidth="1"/>
    <col min="4354" max="4354" width="11.5703125" customWidth="1"/>
    <col min="4355" max="4355" width="5.7109375" customWidth="1"/>
    <col min="4356" max="4356" width="8" customWidth="1"/>
    <col min="4357" max="4357" width="11.140625" customWidth="1"/>
    <col min="4358" max="4358" width="3.7109375" customWidth="1"/>
    <col min="4359" max="4359" width="15.5703125" customWidth="1"/>
    <col min="4360" max="4360" width="12.7109375" customWidth="1"/>
    <col min="4610" max="4610" width="11.5703125" customWidth="1"/>
    <col min="4611" max="4611" width="5.7109375" customWidth="1"/>
    <col min="4612" max="4612" width="8" customWidth="1"/>
    <col min="4613" max="4613" width="11.140625" customWidth="1"/>
    <col min="4614" max="4614" width="3.7109375" customWidth="1"/>
    <col min="4615" max="4615" width="15.5703125" customWidth="1"/>
    <col min="4616" max="4616" width="12.7109375" customWidth="1"/>
    <col min="4866" max="4866" width="11.5703125" customWidth="1"/>
    <col min="4867" max="4867" width="5.7109375" customWidth="1"/>
    <col min="4868" max="4868" width="8" customWidth="1"/>
    <col min="4869" max="4869" width="11.140625" customWidth="1"/>
    <col min="4870" max="4870" width="3.7109375" customWidth="1"/>
    <col min="4871" max="4871" width="15.5703125" customWidth="1"/>
    <col min="4872" max="4872" width="12.7109375" customWidth="1"/>
    <col min="5122" max="5122" width="11.5703125" customWidth="1"/>
    <col min="5123" max="5123" width="5.7109375" customWidth="1"/>
    <col min="5124" max="5124" width="8" customWidth="1"/>
    <col min="5125" max="5125" width="11.140625" customWidth="1"/>
    <col min="5126" max="5126" width="3.7109375" customWidth="1"/>
    <col min="5127" max="5127" width="15.5703125" customWidth="1"/>
    <col min="5128" max="5128" width="12.7109375" customWidth="1"/>
    <col min="5378" max="5378" width="11.5703125" customWidth="1"/>
    <col min="5379" max="5379" width="5.7109375" customWidth="1"/>
    <col min="5380" max="5380" width="8" customWidth="1"/>
    <col min="5381" max="5381" width="11.140625" customWidth="1"/>
    <col min="5382" max="5382" width="3.7109375" customWidth="1"/>
    <col min="5383" max="5383" width="15.5703125" customWidth="1"/>
    <col min="5384" max="5384" width="12.7109375" customWidth="1"/>
    <col min="5634" max="5634" width="11.5703125" customWidth="1"/>
    <col min="5635" max="5635" width="5.7109375" customWidth="1"/>
    <col min="5636" max="5636" width="8" customWidth="1"/>
    <col min="5637" max="5637" width="11.140625" customWidth="1"/>
    <col min="5638" max="5638" width="3.7109375" customWidth="1"/>
    <col min="5639" max="5639" width="15.5703125" customWidth="1"/>
    <col min="5640" max="5640" width="12.7109375" customWidth="1"/>
    <col min="5890" max="5890" width="11.5703125" customWidth="1"/>
    <col min="5891" max="5891" width="5.7109375" customWidth="1"/>
    <col min="5892" max="5892" width="8" customWidth="1"/>
    <col min="5893" max="5893" width="11.140625" customWidth="1"/>
    <col min="5894" max="5894" width="3.7109375" customWidth="1"/>
    <col min="5895" max="5895" width="15.5703125" customWidth="1"/>
    <col min="5896" max="5896" width="12.7109375" customWidth="1"/>
    <col min="6146" max="6146" width="11.5703125" customWidth="1"/>
    <col min="6147" max="6147" width="5.7109375" customWidth="1"/>
    <col min="6148" max="6148" width="8" customWidth="1"/>
    <col min="6149" max="6149" width="11.140625" customWidth="1"/>
    <col min="6150" max="6150" width="3.7109375" customWidth="1"/>
    <col min="6151" max="6151" width="15.5703125" customWidth="1"/>
    <col min="6152" max="6152" width="12.7109375" customWidth="1"/>
    <col min="6402" max="6402" width="11.5703125" customWidth="1"/>
    <col min="6403" max="6403" width="5.7109375" customWidth="1"/>
    <col min="6404" max="6404" width="8" customWidth="1"/>
    <col min="6405" max="6405" width="11.140625" customWidth="1"/>
    <col min="6406" max="6406" width="3.7109375" customWidth="1"/>
    <col min="6407" max="6407" width="15.5703125" customWidth="1"/>
    <col min="6408" max="6408" width="12.7109375" customWidth="1"/>
    <col min="6658" max="6658" width="11.5703125" customWidth="1"/>
    <col min="6659" max="6659" width="5.7109375" customWidth="1"/>
    <col min="6660" max="6660" width="8" customWidth="1"/>
    <col min="6661" max="6661" width="11.140625" customWidth="1"/>
    <col min="6662" max="6662" width="3.7109375" customWidth="1"/>
    <col min="6663" max="6663" width="15.5703125" customWidth="1"/>
    <col min="6664" max="6664" width="12.7109375" customWidth="1"/>
    <col min="6914" max="6914" width="11.5703125" customWidth="1"/>
    <col min="6915" max="6915" width="5.7109375" customWidth="1"/>
    <col min="6916" max="6916" width="8" customWidth="1"/>
    <col min="6917" max="6917" width="11.140625" customWidth="1"/>
    <col min="6918" max="6918" width="3.7109375" customWidth="1"/>
    <col min="6919" max="6919" width="15.5703125" customWidth="1"/>
    <col min="6920" max="6920" width="12.7109375" customWidth="1"/>
    <col min="7170" max="7170" width="11.5703125" customWidth="1"/>
    <col min="7171" max="7171" width="5.7109375" customWidth="1"/>
    <col min="7172" max="7172" width="8" customWidth="1"/>
    <col min="7173" max="7173" width="11.140625" customWidth="1"/>
    <col min="7174" max="7174" width="3.7109375" customWidth="1"/>
    <col min="7175" max="7175" width="15.5703125" customWidth="1"/>
    <col min="7176" max="7176" width="12.7109375" customWidth="1"/>
    <col min="7426" max="7426" width="11.5703125" customWidth="1"/>
    <col min="7427" max="7427" width="5.7109375" customWidth="1"/>
    <col min="7428" max="7428" width="8" customWidth="1"/>
    <col min="7429" max="7429" width="11.140625" customWidth="1"/>
    <col min="7430" max="7430" width="3.7109375" customWidth="1"/>
    <col min="7431" max="7431" width="15.5703125" customWidth="1"/>
    <col min="7432" max="7432" width="12.7109375" customWidth="1"/>
    <col min="7682" max="7682" width="11.5703125" customWidth="1"/>
    <col min="7683" max="7683" width="5.7109375" customWidth="1"/>
    <col min="7684" max="7684" width="8" customWidth="1"/>
    <col min="7685" max="7685" width="11.140625" customWidth="1"/>
    <col min="7686" max="7686" width="3.7109375" customWidth="1"/>
    <col min="7687" max="7687" width="15.5703125" customWidth="1"/>
    <col min="7688" max="7688" width="12.7109375" customWidth="1"/>
    <col min="7938" max="7938" width="11.5703125" customWidth="1"/>
    <col min="7939" max="7939" width="5.7109375" customWidth="1"/>
    <col min="7940" max="7940" width="8" customWidth="1"/>
    <col min="7941" max="7941" width="11.140625" customWidth="1"/>
    <col min="7942" max="7942" width="3.7109375" customWidth="1"/>
    <col min="7943" max="7943" width="15.5703125" customWidth="1"/>
    <col min="7944" max="7944" width="12.7109375" customWidth="1"/>
    <col min="8194" max="8194" width="11.5703125" customWidth="1"/>
    <col min="8195" max="8195" width="5.7109375" customWidth="1"/>
    <col min="8196" max="8196" width="8" customWidth="1"/>
    <col min="8197" max="8197" width="11.140625" customWidth="1"/>
    <col min="8198" max="8198" width="3.7109375" customWidth="1"/>
    <col min="8199" max="8199" width="15.5703125" customWidth="1"/>
    <col min="8200" max="8200" width="12.7109375" customWidth="1"/>
    <col min="8450" max="8450" width="11.5703125" customWidth="1"/>
    <col min="8451" max="8451" width="5.7109375" customWidth="1"/>
    <col min="8452" max="8452" width="8" customWidth="1"/>
    <col min="8453" max="8453" width="11.140625" customWidth="1"/>
    <col min="8454" max="8454" width="3.7109375" customWidth="1"/>
    <col min="8455" max="8455" width="15.5703125" customWidth="1"/>
    <col min="8456" max="8456" width="12.7109375" customWidth="1"/>
    <col min="8706" max="8706" width="11.5703125" customWidth="1"/>
    <col min="8707" max="8707" width="5.7109375" customWidth="1"/>
    <col min="8708" max="8708" width="8" customWidth="1"/>
    <col min="8709" max="8709" width="11.140625" customWidth="1"/>
    <col min="8710" max="8710" width="3.7109375" customWidth="1"/>
    <col min="8711" max="8711" width="15.5703125" customWidth="1"/>
    <col min="8712" max="8712" width="12.7109375" customWidth="1"/>
    <col min="8962" max="8962" width="11.5703125" customWidth="1"/>
    <col min="8963" max="8963" width="5.7109375" customWidth="1"/>
    <col min="8964" max="8964" width="8" customWidth="1"/>
    <col min="8965" max="8965" width="11.140625" customWidth="1"/>
    <col min="8966" max="8966" width="3.7109375" customWidth="1"/>
    <col min="8967" max="8967" width="15.5703125" customWidth="1"/>
    <col min="8968" max="8968" width="12.7109375" customWidth="1"/>
    <col min="9218" max="9218" width="11.5703125" customWidth="1"/>
    <col min="9219" max="9219" width="5.7109375" customWidth="1"/>
    <col min="9220" max="9220" width="8" customWidth="1"/>
    <col min="9221" max="9221" width="11.140625" customWidth="1"/>
    <col min="9222" max="9222" width="3.7109375" customWidth="1"/>
    <col min="9223" max="9223" width="15.5703125" customWidth="1"/>
    <col min="9224" max="9224" width="12.7109375" customWidth="1"/>
    <col min="9474" max="9474" width="11.5703125" customWidth="1"/>
    <col min="9475" max="9475" width="5.7109375" customWidth="1"/>
    <col min="9476" max="9476" width="8" customWidth="1"/>
    <col min="9477" max="9477" width="11.140625" customWidth="1"/>
    <col min="9478" max="9478" width="3.7109375" customWidth="1"/>
    <col min="9479" max="9479" width="15.5703125" customWidth="1"/>
    <col min="9480" max="9480" width="12.7109375" customWidth="1"/>
    <col min="9730" max="9730" width="11.5703125" customWidth="1"/>
    <col min="9731" max="9731" width="5.7109375" customWidth="1"/>
    <col min="9732" max="9732" width="8" customWidth="1"/>
    <col min="9733" max="9733" width="11.140625" customWidth="1"/>
    <col min="9734" max="9734" width="3.7109375" customWidth="1"/>
    <col min="9735" max="9735" width="15.5703125" customWidth="1"/>
    <col min="9736" max="9736" width="12.7109375" customWidth="1"/>
    <col min="9986" max="9986" width="11.5703125" customWidth="1"/>
    <col min="9987" max="9987" width="5.7109375" customWidth="1"/>
    <col min="9988" max="9988" width="8" customWidth="1"/>
    <col min="9989" max="9989" width="11.140625" customWidth="1"/>
    <col min="9990" max="9990" width="3.7109375" customWidth="1"/>
    <col min="9991" max="9991" width="15.5703125" customWidth="1"/>
    <col min="9992" max="9992" width="12.7109375" customWidth="1"/>
    <col min="10242" max="10242" width="11.5703125" customWidth="1"/>
    <col min="10243" max="10243" width="5.7109375" customWidth="1"/>
    <col min="10244" max="10244" width="8" customWidth="1"/>
    <col min="10245" max="10245" width="11.140625" customWidth="1"/>
    <col min="10246" max="10246" width="3.7109375" customWidth="1"/>
    <col min="10247" max="10247" width="15.5703125" customWidth="1"/>
    <col min="10248" max="10248" width="12.7109375" customWidth="1"/>
    <col min="10498" max="10498" width="11.5703125" customWidth="1"/>
    <col min="10499" max="10499" width="5.7109375" customWidth="1"/>
    <col min="10500" max="10500" width="8" customWidth="1"/>
    <col min="10501" max="10501" width="11.140625" customWidth="1"/>
    <col min="10502" max="10502" width="3.7109375" customWidth="1"/>
    <col min="10503" max="10503" width="15.5703125" customWidth="1"/>
    <col min="10504" max="10504" width="12.7109375" customWidth="1"/>
    <col min="10754" max="10754" width="11.5703125" customWidth="1"/>
    <col min="10755" max="10755" width="5.7109375" customWidth="1"/>
    <col min="10756" max="10756" width="8" customWidth="1"/>
    <col min="10757" max="10757" width="11.140625" customWidth="1"/>
    <col min="10758" max="10758" width="3.7109375" customWidth="1"/>
    <col min="10759" max="10759" width="15.5703125" customWidth="1"/>
    <col min="10760" max="10760" width="12.7109375" customWidth="1"/>
    <col min="11010" max="11010" width="11.5703125" customWidth="1"/>
    <col min="11011" max="11011" width="5.7109375" customWidth="1"/>
    <col min="11012" max="11012" width="8" customWidth="1"/>
    <col min="11013" max="11013" width="11.140625" customWidth="1"/>
    <col min="11014" max="11014" width="3.7109375" customWidth="1"/>
    <col min="11015" max="11015" width="15.5703125" customWidth="1"/>
    <col min="11016" max="11016" width="12.7109375" customWidth="1"/>
    <col min="11266" max="11266" width="11.5703125" customWidth="1"/>
    <col min="11267" max="11267" width="5.7109375" customWidth="1"/>
    <col min="11268" max="11268" width="8" customWidth="1"/>
    <col min="11269" max="11269" width="11.140625" customWidth="1"/>
    <col min="11270" max="11270" width="3.7109375" customWidth="1"/>
    <col min="11271" max="11271" width="15.5703125" customWidth="1"/>
    <col min="11272" max="11272" width="12.7109375" customWidth="1"/>
    <col min="11522" max="11522" width="11.5703125" customWidth="1"/>
    <col min="11523" max="11523" width="5.7109375" customWidth="1"/>
    <col min="11524" max="11524" width="8" customWidth="1"/>
    <col min="11525" max="11525" width="11.140625" customWidth="1"/>
    <col min="11526" max="11526" width="3.7109375" customWidth="1"/>
    <col min="11527" max="11527" width="15.5703125" customWidth="1"/>
    <col min="11528" max="11528" width="12.7109375" customWidth="1"/>
    <col min="11778" max="11778" width="11.5703125" customWidth="1"/>
    <col min="11779" max="11779" width="5.7109375" customWidth="1"/>
    <col min="11780" max="11780" width="8" customWidth="1"/>
    <col min="11781" max="11781" width="11.140625" customWidth="1"/>
    <col min="11782" max="11782" width="3.7109375" customWidth="1"/>
    <col min="11783" max="11783" width="15.5703125" customWidth="1"/>
    <col min="11784" max="11784" width="12.7109375" customWidth="1"/>
    <col min="12034" max="12034" width="11.5703125" customWidth="1"/>
    <col min="12035" max="12035" width="5.7109375" customWidth="1"/>
    <col min="12036" max="12036" width="8" customWidth="1"/>
    <col min="12037" max="12037" width="11.140625" customWidth="1"/>
    <col min="12038" max="12038" width="3.7109375" customWidth="1"/>
    <col min="12039" max="12039" width="15.5703125" customWidth="1"/>
    <col min="12040" max="12040" width="12.7109375" customWidth="1"/>
    <col min="12290" max="12290" width="11.5703125" customWidth="1"/>
    <col min="12291" max="12291" width="5.7109375" customWidth="1"/>
    <col min="12292" max="12292" width="8" customWidth="1"/>
    <col min="12293" max="12293" width="11.140625" customWidth="1"/>
    <col min="12294" max="12294" width="3.7109375" customWidth="1"/>
    <col min="12295" max="12295" width="15.5703125" customWidth="1"/>
    <col min="12296" max="12296" width="12.7109375" customWidth="1"/>
    <col min="12546" max="12546" width="11.5703125" customWidth="1"/>
    <col min="12547" max="12547" width="5.7109375" customWidth="1"/>
    <col min="12548" max="12548" width="8" customWidth="1"/>
    <col min="12549" max="12549" width="11.140625" customWidth="1"/>
    <col min="12550" max="12550" width="3.7109375" customWidth="1"/>
    <col min="12551" max="12551" width="15.5703125" customWidth="1"/>
    <col min="12552" max="12552" width="12.7109375" customWidth="1"/>
    <col min="12802" max="12802" width="11.5703125" customWidth="1"/>
    <col min="12803" max="12803" width="5.7109375" customWidth="1"/>
    <col min="12804" max="12804" width="8" customWidth="1"/>
    <col min="12805" max="12805" width="11.140625" customWidth="1"/>
    <col min="12806" max="12806" width="3.7109375" customWidth="1"/>
    <col min="12807" max="12807" width="15.5703125" customWidth="1"/>
    <col min="12808" max="12808" width="12.7109375" customWidth="1"/>
    <col min="13058" max="13058" width="11.5703125" customWidth="1"/>
    <col min="13059" max="13059" width="5.7109375" customWidth="1"/>
    <col min="13060" max="13060" width="8" customWidth="1"/>
    <col min="13061" max="13061" width="11.140625" customWidth="1"/>
    <col min="13062" max="13062" width="3.7109375" customWidth="1"/>
    <col min="13063" max="13063" width="15.5703125" customWidth="1"/>
    <col min="13064" max="13064" width="12.7109375" customWidth="1"/>
    <col min="13314" max="13314" width="11.5703125" customWidth="1"/>
    <col min="13315" max="13315" width="5.7109375" customWidth="1"/>
    <col min="13316" max="13316" width="8" customWidth="1"/>
    <col min="13317" max="13317" width="11.140625" customWidth="1"/>
    <col min="13318" max="13318" width="3.7109375" customWidth="1"/>
    <col min="13319" max="13319" width="15.5703125" customWidth="1"/>
    <col min="13320" max="13320" width="12.7109375" customWidth="1"/>
    <col min="13570" max="13570" width="11.5703125" customWidth="1"/>
    <col min="13571" max="13571" width="5.7109375" customWidth="1"/>
    <col min="13572" max="13572" width="8" customWidth="1"/>
    <col min="13573" max="13573" width="11.140625" customWidth="1"/>
    <col min="13574" max="13574" width="3.7109375" customWidth="1"/>
    <col min="13575" max="13575" width="15.5703125" customWidth="1"/>
    <col min="13576" max="13576" width="12.7109375" customWidth="1"/>
    <col min="13826" max="13826" width="11.5703125" customWidth="1"/>
    <col min="13827" max="13827" width="5.7109375" customWidth="1"/>
    <col min="13828" max="13828" width="8" customWidth="1"/>
    <col min="13829" max="13829" width="11.140625" customWidth="1"/>
    <col min="13830" max="13830" width="3.7109375" customWidth="1"/>
    <col min="13831" max="13831" width="15.5703125" customWidth="1"/>
    <col min="13832" max="13832" width="12.7109375" customWidth="1"/>
    <col min="14082" max="14082" width="11.5703125" customWidth="1"/>
    <col min="14083" max="14083" width="5.7109375" customWidth="1"/>
    <col min="14084" max="14084" width="8" customWidth="1"/>
    <col min="14085" max="14085" width="11.140625" customWidth="1"/>
    <col min="14086" max="14086" width="3.7109375" customWidth="1"/>
    <col min="14087" max="14087" width="15.5703125" customWidth="1"/>
    <col min="14088" max="14088" width="12.7109375" customWidth="1"/>
    <col min="14338" max="14338" width="11.5703125" customWidth="1"/>
    <col min="14339" max="14339" width="5.7109375" customWidth="1"/>
    <col min="14340" max="14340" width="8" customWidth="1"/>
    <col min="14341" max="14341" width="11.140625" customWidth="1"/>
    <col min="14342" max="14342" width="3.7109375" customWidth="1"/>
    <col min="14343" max="14343" width="15.5703125" customWidth="1"/>
    <col min="14344" max="14344" width="12.7109375" customWidth="1"/>
    <col min="14594" max="14594" width="11.5703125" customWidth="1"/>
    <col min="14595" max="14595" width="5.7109375" customWidth="1"/>
    <col min="14596" max="14596" width="8" customWidth="1"/>
    <col min="14597" max="14597" width="11.140625" customWidth="1"/>
    <col min="14598" max="14598" width="3.7109375" customWidth="1"/>
    <col min="14599" max="14599" width="15.5703125" customWidth="1"/>
    <col min="14600" max="14600" width="12.7109375" customWidth="1"/>
    <col min="14850" max="14850" width="11.5703125" customWidth="1"/>
    <col min="14851" max="14851" width="5.7109375" customWidth="1"/>
    <col min="14852" max="14852" width="8" customWidth="1"/>
    <col min="14853" max="14853" width="11.140625" customWidth="1"/>
    <col min="14854" max="14854" width="3.7109375" customWidth="1"/>
    <col min="14855" max="14855" width="15.5703125" customWidth="1"/>
    <col min="14856" max="14856" width="12.7109375" customWidth="1"/>
    <col min="15106" max="15106" width="11.5703125" customWidth="1"/>
    <col min="15107" max="15107" width="5.7109375" customWidth="1"/>
    <col min="15108" max="15108" width="8" customWidth="1"/>
    <col min="15109" max="15109" width="11.140625" customWidth="1"/>
    <col min="15110" max="15110" width="3.7109375" customWidth="1"/>
    <col min="15111" max="15111" width="15.5703125" customWidth="1"/>
    <col min="15112" max="15112" width="12.7109375" customWidth="1"/>
    <col min="15362" max="15362" width="11.5703125" customWidth="1"/>
    <col min="15363" max="15363" width="5.7109375" customWidth="1"/>
    <col min="15364" max="15364" width="8" customWidth="1"/>
    <col min="15365" max="15365" width="11.140625" customWidth="1"/>
    <col min="15366" max="15366" width="3.7109375" customWidth="1"/>
    <col min="15367" max="15367" width="15.5703125" customWidth="1"/>
    <col min="15368" max="15368" width="12.7109375" customWidth="1"/>
    <col min="15618" max="15618" width="11.5703125" customWidth="1"/>
    <col min="15619" max="15619" width="5.7109375" customWidth="1"/>
    <col min="15620" max="15620" width="8" customWidth="1"/>
    <col min="15621" max="15621" width="11.140625" customWidth="1"/>
    <col min="15622" max="15622" width="3.7109375" customWidth="1"/>
    <col min="15623" max="15623" width="15.5703125" customWidth="1"/>
    <col min="15624" max="15624" width="12.7109375" customWidth="1"/>
    <col min="15874" max="15874" width="11.5703125" customWidth="1"/>
    <col min="15875" max="15875" width="5.7109375" customWidth="1"/>
    <col min="15876" max="15876" width="8" customWidth="1"/>
    <col min="15877" max="15877" width="11.140625" customWidth="1"/>
    <col min="15878" max="15878" width="3.7109375" customWidth="1"/>
    <col min="15879" max="15879" width="15.5703125" customWidth="1"/>
    <col min="15880" max="15880" width="12.7109375" customWidth="1"/>
    <col min="16130" max="16130" width="11.5703125" customWidth="1"/>
    <col min="16131" max="16131" width="5.7109375" customWidth="1"/>
    <col min="16132" max="16132" width="8" customWidth="1"/>
    <col min="16133" max="16133" width="11.140625" customWidth="1"/>
    <col min="16134" max="16134" width="3.7109375" customWidth="1"/>
    <col min="16135" max="16135" width="15.5703125" customWidth="1"/>
    <col min="16136" max="16136" width="12.7109375" customWidth="1"/>
  </cols>
  <sheetData>
    <row r="1" spans="2:9" ht="13.5" thickBot="1" x14ac:dyDescent="0.25">
      <c r="B1" s="234" t="s">
        <v>253</v>
      </c>
      <c r="C1" s="234" t="s">
        <v>90</v>
      </c>
      <c r="D1" s="235" t="s">
        <v>254</v>
      </c>
      <c r="E1" s="235" t="s">
        <v>81</v>
      </c>
      <c r="F1" s="129"/>
      <c r="G1" s="236" t="s">
        <v>255</v>
      </c>
      <c r="H1" s="26">
        <v>60</v>
      </c>
    </row>
    <row r="2" spans="2:9" ht="13.5" thickTop="1" x14ac:dyDescent="0.2">
      <c r="B2" s="237" t="s">
        <v>118</v>
      </c>
      <c r="C2" s="237">
        <v>300</v>
      </c>
      <c r="D2" s="238">
        <v>12000</v>
      </c>
      <c r="E2" s="239">
        <f>D2*H$1</f>
        <v>720000</v>
      </c>
      <c r="F2" s="129"/>
      <c r="G2" s="26"/>
      <c r="H2" s="26"/>
    </row>
    <row r="3" spans="2:9" x14ac:dyDescent="0.2">
      <c r="B3" s="129" t="s">
        <v>118</v>
      </c>
      <c r="C3" s="129">
        <v>45</v>
      </c>
      <c r="D3" s="238">
        <v>4900</v>
      </c>
      <c r="E3" s="239">
        <f t="shared" ref="E3:E7" si="0">D3*H$1</f>
        <v>294000</v>
      </c>
      <c r="F3" s="129"/>
      <c r="G3" s="26"/>
      <c r="H3" s="26"/>
    </row>
    <row r="4" spans="2:9" x14ac:dyDescent="0.2">
      <c r="B4" s="129" t="s">
        <v>49</v>
      </c>
      <c r="C4" s="129">
        <v>120</v>
      </c>
      <c r="D4" s="238">
        <v>7000</v>
      </c>
      <c r="E4" s="239">
        <f t="shared" si="0"/>
        <v>420000</v>
      </c>
      <c r="F4" s="129"/>
      <c r="G4" s="240" t="s">
        <v>253</v>
      </c>
      <c r="H4" s="240" t="s">
        <v>70</v>
      </c>
    </row>
    <row r="5" spans="2:9" x14ac:dyDescent="0.2">
      <c r="B5" s="129" t="s">
        <v>49</v>
      </c>
      <c r="C5" s="129">
        <v>700</v>
      </c>
      <c r="D5" s="238">
        <v>10000</v>
      </c>
      <c r="E5" s="239">
        <f t="shared" si="0"/>
        <v>600000</v>
      </c>
      <c r="F5" s="129"/>
      <c r="G5" s="154" t="s">
        <v>118</v>
      </c>
      <c r="H5" s="241">
        <f>SUMIF(B$2:B$7,G5,E$2:E$7)</f>
        <v>1014000</v>
      </c>
      <c r="I5" s="319" t="s">
        <v>502</v>
      </c>
    </row>
    <row r="6" spans="2:9" x14ac:dyDescent="0.2">
      <c r="B6" s="129" t="s">
        <v>49</v>
      </c>
      <c r="C6" s="129">
        <v>200</v>
      </c>
      <c r="D6" s="238">
        <v>11000</v>
      </c>
      <c r="E6" s="239">
        <f t="shared" si="0"/>
        <v>660000</v>
      </c>
      <c r="F6" s="129"/>
      <c r="G6" s="154" t="s">
        <v>49</v>
      </c>
      <c r="H6" s="241">
        <f>SUMIF(B$2:B$7,G6,E$2:E$7)</f>
        <v>1680000</v>
      </c>
      <c r="I6" s="319" t="s">
        <v>501</v>
      </c>
    </row>
    <row r="7" spans="2:9" x14ac:dyDescent="0.2">
      <c r="B7" s="242" t="s">
        <v>154</v>
      </c>
      <c r="C7" s="242">
        <v>350</v>
      </c>
      <c r="D7" s="243">
        <v>5000</v>
      </c>
      <c r="E7" s="239">
        <f t="shared" si="0"/>
        <v>300000</v>
      </c>
      <c r="F7" s="129"/>
      <c r="G7" s="154" t="s">
        <v>154</v>
      </c>
      <c r="H7" s="241">
        <f>SUMIF(B$2:B$7,G7,E$2:E$7)</f>
        <v>300000</v>
      </c>
      <c r="I7" s="319" t="s">
        <v>500</v>
      </c>
    </row>
    <row r="8" spans="2:9" x14ac:dyDescent="0.2">
      <c r="B8" s="244"/>
      <c r="C8" s="129"/>
      <c r="D8" s="129"/>
      <c r="E8" s="129"/>
      <c r="F8" s="129"/>
      <c r="G8" s="154" t="s">
        <v>256</v>
      </c>
      <c r="H8" s="137">
        <f>COUNTIF(B2:B7,"&lt;&gt;Ana")</f>
        <v>3</v>
      </c>
      <c r="I8" s="319" t="s">
        <v>495</v>
      </c>
    </row>
    <row r="9" spans="2:9" x14ac:dyDescent="0.2">
      <c r="B9" s="244"/>
      <c r="C9" s="129"/>
      <c r="D9" s="129"/>
      <c r="E9" s="129"/>
      <c r="F9" s="129"/>
      <c r="G9" s="154" t="s">
        <v>257</v>
      </c>
      <c r="H9" s="245">
        <f>SUMIF(B2:B7,G5,E2:E7)/SUM(E2:E7)</f>
        <v>0.33867735470941884</v>
      </c>
      <c r="I9" s="319" t="s">
        <v>499</v>
      </c>
    </row>
    <row r="10" spans="2:9" x14ac:dyDescent="0.2">
      <c r="B10" s="26"/>
      <c r="C10" s="26"/>
      <c r="D10" s="26"/>
      <c r="E10" s="26"/>
      <c r="F10" s="26"/>
      <c r="G10" s="154" t="s">
        <v>258</v>
      </c>
      <c r="H10" s="246">
        <f>COUNTIF(E2:E7,"&gt;500000")</f>
        <v>3</v>
      </c>
      <c r="I10" s="319" t="s">
        <v>498</v>
      </c>
    </row>
    <row r="11" spans="2:9" x14ac:dyDescent="0.2">
      <c r="B11" s="26"/>
      <c r="C11" s="26"/>
      <c r="D11" s="26"/>
      <c r="E11" s="26"/>
      <c r="F11" s="26"/>
      <c r="G11" s="154" t="s">
        <v>259</v>
      </c>
      <c r="H11" s="241">
        <f>SUMIF(B2:B7,G6,E2:E7)/COUNTIF(B2:B7,G6)</f>
        <v>560000</v>
      </c>
      <c r="I11" s="319" t="s">
        <v>497</v>
      </c>
    </row>
    <row r="12" spans="2:9" x14ac:dyDescent="0.2">
      <c r="B12" s="26"/>
      <c r="C12" s="26"/>
      <c r="D12" s="26"/>
      <c r="E12" s="26"/>
      <c r="F12" s="26"/>
      <c r="G12" s="154" t="s">
        <v>260</v>
      </c>
      <c r="H12" s="241">
        <f>MAX(E2:E12)</f>
        <v>720000</v>
      </c>
      <c r="I12" s="319" t="s">
        <v>496</v>
      </c>
    </row>
    <row r="13" spans="2:9" ht="24" customHeight="1" x14ac:dyDescent="0.2">
      <c r="B13" s="179" t="s">
        <v>261</v>
      </c>
    </row>
    <row r="14" spans="2:9" ht="28.5" customHeight="1" x14ac:dyDescent="0.2">
      <c r="B14" s="181" t="s">
        <v>216</v>
      </c>
      <c r="C14" s="466">
        <f>D2*H$1</f>
        <v>720000</v>
      </c>
      <c r="D14" s="466"/>
      <c r="E14" s="422" t="s">
        <v>493</v>
      </c>
      <c r="F14" s="182"/>
      <c r="G14" s="182"/>
      <c r="H14" s="111"/>
    </row>
    <row r="15" spans="2:9" ht="8.25" customHeight="1" x14ac:dyDescent="0.2"/>
    <row r="16" spans="2:9" ht="18.75" customHeight="1" x14ac:dyDescent="0.2">
      <c r="B16" s="179" t="s">
        <v>262</v>
      </c>
    </row>
    <row r="17" spans="2:9" ht="30" customHeight="1" x14ac:dyDescent="0.2">
      <c r="B17" s="184" t="s">
        <v>263</v>
      </c>
      <c r="C17" s="182">
        <f>COUNTIF(E2:E7,"&gt;500000,00")</f>
        <v>3</v>
      </c>
      <c r="D17" s="422" t="s">
        <v>494</v>
      </c>
      <c r="E17" s="182"/>
      <c r="F17" s="182"/>
      <c r="G17" s="182"/>
      <c r="H17" s="111"/>
    </row>
    <row r="18" spans="2:9" ht="18.75" customHeight="1" x14ac:dyDescent="0.2">
      <c r="B18" s="247" t="s">
        <v>264</v>
      </c>
    </row>
    <row r="19" spans="2:9" ht="18.75" customHeight="1" x14ac:dyDescent="0.2">
      <c r="B19" s="184" t="s">
        <v>265</v>
      </c>
      <c r="C19" s="182">
        <f>COUNTIF(B2:B7,"&lt;&gt;Ana")</f>
        <v>3</v>
      </c>
      <c r="D19" s="422" t="s">
        <v>495</v>
      </c>
      <c r="E19" s="182"/>
      <c r="F19" s="182"/>
      <c r="G19" s="182"/>
      <c r="H19" s="111"/>
    </row>
    <row r="20" spans="2:9" ht="18.75" customHeight="1" x14ac:dyDescent="0.2">
      <c r="B20" s="179" t="s">
        <v>266</v>
      </c>
    </row>
    <row r="21" spans="2:9" ht="30.75" customHeight="1" x14ac:dyDescent="0.2">
      <c r="B21" s="184" t="s">
        <v>267</v>
      </c>
      <c r="C21" s="466">
        <f>SUMIF(B$2:B$7,G5,E$2:E$7)</f>
        <v>1014000</v>
      </c>
      <c r="D21" s="466"/>
      <c r="E21" s="422" t="s">
        <v>502</v>
      </c>
      <c r="F21" s="182"/>
      <c r="G21" s="182"/>
      <c r="H21" s="111"/>
    </row>
    <row r="22" spans="2:9" ht="7.5" customHeight="1" x14ac:dyDescent="0.2"/>
    <row r="23" spans="2:9" ht="18.75" customHeight="1" x14ac:dyDescent="0.2">
      <c r="B23" s="179" t="s">
        <v>268</v>
      </c>
    </row>
    <row r="24" spans="2:9" ht="25.5" customHeight="1" x14ac:dyDescent="0.2">
      <c r="B24" s="184" t="s">
        <v>269</v>
      </c>
      <c r="C24" s="467">
        <f>SUMIF(B2:B7,G5,E2:E7)/SUM(E2:E7)</f>
        <v>0.33867735470941884</v>
      </c>
      <c r="D24" s="467"/>
      <c r="E24" s="422" t="s">
        <v>499</v>
      </c>
      <c r="F24" s="182"/>
      <c r="G24" s="182"/>
      <c r="H24" s="111"/>
    </row>
    <row r="25" spans="2:9" ht="5.25" customHeight="1" x14ac:dyDescent="0.2"/>
    <row r="26" spans="2:9" x14ac:dyDescent="0.2">
      <c r="B26" s="179" t="s">
        <v>270</v>
      </c>
    </row>
    <row r="27" spans="2:9" ht="25.5" customHeight="1" x14ac:dyDescent="0.2">
      <c r="B27" s="184" t="s">
        <v>271</v>
      </c>
      <c r="C27" s="468">
        <f>SUMIF(B2:B7,G6,E2:E7)/COUNTIF(B2:B7,G6)</f>
        <v>560000</v>
      </c>
      <c r="D27" s="468"/>
      <c r="E27" s="422" t="s">
        <v>497</v>
      </c>
      <c r="F27" s="182"/>
      <c r="G27" s="182"/>
      <c r="H27" s="111"/>
      <c r="I27" s="26"/>
    </row>
  </sheetData>
  <mergeCells count="4">
    <mergeCell ref="C14:D14"/>
    <mergeCell ref="C21:D21"/>
    <mergeCell ref="C24:D24"/>
    <mergeCell ref="C27:D2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H9" sqref="H9"/>
    </sheetView>
  </sheetViews>
  <sheetFormatPr defaultRowHeight="12.75" x14ac:dyDescent="0.2"/>
  <cols>
    <col min="1" max="1" width="10.28515625" customWidth="1"/>
    <col min="3" max="3" width="9" customWidth="1"/>
    <col min="8" max="8" width="11.7109375" customWidth="1"/>
    <col min="9" max="9" width="11.85546875" customWidth="1"/>
  </cols>
  <sheetData>
    <row r="1" spans="1:12" ht="20.25" x14ac:dyDescent="0.3">
      <c r="A1" s="458" t="s">
        <v>402</v>
      </c>
      <c r="B1" s="458"/>
      <c r="C1" s="458"/>
      <c r="D1" s="458"/>
      <c r="E1" s="458"/>
      <c r="F1" s="458"/>
    </row>
    <row r="3" spans="1:12" ht="13.5" thickBot="1" x14ac:dyDescent="0.25">
      <c r="A3" s="319"/>
      <c r="B3" s="319"/>
      <c r="C3" s="319"/>
      <c r="D3" s="320">
        <v>0.4</v>
      </c>
      <c r="E3" s="320">
        <v>0.6</v>
      </c>
      <c r="F3" s="319"/>
      <c r="G3" s="319"/>
      <c r="H3" s="319"/>
    </row>
    <row r="4" spans="1:12" ht="14.25" thickTop="1" thickBot="1" x14ac:dyDescent="0.25">
      <c r="A4" s="321" t="s">
        <v>403</v>
      </c>
      <c r="B4" s="322" t="s">
        <v>47</v>
      </c>
      <c r="C4" s="321" t="s">
        <v>392</v>
      </c>
      <c r="D4" s="321" t="s">
        <v>404</v>
      </c>
      <c r="E4" s="321" t="s">
        <v>9</v>
      </c>
      <c r="F4" s="321" t="s">
        <v>299</v>
      </c>
      <c r="G4" s="321" t="s">
        <v>405</v>
      </c>
      <c r="H4" s="321" t="s">
        <v>406</v>
      </c>
      <c r="K4" s="323"/>
    </row>
    <row r="5" spans="1:12" ht="13.5" thickTop="1" x14ac:dyDescent="0.2">
      <c r="A5" s="324">
        <v>145</v>
      </c>
      <c r="B5" s="324" t="s">
        <v>407</v>
      </c>
      <c r="C5" s="324" t="s">
        <v>393</v>
      </c>
      <c r="D5" s="324">
        <v>8</v>
      </c>
      <c r="E5" s="324">
        <v>13</v>
      </c>
      <c r="F5" s="325">
        <f>(D5*D$3)+(E5*E$3)</f>
        <v>11</v>
      </c>
      <c r="G5" s="326"/>
      <c r="H5" s="326"/>
    </row>
    <row r="6" spans="1:12" x14ac:dyDescent="0.2">
      <c r="A6" s="327">
        <v>146</v>
      </c>
      <c r="B6" s="327" t="s">
        <v>408</v>
      </c>
      <c r="C6" s="327" t="s">
        <v>393</v>
      </c>
      <c r="D6" s="327">
        <v>12</v>
      </c>
      <c r="E6" s="327">
        <v>11</v>
      </c>
      <c r="F6" s="325">
        <f t="shared" ref="F6:F11" si="0">(D6*D$3)+(E6*E$3)</f>
        <v>11.4</v>
      </c>
      <c r="G6" s="326"/>
      <c r="H6" s="326"/>
    </row>
    <row r="7" spans="1:12" x14ac:dyDescent="0.2">
      <c r="A7" s="327">
        <v>147</v>
      </c>
      <c r="B7" s="327" t="s">
        <v>409</v>
      </c>
      <c r="C7" s="327" t="s">
        <v>393</v>
      </c>
      <c r="D7" s="327">
        <v>5</v>
      </c>
      <c r="E7" s="327">
        <v>11</v>
      </c>
      <c r="F7" s="325">
        <f t="shared" si="0"/>
        <v>8.6</v>
      </c>
      <c r="G7" s="326"/>
      <c r="H7" s="326"/>
    </row>
    <row r="8" spans="1:12" x14ac:dyDescent="0.2">
      <c r="A8" s="327">
        <v>148</v>
      </c>
      <c r="B8" s="327" t="s">
        <v>410</v>
      </c>
      <c r="C8" s="327" t="s">
        <v>191</v>
      </c>
      <c r="D8" s="327">
        <v>15</v>
      </c>
      <c r="E8" s="327">
        <v>13</v>
      </c>
      <c r="F8" s="325">
        <f t="shared" si="0"/>
        <v>13.8</v>
      </c>
      <c r="G8" s="326"/>
      <c r="H8" s="326"/>
    </row>
    <row r="9" spans="1:12" x14ac:dyDescent="0.2">
      <c r="A9" s="327">
        <v>149</v>
      </c>
      <c r="B9" s="327" t="s">
        <v>411</v>
      </c>
      <c r="C9" s="327" t="s">
        <v>393</v>
      </c>
      <c r="D9" s="327">
        <v>5</v>
      </c>
      <c r="E9" s="327">
        <v>11</v>
      </c>
      <c r="F9" s="325">
        <f t="shared" si="0"/>
        <v>8.6</v>
      </c>
      <c r="G9" s="326"/>
      <c r="H9" s="326"/>
    </row>
    <row r="10" spans="1:12" x14ac:dyDescent="0.2">
      <c r="A10" s="327">
        <v>150</v>
      </c>
      <c r="B10" s="327" t="s">
        <v>412</v>
      </c>
      <c r="C10" s="327" t="s">
        <v>191</v>
      </c>
      <c r="D10" s="327">
        <v>12</v>
      </c>
      <c r="E10" s="327">
        <v>12</v>
      </c>
      <c r="F10" s="325">
        <f t="shared" si="0"/>
        <v>12</v>
      </c>
      <c r="G10" s="326"/>
      <c r="H10" s="326"/>
    </row>
    <row r="11" spans="1:12" x14ac:dyDescent="0.2">
      <c r="A11" s="327">
        <v>151</v>
      </c>
      <c r="B11" s="327" t="s">
        <v>413</v>
      </c>
      <c r="C11" s="327" t="s">
        <v>393</v>
      </c>
      <c r="D11" s="327">
        <v>19</v>
      </c>
      <c r="E11" s="327">
        <v>16</v>
      </c>
      <c r="F11" s="325">
        <f t="shared" si="0"/>
        <v>17.2</v>
      </c>
      <c r="G11" s="326"/>
      <c r="H11" s="326"/>
    </row>
    <row r="12" spans="1:12" x14ac:dyDescent="0.2">
      <c r="A12" s="328"/>
      <c r="B12" s="328"/>
      <c r="C12" s="329"/>
      <c r="D12" s="329"/>
      <c r="E12" s="329"/>
      <c r="F12" s="329"/>
      <c r="G12" s="329"/>
      <c r="H12" s="329"/>
    </row>
    <row r="13" spans="1:12" x14ac:dyDescent="0.2">
      <c r="A13" s="328"/>
      <c r="B13" s="328"/>
      <c r="C13" s="329"/>
      <c r="D13" s="329"/>
      <c r="E13" s="329"/>
      <c r="F13" s="329"/>
      <c r="G13" s="329"/>
      <c r="H13" s="329"/>
    </row>
    <row r="14" spans="1:12" ht="14.25" x14ac:dyDescent="0.2">
      <c r="A14" s="330" t="s">
        <v>414</v>
      </c>
      <c r="B14" s="331"/>
      <c r="C14" s="332"/>
      <c r="D14" s="332"/>
      <c r="E14" s="332"/>
      <c r="F14" s="332"/>
      <c r="G14" s="332"/>
      <c r="H14" s="332"/>
      <c r="I14" s="333"/>
      <c r="J14" s="334">
        <f>(D5*D3)+(E5*E3)</f>
        <v>11</v>
      </c>
      <c r="K14" s="319" t="s">
        <v>469</v>
      </c>
    </row>
    <row r="15" spans="1:12" ht="14.25" x14ac:dyDescent="0.2">
      <c r="A15" s="416" t="s">
        <v>415</v>
      </c>
      <c r="B15" s="417"/>
      <c r="C15" s="417"/>
      <c r="D15" s="417"/>
      <c r="E15" s="417"/>
      <c r="F15" s="417"/>
      <c r="G15" s="417"/>
      <c r="H15" s="417"/>
      <c r="I15" s="333"/>
      <c r="J15" s="419" t="str">
        <f>IF(F5&gt;=10,"Aprovado","Reprovado")</f>
        <v>Aprovado</v>
      </c>
      <c r="K15" s="319" t="s">
        <v>503</v>
      </c>
      <c r="L15" s="319"/>
    </row>
    <row r="16" spans="1:12" ht="15" x14ac:dyDescent="0.25">
      <c r="A16" s="416" t="s">
        <v>457</v>
      </c>
      <c r="B16" s="417"/>
      <c r="C16" s="417"/>
      <c r="D16" s="417"/>
      <c r="E16" s="417"/>
      <c r="F16" s="417"/>
      <c r="G16" s="417"/>
      <c r="H16" s="417"/>
      <c r="I16" s="418"/>
      <c r="J16" s="419" t="str">
        <f>IF(F5&gt;=D5,"Subiu","Não Subiu")</f>
        <v>Subiu</v>
      </c>
      <c r="K16" s="319" t="s">
        <v>504</v>
      </c>
      <c r="L16" s="319"/>
    </row>
    <row r="17" spans="1:11" ht="14.25" x14ac:dyDescent="0.2">
      <c r="A17" s="335" t="s">
        <v>416</v>
      </c>
      <c r="B17" s="331"/>
      <c r="C17" s="332"/>
      <c r="D17" s="332"/>
      <c r="E17" s="332"/>
      <c r="F17" s="332"/>
      <c r="G17" s="332"/>
      <c r="H17" s="332"/>
      <c r="I17" s="333"/>
      <c r="J17" s="334">
        <f>SUMIF(F5:F11,"&gt;9,5")/COUNTIF(F5:F11,"&gt;9,5")</f>
        <v>13.080000000000002</v>
      </c>
      <c r="K17" s="319" t="s">
        <v>468</v>
      </c>
    </row>
    <row r="18" spans="1:11" ht="14.25" x14ac:dyDescent="0.2">
      <c r="A18" s="335" t="s">
        <v>417</v>
      </c>
      <c r="B18" s="331"/>
      <c r="C18" s="332"/>
      <c r="D18" s="332"/>
      <c r="E18" s="332"/>
      <c r="F18" s="332"/>
      <c r="G18" s="332"/>
      <c r="H18" s="332"/>
      <c r="I18" s="333"/>
      <c r="J18" s="334">
        <f>COUNTIF(F5:F11,"&lt;9,5")</f>
        <v>2</v>
      </c>
      <c r="K18" s="319" t="s">
        <v>467</v>
      </c>
    </row>
    <row r="19" spans="1:11" ht="14.25" x14ac:dyDescent="0.2">
      <c r="A19" s="335" t="s">
        <v>418</v>
      </c>
      <c r="B19" s="336"/>
      <c r="C19" s="336"/>
      <c r="D19" s="336"/>
      <c r="E19" s="332"/>
      <c r="F19" s="332"/>
      <c r="G19" s="332"/>
      <c r="H19" s="332"/>
      <c r="I19" s="333"/>
      <c r="J19" s="334">
        <f>MAX(F5:F11)</f>
        <v>17.2</v>
      </c>
      <c r="K19" s="319" t="s">
        <v>466</v>
      </c>
    </row>
    <row r="20" spans="1:11" ht="14.25" x14ac:dyDescent="0.2">
      <c r="A20" s="335" t="s">
        <v>419</v>
      </c>
      <c r="B20" s="336"/>
      <c r="C20" s="336"/>
      <c r="D20" s="336"/>
      <c r="E20" s="332"/>
      <c r="F20" s="332"/>
      <c r="G20" s="332"/>
      <c r="H20" s="337"/>
      <c r="I20" s="338"/>
      <c r="J20" s="334"/>
    </row>
    <row r="21" spans="1:11" x14ac:dyDescent="0.2">
      <c r="H21" s="339"/>
    </row>
    <row r="22" spans="1:11" x14ac:dyDescent="0.2">
      <c r="B22" s="21" t="s">
        <v>420</v>
      </c>
      <c r="H22" s="339"/>
    </row>
    <row r="23" spans="1:11" x14ac:dyDescent="0.2">
      <c r="B23" s="21" t="s">
        <v>393</v>
      </c>
      <c r="C23" s="340">
        <f>SUMIF(C5:C11,"=M",F5:F11)/COUNTIF(C5:C11,"=M")</f>
        <v>11.36</v>
      </c>
      <c r="D23" s="319" t="s">
        <v>465</v>
      </c>
      <c r="H23" s="339"/>
    </row>
    <row r="24" spans="1:11" x14ac:dyDescent="0.2">
      <c r="B24" s="21" t="s">
        <v>191</v>
      </c>
      <c r="C24" s="340">
        <f>SUMIF(C5:C11,"=F",F5:F11)/COUNTIF(C5:C11,"=F")</f>
        <v>12.9</v>
      </c>
      <c r="D24" s="319" t="s">
        <v>464</v>
      </c>
      <c r="H24" s="339"/>
    </row>
    <row r="25" spans="1:11" x14ac:dyDescent="0.2">
      <c r="H25" s="339"/>
    </row>
    <row r="26" spans="1:11" x14ac:dyDescent="0.2">
      <c r="E26" s="21"/>
      <c r="H26" s="339"/>
    </row>
    <row r="27" spans="1:11" x14ac:dyDescent="0.2">
      <c r="H27" s="339"/>
    </row>
    <row r="28" spans="1:11" x14ac:dyDescent="0.2">
      <c r="H28" s="339"/>
    </row>
    <row r="29" spans="1:11" x14ac:dyDescent="0.2">
      <c r="H29" s="339"/>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33" sqref="N33"/>
    </sheetView>
  </sheetViews>
  <sheetFormatPr defaultRowHeight="12.75" x14ac:dyDescent="0.2"/>
  <sheetData/>
  <phoneticPr fontId="0"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F4" sqref="F4"/>
    </sheetView>
  </sheetViews>
  <sheetFormatPr defaultRowHeight="12.75" x14ac:dyDescent="0.2"/>
  <cols>
    <col min="1" max="1" width="5" customWidth="1"/>
    <col min="2" max="2" width="7.140625" customWidth="1"/>
    <col min="3" max="3" width="13.5703125" customWidth="1"/>
    <col min="4" max="4" width="11" customWidth="1"/>
    <col min="5" max="5" width="10.42578125" customWidth="1"/>
    <col min="6" max="6" width="11.42578125" customWidth="1"/>
    <col min="7" max="7" width="10.85546875" customWidth="1"/>
  </cols>
  <sheetData>
    <row r="1" spans="1:16" ht="15.75" x14ac:dyDescent="0.25">
      <c r="A1" s="437" t="s">
        <v>10</v>
      </c>
      <c r="B1" s="437"/>
      <c r="C1" s="437"/>
      <c r="D1" s="437"/>
      <c r="E1" s="437"/>
      <c r="F1" s="437"/>
      <c r="G1" s="13"/>
      <c r="H1" s="13"/>
      <c r="I1" s="13"/>
      <c r="J1" s="13"/>
      <c r="K1" s="13"/>
      <c r="L1" s="13"/>
      <c r="M1" s="13"/>
      <c r="N1" s="13"/>
      <c r="O1" s="13"/>
      <c r="P1" s="13"/>
    </row>
    <row r="2" spans="1:16" ht="13.5" thickBot="1" x14ac:dyDescent="0.25">
      <c r="A2" s="14"/>
      <c r="B2" s="15"/>
      <c r="C2" s="14"/>
      <c r="D2" s="16"/>
      <c r="E2" s="15"/>
      <c r="F2" s="15"/>
      <c r="G2" s="13"/>
      <c r="H2" s="13"/>
      <c r="I2" s="13"/>
      <c r="J2" s="13"/>
      <c r="K2" s="13"/>
      <c r="L2" s="13"/>
      <c r="M2" s="13"/>
      <c r="N2" s="13"/>
      <c r="O2" s="13"/>
      <c r="P2" s="13"/>
    </row>
    <row r="3" spans="1:16" x14ac:dyDescent="0.2">
      <c r="A3" t="s">
        <v>11</v>
      </c>
      <c r="G3" s="13"/>
      <c r="H3" s="13"/>
      <c r="I3" s="17"/>
      <c r="J3" s="13"/>
      <c r="K3" s="13"/>
      <c r="L3" s="13">
        <v>1970</v>
      </c>
      <c r="M3" s="13">
        <v>1970</v>
      </c>
      <c r="N3" s="13"/>
      <c r="O3" s="13"/>
      <c r="P3" s="13"/>
    </row>
    <row r="4" spans="1:16" x14ac:dyDescent="0.2">
      <c r="B4" t="s">
        <v>12</v>
      </c>
      <c r="G4" s="13"/>
      <c r="H4" s="13"/>
      <c r="I4" s="17"/>
      <c r="J4" s="13"/>
      <c r="K4" s="13"/>
      <c r="L4" s="13">
        <v>1971</v>
      </c>
      <c r="M4" s="13">
        <v>1971</v>
      </c>
      <c r="N4" s="13"/>
      <c r="O4" s="13"/>
      <c r="P4" s="13"/>
    </row>
    <row r="5" spans="1:16" x14ac:dyDescent="0.2">
      <c r="B5" t="s">
        <v>13</v>
      </c>
      <c r="G5" s="13"/>
      <c r="H5" s="13"/>
      <c r="I5" s="17"/>
      <c r="J5" s="13"/>
      <c r="K5" s="13"/>
      <c r="L5" s="13">
        <v>1972</v>
      </c>
      <c r="M5" s="13">
        <v>1972</v>
      </c>
      <c r="N5" s="13"/>
      <c r="O5" s="13"/>
      <c r="P5" s="13"/>
    </row>
    <row r="6" spans="1:16" x14ac:dyDescent="0.2">
      <c r="B6" t="s">
        <v>14</v>
      </c>
      <c r="G6" s="13"/>
      <c r="H6" s="13"/>
      <c r="I6" s="17"/>
      <c r="J6" s="13"/>
      <c r="K6" s="13"/>
      <c r="L6" s="13">
        <v>1973</v>
      </c>
      <c r="M6" s="13">
        <v>1973</v>
      </c>
      <c r="N6" s="13"/>
      <c r="O6" s="13"/>
      <c r="P6" s="13"/>
    </row>
    <row r="7" spans="1:16" x14ac:dyDescent="0.2">
      <c r="B7" t="s">
        <v>15</v>
      </c>
      <c r="G7" s="13"/>
      <c r="H7" s="13"/>
      <c r="I7" s="17"/>
      <c r="J7" s="13"/>
      <c r="K7" s="13"/>
      <c r="L7" s="13">
        <v>1974</v>
      </c>
      <c r="M7" s="13"/>
      <c r="N7" s="13"/>
      <c r="O7" s="13"/>
      <c r="P7" s="13"/>
    </row>
    <row r="8" spans="1:16" x14ac:dyDescent="0.2">
      <c r="B8" s="18" t="s">
        <v>16</v>
      </c>
      <c r="G8" s="13"/>
      <c r="H8" s="13"/>
      <c r="I8" s="17"/>
      <c r="J8" s="13"/>
      <c r="K8" s="13"/>
      <c r="L8" s="13">
        <v>1975</v>
      </c>
      <c r="M8" s="13">
        <v>1975</v>
      </c>
      <c r="N8" s="13"/>
      <c r="O8" s="13"/>
      <c r="P8" s="13"/>
    </row>
    <row r="9" spans="1:16" x14ac:dyDescent="0.2">
      <c r="B9" s="18" t="s">
        <v>17</v>
      </c>
      <c r="G9" s="13"/>
      <c r="H9" s="13"/>
      <c r="I9" s="17"/>
      <c r="J9" s="13"/>
      <c r="K9" s="13"/>
      <c r="L9" s="13">
        <v>1976</v>
      </c>
      <c r="M9" s="13">
        <v>1976</v>
      </c>
      <c r="N9" s="13"/>
      <c r="O9" s="13"/>
      <c r="P9" s="13"/>
    </row>
    <row r="10" spans="1:16" x14ac:dyDescent="0.2">
      <c r="B10" t="s">
        <v>18</v>
      </c>
      <c r="G10" s="13"/>
      <c r="H10" s="13"/>
      <c r="I10" s="17"/>
      <c r="J10" s="13"/>
      <c r="K10" s="13"/>
      <c r="L10" s="13">
        <v>1977</v>
      </c>
      <c r="M10" s="13">
        <v>1977</v>
      </c>
      <c r="N10" s="13"/>
      <c r="O10" s="13"/>
      <c r="P10" s="13"/>
    </row>
    <row r="11" spans="1:16" x14ac:dyDescent="0.2">
      <c r="C11" t="s">
        <v>19</v>
      </c>
      <c r="E11" s="19" t="s">
        <v>20</v>
      </c>
      <c r="G11" s="13"/>
      <c r="H11" s="13"/>
      <c r="I11" s="17"/>
      <c r="J11" s="13"/>
      <c r="K11" s="13"/>
      <c r="L11" s="13">
        <v>1978</v>
      </c>
      <c r="M11" s="13">
        <v>1978</v>
      </c>
      <c r="N11" s="13"/>
      <c r="O11" s="13"/>
      <c r="P11" s="13"/>
    </row>
    <row r="12" spans="1:16" x14ac:dyDescent="0.2">
      <c r="C12" s="18" t="s">
        <v>21</v>
      </c>
      <c r="E12" s="20" t="s">
        <v>22</v>
      </c>
      <c r="G12" s="13"/>
      <c r="H12" s="13"/>
      <c r="I12" s="17"/>
      <c r="J12" s="13"/>
      <c r="K12" s="13"/>
      <c r="L12" s="13">
        <v>1979</v>
      </c>
      <c r="M12" s="13">
        <v>1979</v>
      </c>
      <c r="N12" s="13"/>
      <c r="O12" s="13"/>
      <c r="P12" s="13"/>
    </row>
    <row r="13" spans="1:16" ht="15.75" x14ac:dyDescent="0.25">
      <c r="C13" s="18" t="s">
        <v>23</v>
      </c>
      <c r="E13" s="18" t="s">
        <v>24</v>
      </c>
      <c r="G13" s="13"/>
      <c r="H13" s="13"/>
      <c r="I13" s="13"/>
      <c r="J13" s="13"/>
      <c r="K13" s="13"/>
      <c r="L13" s="13">
        <v>1980</v>
      </c>
      <c r="M13" s="13">
        <v>1980</v>
      </c>
      <c r="N13" s="13"/>
      <c r="O13" s="13"/>
      <c r="P13" s="13"/>
    </row>
    <row r="14" spans="1:16" x14ac:dyDescent="0.2">
      <c r="B14" t="s">
        <v>25</v>
      </c>
      <c r="G14" s="13"/>
      <c r="H14" s="13"/>
      <c r="I14" s="13"/>
      <c r="J14" s="13"/>
      <c r="K14" s="13"/>
      <c r="L14" s="13"/>
      <c r="M14" s="13"/>
      <c r="N14" s="13"/>
      <c r="O14" s="13"/>
      <c r="P14" s="13"/>
    </row>
    <row r="15" spans="1:16" x14ac:dyDescent="0.2">
      <c r="B15" t="s">
        <v>26</v>
      </c>
      <c r="G15" s="13"/>
      <c r="H15" s="13"/>
      <c r="I15" s="13"/>
      <c r="J15" s="13"/>
      <c r="K15" s="13"/>
      <c r="L15" s="13"/>
      <c r="M15" s="13"/>
      <c r="N15" s="13"/>
      <c r="O15" s="13"/>
      <c r="P15" s="13"/>
    </row>
    <row r="16" spans="1:16" x14ac:dyDescent="0.2">
      <c r="B16" t="s">
        <v>27</v>
      </c>
      <c r="G16" s="13"/>
      <c r="H16" s="13"/>
      <c r="I16" s="13"/>
      <c r="J16" s="13"/>
      <c r="K16" s="13"/>
      <c r="L16" s="13">
        <v>1250</v>
      </c>
      <c r="M16" s="13"/>
      <c r="N16" s="13"/>
      <c r="O16" s="13"/>
      <c r="P16" s="13"/>
    </row>
    <row r="17" spans="2:16" x14ac:dyDescent="0.2">
      <c r="G17" s="13"/>
      <c r="H17" s="13"/>
      <c r="I17" s="13"/>
      <c r="J17" s="13"/>
      <c r="K17" s="13"/>
      <c r="L17" s="13">
        <v>1251</v>
      </c>
      <c r="M17" s="13"/>
      <c r="N17" s="13"/>
      <c r="O17" s="13"/>
      <c r="P17" s="13"/>
    </row>
    <row r="18" spans="2:16" x14ac:dyDescent="0.2">
      <c r="G18" s="13"/>
      <c r="H18" s="13"/>
      <c r="I18" s="13"/>
      <c r="J18" s="13"/>
      <c r="K18" s="13"/>
      <c r="L18" s="13">
        <v>1252</v>
      </c>
      <c r="M18" s="13"/>
      <c r="N18" s="13"/>
      <c r="O18" s="13"/>
      <c r="P18" s="13"/>
    </row>
    <row r="19" spans="2:16" x14ac:dyDescent="0.2">
      <c r="L19" s="13">
        <v>1253</v>
      </c>
    </row>
    <row r="20" spans="2:16" x14ac:dyDescent="0.2">
      <c r="I20" s="21" t="s">
        <v>28</v>
      </c>
      <c r="L20" s="13">
        <v>1254</v>
      </c>
    </row>
    <row r="21" spans="2:16" x14ac:dyDescent="0.2">
      <c r="L21" s="13">
        <v>1255</v>
      </c>
    </row>
    <row r="23" spans="2:16" x14ac:dyDescent="0.2">
      <c r="B23" s="22" t="s">
        <v>29</v>
      </c>
      <c r="C23" s="23" t="s">
        <v>30</v>
      </c>
      <c r="D23" s="23" t="s">
        <v>31</v>
      </c>
      <c r="E23" s="23" t="s">
        <v>32</v>
      </c>
      <c r="F23" s="24">
        <v>2001</v>
      </c>
      <c r="G23" s="25" t="s">
        <v>33</v>
      </c>
    </row>
    <row r="24" spans="2:16" x14ac:dyDescent="0.2">
      <c r="F24" s="26">
        <v>2002</v>
      </c>
    </row>
    <row r="29" spans="2:16" x14ac:dyDescent="0.2">
      <c r="K29" t="s">
        <v>34</v>
      </c>
    </row>
  </sheetData>
  <mergeCells count="1">
    <mergeCell ref="A1:F1"/>
  </mergeCells>
  <phoneticPr fontId="0"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3"/>
  <sheetViews>
    <sheetView tabSelected="1" workbookViewId="0">
      <selection activeCell="J117" sqref="J117"/>
    </sheetView>
  </sheetViews>
  <sheetFormatPr defaultRowHeight="12.75" x14ac:dyDescent="0.2"/>
  <cols>
    <col min="1" max="1" width="12.5703125" customWidth="1"/>
    <col min="2" max="2" width="18.85546875" customWidth="1"/>
    <col min="3" max="3" width="14.85546875" customWidth="1"/>
    <col min="4" max="4" width="11.7109375" customWidth="1"/>
    <col min="5" max="5" width="14.140625" customWidth="1"/>
    <col min="6" max="7" width="12" customWidth="1"/>
  </cols>
  <sheetData>
    <row r="1" spans="1:12" ht="15.75" x14ac:dyDescent="0.25">
      <c r="A1" s="437" t="s">
        <v>35</v>
      </c>
      <c r="B1" s="437"/>
      <c r="C1" s="437"/>
      <c r="D1" s="437"/>
      <c r="E1" s="437"/>
      <c r="F1" s="437"/>
      <c r="K1">
        <f ca="1">YEAR(TODAY())</f>
        <v>2014</v>
      </c>
      <c r="L1" t="s">
        <v>473</v>
      </c>
    </row>
    <row r="2" spans="1:12" ht="13.5" thickBot="1" x14ac:dyDescent="0.25">
      <c r="A2" s="14"/>
      <c r="B2" s="15"/>
      <c r="C2" s="14"/>
      <c r="D2" s="16"/>
      <c r="E2" s="15"/>
      <c r="F2" s="15"/>
    </row>
    <row r="3" spans="1:12" x14ac:dyDescent="0.2">
      <c r="A3" t="s">
        <v>36</v>
      </c>
    </row>
    <row r="4" spans="1:12" x14ac:dyDescent="0.2">
      <c r="A4" t="s">
        <v>37</v>
      </c>
    </row>
    <row r="7" spans="1:12" x14ac:dyDescent="0.2">
      <c r="A7" s="27" t="s">
        <v>38</v>
      </c>
      <c r="B7" s="28" t="s">
        <v>39</v>
      </c>
      <c r="C7" s="28"/>
      <c r="D7" s="28"/>
      <c r="F7" s="27" t="s">
        <v>40</v>
      </c>
      <c r="G7" s="28" t="s">
        <v>41</v>
      </c>
      <c r="H7" s="28"/>
    </row>
    <row r="8" spans="1:12" x14ac:dyDescent="0.2">
      <c r="B8" s="28"/>
      <c r="C8" s="28"/>
      <c r="D8" s="28"/>
      <c r="G8" s="28"/>
      <c r="H8" s="28"/>
    </row>
    <row r="9" spans="1:12" x14ac:dyDescent="0.2">
      <c r="B9" s="28" t="str">
        <f ca="1">"Salário de "&amp;K1</f>
        <v>Salário de 2014</v>
      </c>
      <c r="C9" s="29">
        <v>2575</v>
      </c>
      <c r="D9" s="28"/>
      <c r="G9" s="28" t="s">
        <v>42</v>
      </c>
      <c r="H9" s="29">
        <v>123</v>
      </c>
    </row>
    <row r="10" spans="1:12" x14ac:dyDescent="0.2">
      <c r="B10" s="28" t="s">
        <v>43</v>
      </c>
      <c r="C10" s="30">
        <v>0.05</v>
      </c>
      <c r="D10" s="28"/>
      <c r="G10" s="28" t="s">
        <v>44</v>
      </c>
      <c r="H10" s="30">
        <v>0.23</v>
      </c>
    </row>
    <row r="11" spans="1:12" x14ac:dyDescent="0.2">
      <c r="B11" s="28" t="str">
        <f ca="1">"Salário de "&amp;K1+1</f>
        <v>Salário de 2015</v>
      </c>
      <c r="C11" s="383">
        <f>C9+C9*C10</f>
        <v>2703.75</v>
      </c>
      <c r="D11" s="382" t="s">
        <v>451</v>
      </c>
      <c r="E11" s="369">
        <f>C9*(1+C10)</f>
        <v>2703.75</v>
      </c>
      <c r="G11" s="28" t="s">
        <v>45</v>
      </c>
      <c r="H11" s="384">
        <f>H9/(1+H10)</f>
        <v>100</v>
      </c>
      <c r="I11" t="s">
        <v>472</v>
      </c>
    </row>
    <row r="12" spans="1:12" x14ac:dyDescent="0.2">
      <c r="B12" s="28"/>
      <c r="C12" s="31" t="s">
        <v>470</v>
      </c>
      <c r="D12" s="28"/>
      <c r="E12" t="s">
        <v>471</v>
      </c>
      <c r="G12" s="28"/>
      <c r="H12" s="32"/>
    </row>
    <row r="14" spans="1:12" x14ac:dyDescent="0.2">
      <c r="A14" s="27" t="s">
        <v>46</v>
      </c>
      <c r="B14" s="28" t="str">
        <f ca="1">"Calcule os salários para o ano "&amp;K1+1</f>
        <v>Calcule os salários para o ano 2015</v>
      </c>
    </row>
    <row r="15" spans="1:12" x14ac:dyDescent="0.2">
      <c r="B15" s="33"/>
    </row>
    <row r="16" spans="1:12" ht="13.5" thickBot="1" x14ac:dyDescent="0.25">
      <c r="B16" s="34" t="s">
        <v>47</v>
      </c>
      <c r="C16" s="35" t="str">
        <f ca="1">B9</f>
        <v>Salário de 2014</v>
      </c>
      <c r="D16" s="35" t="s">
        <v>43</v>
      </c>
      <c r="E16" s="35" t="str">
        <f ca="1">B11</f>
        <v>Salário de 2015</v>
      </c>
    </row>
    <row r="17" spans="1:7" ht="13.5" thickTop="1" x14ac:dyDescent="0.2">
      <c r="B17" s="36" t="s">
        <v>48</v>
      </c>
      <c r="C17" s="37">
        <v>1800</v>
      </c>
      <c r="D17" s="38">
        <v>0.05</v>
      </c>
      <c r="E17" s="386">
        <f>C17+C17*D17</f>
        <v>1890</v>
      </c>
      <c r="F17" s="424" t="s">
        <v>474</v>
      </c>
    </row>
    <row r="18" spans="1:7" x14ac:dyDescent="0.2">
      <c r="B18" s="26" t="s">
        <v>49</v>
      </c>
      <c r="C18" s="39">
        <v>1950</v>
      </c>
      <c r="D18" s="40">
        <v>0.1</v>
      </c>
      <c r="E18" s="386">
        <f t="shared" ref="E18:E20" si="0">C18+C18*D18</f>
        <v>2145</v>
      </c>
      <c r="F18" s="444" t="s">
        <v>475</v>
      </c>
    </row>
    <row r="19" spans="1:7" x14ac:dyDescent="0.2">
      <c r="B19" s="26" t="s">
        <v>50</v>
      </c>
      <c r="C19" s="39">
        <v>3600</v>
      </c>
      <c r="D19" s="40">
        <v>0.01</v>
      </c>
      <c r="E19" s="386">
        <f t="shared" si="0"/>
        <v>3636</v>
      </c>
      <c r="F19" s="444"/>
    </row>
    <row r="20" spans="1:7" x14ac:dyDescent="0.2">
      <c r="B20" s="26" t="s">
        <v>51</v>
      </c>
      <c r="C20" s="39">
        <v>2500</v>
      </c>
      <c r="D20" s="40">
        <v>0.02</v>
      </c>
      <c r="E20" s="386">
        <f t="shared" si="0"/>
        <v>2550</v>
      </c>
      <c r="F20" s="444"/>
    </row>
    <row r="21" spans="1:7" x14ac:dyDescent="0.2">
      <c r="B21" s="41"/>
      <c r="C21" s="42"/>
      <c r="D21" s="43"/>
    </row>
    <row r="22" spans="1:7" x14ac:dyDescent="0.2">
      <c r="A22" s="27" t="s">
        <v>52</v>
      </c>
      <c r="C22" s="18"/>
    </row>
    <row r="23" spans="1:7" x14ac:dyDescent="0.2">
      <c r="B23" t="s">
        <v>53</v>
      </c>
      <c r="C23" s="18"/>
      <c r="D23" s="44">
        <v>0.1</v>
      </c>
    </row>
    <row r="24" spans="1:7" ht="13.5" thickBot="1" x14ac:dyDescent="0.25">
      <c r="B24" s="15"/>
      <c r="C24" s="45">
        <f ca="1">K1</f>
        <v>2014</v>
      </c>
      <c r="D24" s="46">
        <f ca="1">K1+1</f>
        <v>2015</v>
      </c>
      <c r="E24" s="15"/>
    </row>
    <row r="25" spans="1:7" ht="15" x14ac:dyDescent="0.25">
      <c r="B25" t="s">
        <v>48</v>
      </c>
      <c r="C25" s="37">
        <v>1800</v>
      </c>
      <c r="D25" s="385">
        <f>C25+C25*D$23</f>
        <v>1980</v>
      </c>
      <c r="E25" s="319" t="s">
        <v>54</v>
      </c>
    </row>
    <row r="26" spans="1:7" ht="15" x14ac:dyDescent="0.25">
      <c r="B26" t="s">
        <v>49</v>
      </c>
      <c r="C26" s="37">
        <v>1950</v>
      </c>
      <c r="D26" s="385">
        <f t="shared" ref="D26:D28" si="1">C26+C26*D$23</f>
        <v>2145</v>
      </c>
      <c r="E26" t="s">
        <v>55</v>
      </c>
    </row>
    <row r="27" spans="1:7" ht="15" x14ac:dyDescent="0.25">
      <c r="B27" t="s">
        <v>50</v>
      </c>
      <c r="C27" s="37">
        <v>3600</v>
      </c>
      <c r="D27" s="385">
        <f t="shared" si="1"/>
        <v>3960</v>
      </c>
      <c r="E27" t="s">
        <v>56</v>
      </c>
    </row>
    <row r="28" spans="1:7" ht="15" x14ac:dyDescent="0.25">
      <c r="B28" t="s">
        <v>51</v>
      </c>
      <c r="C28" s="37">
        <v>2500</v>
      </c>
      <c r="D28" s="385">
        <f t="shared" si="1"/>
        <v>2750</v>
      </c>
      <c r="E28" t="s">
        <v>57</v>
      </c>
    </row>
    <row r="29" spans="1:7" ht="15" x14ac:dyDescent="0.2">
      <c r="C29" s="47"/>
    </row>
    <row r="30" spans="1:7" ht="15.75" x14ac:dyDescent="0.2">
      <c r="A30" s="48"/>
      <c r="B30" s="49"/>
      <c r="C30" s="49"/>
      <c r="D30" s="50"/>
      <c r="E30" s="48"/>
      <c r="F30" s="51"/>
    </row>
    <row r="31" spans="1:7" ht="15.75" x14ac:dyDescent="0.25">
      <c r="A31" s="48"/>
      <c r="B31" s="52" t="s">
        <v>58</v>
      </c>
      <c r="C31" s="53"/>
      <c r="D31" s="54"/>
      <c r="E31" s="55"/>
      <c r="F31" s="56"/>
      <c r="G31" s="57"/>
    </row>
    <row r="32" spans="1:7" ht="15.75" x14ac:dyDescent="0.25">
      <c r="A32" s="48"/>
      <c r="B32" s="58"/>
      <c r="C32" s="59"/>
      <c r="D32" s="60"/>
      <c r="E32" s="61"/>
      <c r="F32" s="62"/>
      <c r="G32" s="63"/>
    </row>
    <row r="33" spans="1:12" ht="15.75" x14ac:dyDescent="0.2">
      <c r="A33" s="48"/>
      <c r="B33" s="439" t="s">
        <v>59</v>
      </c>
      <c r="C33" s="439"/>
      <c r="D33" s="439"/>
      <c r="E33" s="439"/>
      <c r="F33" s="439"/>
      <c r="G33" s="439"/>
      <c r="H33" s="439"/>
    </row>
    <row r="34" spans="1:12" ht="15.75" x14ac:dyDescent="0.2">
      <c r="A34" s="48"/>
      <c r="B34" t="s">
        <v>60</v>
      </c>
      <c r="F34" s="51"/>
    </row>
    <row r="35" spans="1:12" ht="15.75" x14ac:dyDescent="0.2">
      <c r="A35" s="48"/>
      <c r="F35" s="51"/>
      <c r="G35">
        <v>15.23</v>
      </c>
    </row>
    <row r="36" spans="1:12" ht="15.75" x14ac:dyDescent="0.2">
      <c r="A36" s="48"/>
      <c r="B36" s="64"/>
      <c r="C36" s="440" t="s">
        <v>61</v>
      </c>
      <c r="D36" s="440"/>
      <c r="E36" s="440"/>
      <c r="F36" s="51"/>
      <c r="K36" s="319" t="s">
        <v>480</v>
      </c>
      <c r="L36" s="319" t="s">
        <v>481</v>
      </c>
    </row>
    <row r="37" spans="1:12" ht="25.5" customHeight="1" thickBot="1" x14ac:dyDescent="0.25">
      <c r="A37" s="48"/>
      <c r="B37" s="65" t="s">
        <v>62</v>
      </c>
      <c r="C37" s="66" t="s">
        <v>63</v>
      </c>
      <c r="D37" s="66" t="s">
        <v>64</v>
      </c>
      <c r="E37" s="389" t="s">
        <v>65</v>
      </c>
      <c r="F37" s="51"/>
      <c r="H37" s="387" t="s">
        <v>453</v>
      </c>
      <c r="I37" s="387" t="s">
        <v>452</v>
      </c>
      <c r="K37" s="319" t="s">
        <v>482</v>
      </c>
      <c r="L37" s="319" t="s">
        <v>483</v>
      </c>
    </row>
    <row r="38" spans="1:12" ht="15.75" x14ac:dyDescent="0.2">
      <c r="A38" s="48"/>
      <c r="B38" s="67" t="s">
        <v>66</v>
      </c>
      <c r="C38" s="68">
        <v>125</v>
      </c>
      <c r="D38" s="388">
        <f>C38*G$35</f>
        <v>1903.75</v>
      </c>
      <c r="E38" s="370">
        <f>SUM(D$38:D38)</f>
        <v>1903.75</v>
      </c>
      <c r="F38" s="445" t="s">
        <v>476</v>
      </c>
      <c r="G38" s="446"/>
      <c r="H38" s="370">
        <f>SUM(E37,D38)</f>
        <v>1903.75</v>
      </c>
      <c r="I38" s="396">
        <f>D38</f>
        <v>1903.75</v>
      </c>
    </row>
    <row r="39" spans="1:12" ht="15.75" x14ac:dyDescent="0.2">
      <c r="A39" s="48"/>
      <c r="B39" s="67" t="s">
        <v>67</v>
      </c>
      <c r="C39" s="68">
        <v>130</v>
      </c>
      <c r="D39" s="388">
        <f t="shared" ref="D39:D41" si="2">C39*G$35</f>
        <v>1979.9</v>
      </c>
      <c r="E39" s="370">
        <f>SUM(D$38:D39)</f>
        <v>3883.65</v>
      </c>
      <c r="F39" s="445" t="s">
        <v>477</v>
      </c>
      <c r="G39" s="446"/>
      <c r="H39" s="370">
        <f>SUM(H38,D39)</f>
        <v>3883.65</v>
      </c>
      <c r="I39" s="396">
        <f>I38+D39</f>
        <v>3883.65</v>
      </c>
    </row>
    <row r="40" spans="1:12" ht="15.75" x14ac:dyDescent="0.2">
      <c r="A40" s="48"/>
      <c r="B40" s="67" t="s">
        <v>68</v>
      </c>
      <c r="C40" s="68">
        <v>145</v>
      </c>
      <c r="D40" s="388">
        <f t="shared" si="2"/>
        <v>2208.35</v>
      </c>
      <c r="E40" s="370">
        <f>SUM(D$38:D40)</f>
        <v>6092</v>
      </c>
      <c r="F40" s="445" t="s">
        <v>478</v>
      </c>
      <c r="G40" s="446"/>
      <c r="H40" s="370">
        <f>SUM(H39,D40)</f>
        <v>6092</v>
      </c>
      <c r="I40" s="396">
        <f>I39+D40</f>
        <v>6092</v>
      </c>
    </row>
    <row r="41" spans="1:12" ht="16.5" thickBot="1" x14ac:dyDescent="0.25">
      <c r="A41" s="48"/>
      <c r="B41" s="69" t="s">
        <v>69</v>
      </c>
      <c r="C41" s="70">
        <v>120</v>
      </c>
      <c r="D41" s="388">
        <f t="shared" si="2"/>
        <v>1827.6000000000001</v>
      </c>
      <c r="E41" s="370">
        <f>SUM(D$38:D41)</f>
        <v>7919.6</v>
      </c>
      <c r="F41" s="445" t="s">
        <v>479</v>
      </c>
      <c r="G41" s="446"/>
      <c r="H41" s="370">
        <f>SUM(H40,D41)</f>
        <v>7919.6</v>
      </c>
      <c r="I41" s="396">
        <f>I40+D41</f>
        <v>7919.6</v>
      </c>
    </row>
    <row r="42" spans="1:12" ht="16.5" thickBot="1" x14ac:dyDescent="0.25">
      <c r="A42" s="48"/>
      <c r="B42" s="71" t="s">
        <v>70</v>
      </c>
      <c r="C42" s="72"/>
      <c r="D42" s="72"/>
      <c r="E42" s="390"/>
      <c r="F42" s="51"/>
    </row>
    <row r="43" spans="1:12" x14ac:dyDescent="0.2">
      <c r="C43" s="44"/>
    </row>
    <row r="44" spans="1:12" x14ac:dyDescent="0.2">
      <c r="B44" s="73"/>
      <c r="D44" s="73"/>
      <c r="E44" s="73"/>
      <c r="F44" s="73"/>
    </row>
    <row r="45" spans="1:12" ht="15.75" x14ac:dyDescent="0.25">
      <c r="B45" s="52" t="s">
        <v>71</v>
      </c>
      <c r="C45" s="57"/>
      <c r="D45" s="57"/>
      <c r="E45" s="57"/>
      <c r="F45" s="57"/>
      <c r="G45" s="57"/>
    </row>
    <row r="46" spans="1:12" ht="15.75" x14ac:dyDescent="0.25">
      <c r="B46" s="74"/>
    </row>
    <row r="47" spans="1:12" x14ac:dyDescent="0.2">
      <c r="B47" s="75" t="s">
        <v>72</v>
      </c>
      <c r="C47" s="75"/>
      <c r="D47" s="75"/>
      <c r="E47" s="75"/>
      <c r="F47" s="75"/>
      <c r="G47" s="75"/>
      <c r="H47" s="75"/>
    </row>
    <row r="48" spans="1:12" x14ac:dyDescent="0.2">
      <c r="B48" s="75" t="s">
        <v>73</v>
      </c>
      <c r="C48" s="75"/>
      <c r="D48" s="75"/>
      <c r="E48" s="75"/>
      <c r="F48" s="75"/>
      <c r="G48" s="75"/>
      <c r="H48" s="75"/>
    </row>
    <row r="49" spans="2:8" x14ac:dyDescent="0.2">
      <c r="B49" s="75"/>
      <c r="C49" s="75"/>
      <c r="D49" s="75"/>
      <c r="E49" s="75"/>
      <c r="F49" s="75"/>
      <c r="G49" s="75"/>
      <c r="H49" s="75"/>
    </row>
    <row r="50" spans="2:8" x14ac:dyDescent="0.2">
      <c r="B50" s="75" t="s">
        <v>74</v>
      </c>
      <c r="C50" s="75"/>
      <c r="D50" s="75"/>
      <c r="E50" s="75"/>
      <c r="F50" s="75"/>
      <c r="G50" s="75"/>
      <c r="H50" s="75"/>
    </row>
    <row r="51" spans="2:8" x14ac:dyDescent="0.2">
      <c r="B51" s="75" t="s">
        <v>75</v>
      </c>
      <c r="C51" s="75"/>
      <c r="D51" s="75"/>
      <c r="E51" s="75"/>
      <c r="F51" s="75"/>
      <c r="G51" s="75"/>
      <c r="H51" s="75"/>
    </row>
    <row r="53" spans="2:8" x14ac:dyDescent="0.2">
      <c r="D53" s="441" t="s">
        <v>76</v>
      </c>
      <c r="E53" s="442"/>
      <c r="F53" s="443"/>
      <c r="G53" s="76"/>
    </row>
    <row r="54" spans="2:8" ht="13.5" thickBot="1" x14ac:dyDescent="0.25">
      <c r="B54" s="77"/>
      <c r="C54" s="78"/>
      <c r="D54" s="79" t="s">
        <v>77</v>
      </c>
      <c r="E54" s="79" t="s">
        <v>78</v>
      </c>
      <c r="F54" s="79" t="s">
        <v>79</v>
      </c>
      <c r="G54" s="80" t="s">
        <v>8</v>
      </c>
    </row>
    <row r="55" spans="2:8" ht="14.25" thickTop="1" thickBot="1" x14ac:dyDescent="0.25">
      <c r="B55" s="79" t="s">
        <v>80</v>
      </c>
      <c r="C55" s="79" t="s">
        <v>81</v>
      </c>
      <c r="D55" s="391">
        <v>0.5</v>
      </c>
      <c r="E55" s="391">
        <v>0.3</v>
      </c>
      <c r="F55" s="391">
        <v>0.2</v>
      </c>
      <c r="G55" s="81"/>
    </row>
    <row r="56" spans="2:8" ht="13.5" thickTop="1" x14ac:dyDescent="0.2">
      <c r="B56" s="82" t="s">
        <v>82</v>
      </c>
      <c r="C56" s="82">
        <v>456.23</v>
      </c>
      <c r="D56" s="392">
        <f>D$55*$C56</f>
        <v>228.11500000000001</v>
      </c>
      <c r="E56" s="82">
        <f t="shared" ref="E56:F64" si="3">E$55*$C56</f>
        <v>136.869</v>
      </c>
      <c r="F56" s="82">
        <f t="shared" si="3"/>
        <v>91.246000000000009</v>
      </c>
      <c r="G56" s="392">
        <f>SUM(D56:F56)</f>
        <v>456.23</v>
      </c>
    </row>
    <row r="57" spans="2:8" x14ac:dyDescent="0.2">
      <c r="B57" s="82" t="s">
        <v>83</v>
      </c>
      <c r="C57" s="82">
        <v>73.12</v>
      </c>
      <c r="D57" s="82">
        <f t="shared" ref="D57:D64" si="4">D$55*$C57</f>
        <v>36.56</v>
      </c>
      <c r="E57" s="82">
        <f t="shared" si="3"/>
        <v>21.936</v>
      </c>
      <c r="F57" s="82">
        <f t="shared" si="3"/>
        <v>14.624000000000002</v>
      </c>
      <c r="G57" s="82">
        <f t="shared" ref="G57:G64" si="5">SUM(D57:F57)</f>
        <v>73.12</v>
      </c>
    </row>
    <row r="58" spans="2:8" x14ac:dyDescent="0.2">
      <c r="B58" s="82" t="s">
        <v>84</v>
      </c>
      <c r="C58" s="82">
        <v>300</v>
      </c>
      <c r="D58" s="82">
        <f t="shared" si="4"/>
        <v>150</v>
      </c>
      <c r="E58" s="82">
        <f t="shared" si="3"/>
        <v>90</v>
      </c>
      <c r="F58" s="82">
        <f t="shared" si="3"/>
        <v>60</v>
      </c>
      <c r="G58" s="82">
        <f t="shared" si="5"/>
        <v>300</v>
      </c>
    </row>
    <row r="59" spans="2:8" x14ac:dyDescent="0.2">
      <c r="B59" s="83"/>
      <c r="C59" s="83"/>
      <c r="D59" s="82">
        <f t="shared" si="4"/>
        <v>0</v>
      </c>
      <c r="E59" s="82">
        <f t="shared" si="3"/>
        <v>0</v>
      </c>
      <c r="F59" s="82">
        <f t="shared" si="3"/>
        <v>0</v>
      </c>
      <c r="G59" s="82">
        <f t="shared" si="5"/>
        <v>0</v>
      </c>
    </row>
    <row r="60" spans="2:8" x14ac:dyDescent="0.2">
      <c r="B60" s="83"/>
      <c r="C60" s="83"/>
      <c r="D60" s="82">
        <f t="shared" si="4"/>
        <v>0</v>
      </c>
      <c r="E60" s="82">
        <f t="shared" si="3"/>
        <v>0</v>
      </c>
      <c r="F60" s="82">
        <f t="shared" si="3"/>
        <v>0</v>
      </c>
      <c r="G60" s="82">
        <f t="shared" si="5"/>
        <v>0</v>
      </c>
    </row>
    <row r="61" spans="2:8" x14ac:dyDescent="0.2">
      <c r="B61" s="83"/>
      <c r="C61" s="83"/>
      <c r="D61" s="82">
        <f t="shared" si="4"/>
        <v>0</v>
      </c>
      <c r="E61" s="82">
        <f t="shared" si="3"/>
        <v>0</v>
      </c>
      <c r="F61" s="82">
        <f t="shared" si="3"/>
        <v>0</v>
      </c>
      <c r="G61" s="82">
        <f t="shared" si="5"/>
        <v>0</v>
      </c>
    </row>
    <row r="62" spans="2:8" x14ac:dyDescent="0.2">
      <c r="B62" s="83"/>
      <c r="C62" s="83"/>
      <c r="D62" s="82">
        <f t="shared" si="4"/>
        <v>0</v>
      </c>
      <c r="E62" s="82">
        <f t="shared" si="3"/>
        <v>0</v>
      </c>
      <c r="F62" s="82">
        <f t="shared" si="3"/>
        <v>0</v>
      </c>
      <c r="G62" s="82">
        <f t="shared" si="5"/>
        <v>0</v>
      </c>
    </row>
    <row r="63" spans="2:8" x14ac:dyDescent="0.2">
      <c r="B63" s="83"/>
      <c r="C63" s="83"/>
      <c r="D63" s="82">
        <f t="shared" si="4"/>
        <v>0</v>
      </c>
      <c r="E63" s="82">
        <f t="shared" si="3"/>
        <v>0</v>
      </c>
      <c r="F63" s="82">
        <f t="shared" si="3"/>
        <v>0</v>
      </c>
      <c r="G63" s="82">
        <f t="shared" si="5"/>
        <v>0</v>
      </c>
    </row>
    <row r="64" spans="2:8" ht="13.5" thickBot="1" x14ac:dyDescent="0.25">
      <c r="B64" s="78"/>
      <c r="C64" s="84"/>
      <c r="D64" s="393">
        <f t="shared" si="4"/>
        <v>0</v>
      </c>
      <c r="E64" s="394">
        <f t="shared" si="3"/>
        <v>0</v>
      </c>
      <c r="F64" s="394">
        <f t="shared" si="3"/>
        <v>0</v>
      </c>
      <c r="G64" s="394">
        <f t="shared" si="5"/>
        <v>0</v>
      </c>
    </row>
    <row r="65" spans="2:15" ht="14.25" thickTop="1" thickBot="1" x14ac:dyDescent="0.25">
      <c r="B65" s="85" t="s">
        <v>85</v>
      </c>
      <c r="C65" s="78"/>
      <c r="D65" s="395">
        <f>SUM(D56:D64)</f>
        <v>414.67500000000001</v>
      </c>
      <c r="E65" s="78">
        <f t="shared" ref="E65:G65" si="6">SUM(E56:E64)</f>
        <v>248.80500000000001</v>
      </c>
      <c r="F65" s="78">
        <f t="shared" si="6"/>
        <v>165.87</v>
      </c>
      <c r="G65" s="78">
        <f t="shared" si="6"/>
        <v>829.35</v>
      </c>
      <c r="H65" s="319" t="s">
        <v>489</v>
      </c>
    </row>
    <row r="66" spans="2:15" ht="13.5" thickTop="1" x14ac:dyDescent="0.2">
      <c r="B66" s="86"/>
      <c r="C66" s="87"/>
      <c r="D66" s="425" t="s">
        <v>485</v>
      </c>
      <c r="E66" s="426" t="s">
        <v>486</v>
      </c>
      <c r="F66" s="425" t="s">
        <v>487</v>
      </c>
      <c r="G66" s="420" t="s">
        <v>488</v>
      </c>
    </row>
    <row r="70" spans="2:15" ht="15.75" x14ac:dyDescent="0.25">
      <c r="B70" s="52" t="s">
        <v>86</v>
      </c>
      <c r="C70" s="57"/>
      <c r="D70" s="57"/>
      <c r="E70" s="57"/>
      <c r="G70" s="41"/>
    </row>
    <row r="71" spans="2:15" x14ac:dyDescent="0.2">
      <c r="G71" s="41"/>
    </row>
    <row r="72" spans="2:15" x14ac:dyDescent="0.2">
      <c r="B72" t="s">
        <v>87</v>
      </c>
      <c r="G72" s="88"/>
    </row>
    <row r="73" spans="2:15" x14ac:dyDescent="0.2">
      <c r="B73" t="s">
        <v>88</v>
      </c>
      <c r="C73" s="13"/>
      <c r="D73" s="13"/>
      <c r="E73" s="13"/>
      <c r="F73" s="13"/>
      <c r="G73" s="13"/>
    </row>
    <row r="74" spans="2:15" x14ac:dyDescent="0.2">
      <c r="I74" s="44">
        <v>0.23</v>
      </c>
    </row>
    <row r="75" spans="2:15" ht="13.5" thickBot="1" x14ac:dyDescent="0.25"/>
    <row r="76" spans="2:15" ht="26.25" thickBot="1" x14ac:dyDescent="0.25">
      <c r="B76" s="89" t="s">
        <v>89</v>
      </c>
      <c r="C76" s="90" t="s">
        <v>90</v>
      </c>
      <c r="D76" s="91" t="s">
        <v>91</v>
      </c>
      <c r="E76" s="91" t="s">
        <v>92</v>
      </c>
      <c r="F76" s="92" t="s">
        <v>8</v>
      </c>
      <c r="G76" s="92" t="s">
        <v>93</v>
      </c>
    </row>
    <row r="77" spans="2:15" x14ac:dyDescent="0.2">
      <c r="B77" s="93" t="s">
        <v>94</v>
      </c>
      <c r="C77" s="94">
        <v>12</v>
      </c>
      <c r="D77" s="95">
        <v>12.34</v>
      </c>
      <c r="E77" s="401">
        <f>D77*I$74</f>
        <v>2.8382000000000001</v>
      </c>
      <c r="F77" s="402">
        <f>E77+D77</f>
        <v>15.1782</v>
      </c>
      <c r="G77" s="403">
        <f>F77/F$80</f>
        <v>0.61271102284011925</v>
      </c>
    </row>
    <row r="78" spans="2:15" x14ac:dyDescent="0.2">
      <c r="B78" s="96" t="s">
        <v>95</v>
      </c>
      <c r="C78" s="97">
        <v>15</v>
      </c>
      <c r="D78" s="98">
        <v>4.0999999999999996</v>
      </c>
      <c r="E78" s="397">
        <f t="shared" ref="E78:E79" si="7">D78*I$74</f>
        <v>0.94299999999999995</v>
      </c>
      <c r="F78" s="398">
        <f t="shared" ref="F78:F79" si="8">E78+D78</f>
        <v>5.0429999999999993</v>
      </c>
      <c r="G78" s="399">
        <f t="shared" ref="G78:G80" si="9">F78/F$80</f>
        <v>0.20357497517378351</v>
      </c>
    </row>
    <row r="79" spans="2:15" ht="16.5" thickBot="1" x14ac:dyDescent="0.3">
      <c r="B79" s="99" t="s">
        <v>96</v>
      </c>
      <c r="C79" s="100">
        <v>200</v>
      </c>
      <c r="D79" s="101">
        <v>3.7</v>
      </c>
      <c r="E79" s="397">
        <f t="shared" si="7"/>
        <v>0.85100000000000009</v>
      </c>
      <c r="F79" s="398">
        <f t="shared" si="8"/>
        <v>4.5510000000000002</v>
      </c>
      <c r="G79" s="405">
        <f t="shared" si="9"/>
        <v>0.18371400198609733</v>
      </c>
      <c r="L79" s="52" t="s">
        <v>97</v>
      </c>
      <c r="M79" s="52"/>
      <c r="N79" s="52"/>
      <c r="O79" s="52"/>
    </row>
    <row r="80" spans="2:15" ht="13.5" thickBot="1" x14ac:dyDescent="0.25">
      <c r="B80" s="102" t="s">
        <v>70</v>
      </c>
      <c r="C80" s="103"/>
      <c r="D80" s="104"/>
      <c r="E80" s="404">
        <f>SUM(E77:E79)</f>
        <v>4.6322000000000001</v>
      </c>
      <c r="F80" s="400">
        <f>SUM(F77:F79)</f>
        <v>24.772199999999998</v>
      </c>
      <c r="G80" s="406">
        <f t="shared" si="9"/>
        <v>1</v>
      </c>
    </row>
    <row r="81" spans="2:22" x14ac:dyDescent="0.2">
      <c r="E81" s="319" t="s">
        <v>490</v>
      </c>
      <c r="F81" s="319" t="s">
        <v>491</v>
      </c>
      <c r="G81" s="319" t="s">
        <v>492</v>
      </c>
      <c r="L81" t="s">
        <v>98</v>
      </c>
    </row>
    <row r="83" spans="2:22" ht="13.5" thickBot="1" x14ac:dyDescent="0.25">
      <c r="L83" s="105" t="s">
        <v>99</v>
      </c>
      <c r="M83" s="106">
        <v>1</v>
      </c>
      <c r="N83" s="107">
        <v>2</v>
      </c>
      <c r="O83" s="107">
        <v>3</v>
      </c>
      <c r="P83" s="107">
        <v>4</v>
      </c>
      <c r="Q83" s="107">
        <v>5</v>
      </c>
      <c r="R83" s="107">
        <v>6</v>
      </c>
      <c r="S83" s="107">
        <v>7</v>
      </c>
      <c r="T83" s="107">
        <v>8</v>
      </c>
      <c r="U83" s="107">
        <v>9</v>
      </c>
      <c r="V83" s="107">
        <v>10</v>
      </c>
    </row>
    <row r="84" spans="2:22" ht="15.75" x14ac:dyDescent="0.25">
      <c r="B84" s="52" t="s">
        <v>100</v>
      </c>
      <c r="C84" s="57"/>
      <c r="D84" s="57"/>
      <c r="E84" s="57"/>
      <c r="F84" s="57"/>
      <c r="G84" s="57"/>
      <c r="J84" s="319" t="s">
        <v>484</v>
      </c>
      <c r="L84" s="108">
        <v>0</v>
      </c>
      <c r="M84" s="109">
        <f>$L84*M$83</f>
        <v>0</v>
      </c>
      <c r="N84" s="109">
        <f t="shared" ref="N84:V94" si="10">$L84*N$83</f>
        <v>0</v>
      </c>
      <c r="O84" s="109">
        <f t="shared" si="10"/>
        <v>0</v>
      </c>
      <c r="P84" s="109">
        <f t="shared" si="10"/>
        <v>0</v>
      </c>
      <c r="Q84" s="109">
        <f t="shared" si="10"/>
        <v>0</v>
      </c>
      <c r="R84" s="109">
        <f t="shared" si="10"/>
        <v>0</v>
      </c>
      <c r="S84" s="109">
        <f t="shared" si="10"/>
        <v>0</v>
      </c>
      <c r="T84" s="109">
        <f t="shared" si="10"/>
        <v>0</v>
      </c>
      <c r="U84" s="109">
        <f t="shared" si="10"/>
        <v>0</v>
      </c>
      <c r="V84" s="109">
        <f t="shared" si="10"/>
        <v>0</v>
      </c>
    </row>
    <row r="85" spans="2:22" x14ac:dyDescent="0.2">
      <c r="B85" s="86"/>
      <c r="C85" s="87"/>
      <c r="D85" s="87"/>
      <c r="E85" s="87"/>
      <c r="F85" s="87"/>
      <c r="G85" s="87"/>
      <c r="L85" s="110">
        <v>1</v>
      </c>
      <c r="M85" s="109">
        <f t="shared" ref="M85:M94" si="11">$L85*M$83</f>
        <v>1</v>
      </c>
      <c r="N85" s="109">
        <f t="shared" si="10"/>
        <v>2</v>
      </c>
      <c r="O85" s="109">
        <f t="shared" si="10"/>
        <v>3</v>
      </c>
      <c r="P85" s="109">
        <f t="shared" si="10"/>
        <v>4</v>
      </c>
      <c r="Q85" s="109">
        <f t="shared" si="10"/>
        <v>5</v>
      </c>
      <c r="R85" s="109">
        <f t="shared" si="10"/>
        <v>6</v>
      </c>
      <c r="S85" s="109">
        <f t="shared" si="10"/>
        <v>7</v>
      </c>
      <c r="T85" s="109">
        <f t="shared" si="10"/>
        <v>8</v>
      </c>
      <c r="U85" s="109">
        <f t="shared" si="10"/>
        <v>9</v>
      </c>
      <c r="V85" s="109">
        <f t="shared" si="10"/>
        <v>10</v>
      </c>
    </row>
    <row r="86" spans="2:22" ht="15" customHeight="1" x14ac:dyDescent="0.2">
      <c r="B86" s="112" t="s">
        <v>101</v>
      </c>
      <c r="C86" s="87"/>
      <c r="D86" s="87"/>
      <c r="E86" s="87"/>
      <c r="F86" s="87"/>
      <c r="G86" s="87"/>
      <c r="L86" s="110">
        <v>2</v>
      </c>
      <c r="M86" s="109">
        <f t="shared" si="11"/>
        <v>2</v>
      </c>
      <c r="N86" s="109">
        <f t="shared" si="10"/>
        <v>4</v>
      </c>
      <c r="O86" s="109">
        <f t="shared" si="10"/>
        <v>6</v>
      </c>
      <c r="P86" s="109">
        <f t="shared" si="10"/>
        <v>8</v>
      </c>
      <c r="Q86" s="109">
        <f t="shared" si="10"/>
        <v>10</v>
      </c>
      <c r="R86" s="109">
        <f t="shared" si="10"/>
        <v>12</v>
      </c>
      <c r="S86" s="109">
        <f t="shared" si="10"/>
        <v>14</v>
      </c>
      <c r="T86" s="109">
        <f t="shared" si="10"/>
        <v>16</v>
      </c>
      <c r="U86" s="109">
        <f t="shared" si="10"/>
        <v>18</v>
      </c>
      <c r="V86" s="109">
        <f t="shared" si="10"/>
        <v>20</v>
      </c>
    </row>
    <row r="87" spans="2:22" x14ac:dyDescent="0.2">
      <c r="L87" s="110">
        <v>3</v>
      </c>
      <c r="M87" s="109">
        <f t="shared" si="11"/>
        <v>3</v>
      </c>
      <c r="N87" s="109">
        <f t="shared" si="10"/>
        <v>6</v>
      </c>
      <c r="O87" s="109">
        <f t="shared" si="10"/>
        <v>9</v>
      </c>
      <c r="P87" s="109">
        <f t="shared" si="10"/>
        <v>12</v>
      </c>
      <c r="Q87" s="109">
        <f t="shared" si="10"/>
        <v>15</v>
      </c>
      <c r="R87" s="109">
        <f t="shared" si="10"/>
        <v>18</v>
      </c>
      <c r="S87" s="109">
        <f t="shared" si="10"/>
        <v>21</v>
      </c>
      <c r="T87" s="109">
        <f t="shared" si="10"/>
        <v>24</v>
      </c>
      <c r="U87" s="109">
        <f t="shared" si="10"/>
        <v>27</v>
      </c>
      <c r="V87" s="109">
        <f t="shared" si="10"/>
        <v>30</v>
      </c>
    </row>
    <row r="88" spans="2:22" x14ac:dyDescent="0.2">
      <c r="B88" s="113" t="s">
        <v>102</v>
      </c>
      <c r="C88" s="438" t="s">
        <v>103</v>
      </c>
      <c r="D88" s="438"/>
      <c r="E88" s="438"/>
      <c r="F88" s="438"/>
      <c r="G88" s="438"/>
      <c r="H88" s="114"/>
      <c r="L88" s="110">
        <v>4</v>
      </c>
      <c r="M88" s="109">
        <f t="shared" si="11"/>
        <v>4</v>
      </c>
      <c r="N88" s="109">
        <f t="shared" si="10"/>
        <v>8</v>
      </c>
      <c r="O88" s="109">
        <f t="shared" si="10"/>
        <v>12</v>
      </c>
      <c r="P88" s="109">
        <f t="shared" si="10"/>
        <v>16</v>
      </c>
      <c r="Q88" s="109">
        <f t="shared" si="10"/>
        <v>20</v>
      </c>
      <c r="R88" s="109">
        <f t="shared" si="10"/>
        <v>24</v>
      </c>
      <c r="S88" s="109">
        <f t="shared" si="10"/>
        <v>28</v>
      </c>
      <c r="T88" s="109">
        <f t="shared" si="10"/>
        <v>32</v>
      </c>
      <c r="U88" s="109">
        <f t="shared" si="10"/>
        <v>36</v>
      </c>
      <c r="V88" s="109">
        <f t="shared" si="10"/>
        <v>40</v>
      </c>
    </row>
    <row r="89" spans="2:22" ht="13.5" thickBot="1" x14ac:dyDescent="0.25">
      <c r="B89" s="115" t="s">
        <v>104</v>
      </c>
      <c r="C89" s="116">
        <v>2001</v>
      </c>
      <c r="D89" s="116">
        <v>2002</v>
      </c>
      <c r="E89" s="116">
        <v>2003</v>
      </c>
      <c r="F89" s="116">
        <v>2004</v>
      </c>
      <c r="G89" s="116">
        <v>2005</v>
      </c>
      <c r="H89" s="117" t="s">
        <v>8</v>
      </c>
      <c r="L89" s="110">
        <v>5</v>
      </c>
      <c r="M89" s="109">
        <f t="shared" si="11"/>
        <v>5</v>
      </c>
      <c r="N89" s="109">
        <f t="shared" si="10"/>
        <v>10</v>
      </c>
      <c r="O89" s="109">
        <f t="shared" si="10"/>
        <v>15</v>
      </c>
      <c r="P89" s="109">
        <f t="shared" si="10"/>
        <v>20</v>
      </c>
      <c r="Q89" s="109">
        <f t="shared" si="10"/>
        <v>25</v>
      </c>
      <c r="R89" s="109">
        <f t="shared" si="10"/>
        <v>30</v>
      </c>
      <c r="S89" s="109">
        <f t="shared" si="10"/>
        <v>35</v>
      </c>
      <c r="T89" s="109">
        <f t="shared" si="10"/>
        <v>40</v>
      </c>
      <c r="U89" s="109">
        <f t="shared" si="10"/>
        <v>45</v>
      </c>
      <c r="V89" s="109">
        <f t="shared" si="10"/>
        <v>50</v>
      </c>
    </row>
    <row r="90" spans="2:22" ht="13.5" thickTop="1" x14ac:dyDescent="0.2">
      <c r="B90" s="118" t="s">
        <v>105</v>
      </c>
      <c r="C90" s="119" t="s">
        <v>106</v>
      </c>
      <c r="D90" s="120"/>
      <c r="E90" s="120"/>
      <c r="F90" s="120"/>
      <c r="G90" s="120"/>
      <c r="H90" s="120"/>
      <c r="L90" s="110">
        <v>6</v>
      </c>
      <c r="M90" s="109">
        <f t="shared" si="11"/>
        <v>6</v>
      </c>
      <c r="N90" s="109">
        <f t="shared" si="10"/>
        <v>12</v>
      </c>
      <c r="O90" s="109">
        <f t="shared" si="10"/>
        <v>18</v>
      </c>
      <c r="P90" s="109">
        <f t="shared" si="10"/>
        <v>24</v>
      </c>
      <c r="Q90" s="109">
        <f t="shared" si="10"/>
        <v>30</v>
      </c>
      <c r="R90" s="109">
        <f t="shared" si="10"/>
        <v>36</v>
      </c>
      <c r="S90" s="109">
        <f t="shared" si="10"/>
        <v>42</v>
      </c>
      <c r="T90" s="109">
        <f t="shared" si="10"/>
        <v>48</v>
      </c>
      <c r="U90" s="109">
        <f t="shared" si="10"/>
        <v>54</v>
      </c>
      <c r="V90" s="109">
        <f t="shared" si="10"/>
        <v>60</v>
      </c>
    </row>
    <row r="91" spans="2:22" x14ac:dyDescent="0.2">
      <c r="B91" s="121" t="s">
        <v>107</v>
      </c>
      <c r="C91" s="122" t="s">
        <v>108</v>
      </c>
      <c r="D91" s="123"/>
      <c r="E91" s="123"/>
      <c r="F91" s="123"/>
      <c r="G91" s="123"/>
      <c r="H91" s="123"/>
      <c r="L91" s="110">
        <v>7</v>
      </c>
      <c r="M91" s="109">
        <f t="shared" si="11"/>
        <v>7</v>
      </c>
      <c r="N91" s="109">
        <f t="shared" si="10"/>
        <v>14</v>
      </c>
      <c r="O91" s="109">
        <f t="shared" si="10"/>
        <v>21</v>
      </c>
      <c r="P91" s="109">
        <f t="shared" si="10"/>
        <v>28</v>
      </c>
      <c r="Q91" s="109">
        <f t="shared" si="10"/>
        <v>35</v>
      </c>
      <c r="R91" s="109">
        <f t="shared" si="10"/>
        <v>42</v>
      </c>
      <c r="S91" s="109">
        <f t="shared" si="10"/>
        <v>49</v>
      </c>
      <c r="T91" s="109">
        <f t="shared" si="10"/>
        <v>56</v>
      </c>
      <c r="U91" s="109">
        <f t="shared" si="10"/>
        <v>63</v>
      </c>
      <c r="V91" s="109">
        <f t="shared" si="10"/>
        <v>70</v>
      </c>
    </row>
    <row r="92" spans="2:22" x14ac:dyDescent="0.2">
      <c r="B92" s="121" t="s">
        <v>109</v>
      </c>
      <c r="C92" s="123"/>
      <c r="D92" s="123"/>
      <c r="E92" s="123"/>
      <c r="F92" s="123"/>
      <c r="G92" s="123"/>
      <c r="H92" s="123"/>
      <c r="L92" s="110">
        <v>8</v>
      </c>
      <c r="M92" s="109">
        <f t="shared" si="11"/>
        <v>8</v>
      </c>
      <c r="N92" s="109">
        <f t="shared" si="10"/>
        <v>16</v>
      </c>
      <c r="O92" s="109">
        <f t="shared" si="10"/>
        <v>24</v>
      </c>
      <c r="P92" s="109">
        <f t="shared" si="10"/>
        <v>32</v>
      </c>
      <c r="Q92" s="109">
        <f t="shared" si="10"/>
        <v>40</v>
      </c>
      <c r="R92" s="109">
        <f t="shared" si="10"/>
        <v>48</v>
      </c>
      <c r="S92" s="109">
        <f t="shared" si="10"/>
        <v>56</v>
      </c>
      <c r="T92" s="109">
        <f t="shared" si="10"/>
        <v>64</v>
      </c>
      <c r="U92" s="109">
        <f t="shared" si="10"/>
        <v>72</v>
      </c>
      <c r="V92" s="109">
        <f t="shared" si="10"/>
        <v>80</v>
      </c>
    </row>
    <row r="93" spans="2:22" ht="18.75" customHeight="1" x14ac:dyDescent="0.2">
      <c r="B93" s="124" t="s">
        <v>110</v>
      </c>
      <c r="C93" s="123"/>
      <c r="D93" s="123"/>
      <c r="E93" s="123"/>
      <c r="F93" s="123"/>
      <c r="G93" s="123"/>
      <c r="H93" s="123"/>
      <c r="L93" s="110">
        <v>9</v>
      </c>
      <c r="M93" s="109">
        <f t="shared" si="11"/>
        <v>9</v>
      </c>
      <c r="N93" s="109">
        <f t="shared" si="10"/>
        <v>18</v>
      </c>
      <c r="O93" s="109">
        <f t="shared" si="10"/>
        <v>27</v>
      </c>
      <c r="P93" s="109">
        <f t="shared" si="10"/>
        <v>36</v>
      </c>
      <c r="Q93" s="109">
        <f t="shared" si="10"/>
        <v>45</v>
      </c>
      <c r="R93" s="109">
        <f t="shared" si="10"/>
        <v>54</v>
      </c>
      <c r="S93" s="109">
        <f t="shared" si="10"/>
        <v>63</v>
      </c>
      <c r="T93" s="109">
        <f t="shared" si="10"/>
        <v>72</v>
      </c>
      <c r="U93" s="109">
        <f t="shared" si="10"/>
        <v>81</v>
      </c>
      <c r="V93" s="109">
        <f t="shared" si="10"/>
        <v>90</v>
      </c>
    </row>
    <row r="94" spans="2:22" x14ac:dyDescent="0.2">
      <c r="B94" s="125"/>
      <c r="C94" s="126"/>
      <c r="D94" s="126"/>
      <c r="E94" s="126"/>
      <c r="F94" s="126"/>
      <c r="G94" s="126"/>
      <c r="H94" s="126"/>
      <c r="L94" s="110">
        <v>10</v>
      </c>
      <c r="M94" s="109">
        <f t="shared" si="11"/>
        <v>10</v>
      </c>
      <c r="N94" s="109">
        <f t="shared" si="10"/>
        <v>20</v>
      </c>
      <c r="O94" s="109">
        <f t="shared" si="10"/>
        <v>30</v>
      </c>
      <c r="P94" s="109">
        <f t="shared" si="10"/>
        <v>40</v>
      </c>
      <c r="Q94" s="109">
        <f t="shared" si="10"/>
        <v>50</v>
      </c>
      <c r="R94" s="109">
        <f t="shared" si="10"/>
        <v>60</v>
      </c>
      <c r="S94" s="109">
        <f t="shared" si="10"/>
        <v>70</v>
      </c>
      <c r="T94" s="109">
        <f t="shared" si="10"/>
        <v>80</v>
      </c>
      <c r="U94" s="109">
        <f t="shared" si="10"/>
        <v>90</v>
      </c>
      <c r="V94" s="109">
        <f t="shared" si="10"/>
        <v>100</v>
      </c>
    </row>
    <row r="95" spans="2:22" x14ac:dyDescent="0.2">
      <c r="B95" s="125"/>
      <c r="C95" s="126"/>
      <c r="D95" s="126"/>
      <c r="E95" s="126"/>
      <c r="F95" s="126"/>
      <c r="G95" s="126"/>
      <c r="H95" s="126"/>
    </row>
    <row r="96" spans="2:22" x14ac:dyDescent="0.2">
      <c r="B96" s="127"/>
      <c r="C96" s="127"/>
      <c r="D96" s="127"/>
      <c r="E96" s="127"/>
      <c r="F96" s="127"/>
      <c r="G96" s="127"/>
      <c r="H96" s="127"/>
    </row>
    <row r="103" spans="2:9" x14ac:dyDescent="0.2">
      <c r="G103" s="319" t="s">
        <v>61</v>
      </c>
      <c r="H103" s="44">
        <v>0.05</v>
      </c>
    </row>
    <row r="104" spans="2:9" x14ac:dyDescent="0.2">
      <c r="G104" s="319" t="s">
        <v>454</v>
      </c>
      <c r="H104" s="44">
        <v>0.08</v>
      </c>
    </row>
    <row r="106" spans="2:9" x14ac:dyDescent="0.2">
      <c r="E106" s="319" t="s">
        <v>510</v>
      </c>
      <c r="G106" s="319" t="s">
        <v>512</v>
      </c>
    </row>
    <row r="107" spans="2:9" x14ac:dyDescent="0.2">
      <c r="B107" s="113" t="s">
        <v>102</v>
      </c>
      <c r="C107" s="438" t="s">
        <v>103</v>
      </c>
      <c r="D107" s="438"/>
      <c r="E107" s="438"/>
      <c r="F107" s="438"/>
      <c r="G107" s="438"/>
      <c r="H107" s="114"/>
    </row>
    <row r="108" spans="2:9" ht="13.5" thickBot="1" x14ac:dyDescent="0.25">
      <c r="B108" s="115" t="s">
        <v>104</v>
      </c>
      <c r="C108" s="116">
        <v>2001</v>
      </c>
      <c r="D108" s="116">
        <v>2002</v>
      </c>
      <c r="E108" s="116">
        <v>2003</v>
      </c>
      <c r="F108" s="116">
        <v>2004</v>
      </c>
      <c r="G108" s="116">
        <v>2005</v>
      </c>
      <c r="H108" s="117" t="s">
        <v>8</v>
      </c>
    </row>
    <row r="109" spans="2:9" ht="13.5" thickTop="1" x14ac:dyDescent="0.2">
      <c r="B109" s="118" t="s">
        <v>105</v>
      </c>
      <c r="C109" s="409">
        <v>50.2</v>
      </c>
      <c r="D109" s="407">
        <f>C109+C109*$H103</f>
        <v>52.71</v>
      </c>
      <c r="E109" s="408">
        <f t="shared" ref="E109:G110" si="12">D109+D109*$H103</f>
        <v>55.345500000000001</v>
      </c>
      <c r="F109" s="408">
        <f t="shared" si="12"/>
        <v>58.112774999999999</v>
      </c>
      <c r="G109" s="408">
        <f t="shared" si="12"/>
        <v>61.018413750000001</v>
      </c>
      <c r="H109" s="407">
        <f>SUM(C109:G109)</f>
        <v>277.38668874999996</v>
      </c>
    </row>
    <row r="110" spans="2:9" x14ac:dyDescent="0.2">
      <c r="B110" s="121" t="s">
        <v>107</v>
      </c>
      <c r="C110" s="410">
        <v>90</v>
      </c>
      <c r="D110" s="407">
        <f>C110+C110*$H104</f>
        <v>97.2</v>
      </c>
      <c r="E110" s="408">
        <f t="shared" si="12"/>
        <v>104.976</v>
      </c>
      <c r="F110" s="408">
        <f t="shared" si="12"/>
        <v>113.37407999999999</v>
      </c>
      <c r="G110" s="408">
        <f t="shared" si="12"/>
        <v>122.44400639999999</v>
      </c>
      <c r="H110" s="408">
        <f>SUM(C110:G110)</f>
        <v>527.99408640000001</v>
      </c>
    </row>
    <row r="111" spans="2:9" x14ac:dyDescent="0.2">
      <c r="B111" s="121" t="s">
        <v>109</v>
      </c>
      <c r="C111" s="411">
        <f>C109-C110</f>
        <v>-39.799999999999997</v>
      </c>
      <c r="D111" s="411">
        <f t="shared" ref="D111:G111" si="13">D109-D110</f>
        <v>-44.49</v>
      </c>
      <c r="E111" s="411">
        <f t="shared" si="13"/>
        <v>-49.630499999999998</v>
      </c>
      <c r="F111" s="411">
        <f t="shared" si="13"/>
        <v>-55.261304999999993</v>
      </c>
      <c r="G111" s="411">
        <f t="shared" si="13"/>
        <v>-61.425592649999992</v>
      </c>
      <c r="H111" s="408">
        <f>SUM(C111:G111)</f>
        <v>-250.60739765</v>
      </c>
      <c r="I111" s="319" t="s">
        <v>513</v>
      </c>
    </row>
    <row r="112" spans="2:9" x14ac:dyDescent="0.2">
      <c r="B112" s="124" t="s">
        <v>110</v>
      </c>
      <c r="C112" s="412">
        <f>SUM($C111:C111)</f>
        <v>-39.799999999999997</v>
      </c>
      <c r="D112" s="411">
        <f>SUM($C111:D111)</f>
        <v>-84.289999999999992</v>
      </c>
      <c r="E112" s="411">
        <f>SUM($C111:E111)</f>
        <v>-133.9205</v>
      </c>
      <c r="F112" s="411">
        <f>SUM($C111:F111)</f>
        <v>-189.181805</v>
      </c>
      <c r="G112" s="411">
        <f>SUM($C111:G111)</f>
        <v>-250.60739765</v>
      </c>
      <c r="H112" s="413"/>
    </row>
    <row r="113" spans="4:6" x14ac:dyDescent="0.2">
      <c r="D113" s="319" t="s">
        <v>509</v>
      </c>
      <c r="F113" s="319" t="s">
        <v>511</v>
      </c>
    </row>
  </sheetData>
  <mergeCells count="11">
    <mergeCell ref="C107:G107"/>
    <mergeCell ref="A1:F1"/>
    <mergeCell ref="B33:H33"/>
    <mergeCell ref="C36:E36"/>
    <mergeCell ref="D53:F53"/>
    <mergeCell ref="C88:G88"/>
    <mergeCell ref="F18:F20"/>
    <mergeCell ref="F38:G38"/>
    <mergeCell ref="F39:G39"/>
    <mergeCell ref="F40:G40"/>
    <mergeCell ref="F41:G4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8"/>
  <sheetViews>
    <sheetView workbookViewId="0">
      <selection activeCell="R117" sqref="R117"/>
    </sheetView>
  </sheetViews>
  <sheetFormatPr defaultRowHeight="12.75" x14ac:dyDescent="0.2"/>
  <cols>
    <col min="1" max="1" width="3.7109375" customWidth="1"/>
    <col min="2" max="2" width="7.85546875" customWidth="1"/>
    <col min="3" max="3" width="8.140625" customWidth="1"/>
    <col min="4" max="4" width="8.7109375" customWidth="1"/>
    <col min="5" max="5" width="8.5703125" customWidth="1"/>
    <col min="6" max="6" width="9.5703125" customWidth="1"/>
    <col min="9" max="9" width="5.28515625" customWidth="1"/>
    <col min="10" max="10" width="9.5703125" customWidth="1"/>
    <col min="11" max="11" width="11.140625" customWidth="1"/>
    <col min="13" max="13" width="13.5703125" customWidth="1"/>
  </cols>
  <sheetData>
    <row r="1" spans="1:19" ht="15.75" x14ac:dyDescent="0.25">
      <c r="A1" s="437" t="s">
        <v>111</v>
      </c>
      <c r="B1" s="437"/>
      <c r="C1" s="437"/>
      <c r="D1" s="437"/>
      <c r="E1" s="437"/>
      <c r="F1" s="437"/>
    </row>
    <row r="2" spans="1:19" ht="13.5" thickBot="1" x14ac:dyDescent="0.25">
      <c r="A2" s="14"/>
      <c r="B2" s="15"/>
      <c r="C2" s="14"/>
      <c r="D2" s="16"/>
      <c r="E2" s="15"/>
      <c r="F2" s="15"/>
    </row>
    <row r="3" spans="1:19" x14ac:dyDescent="0.2">
      <c r="A3" t="s">
        <v>112</v>
      </c>
      <c r="N3" s="128" t="s">
        <v>113</v>
      </c>
      <c r="O3" s="128" t="s">
        <v>114</v>
      </c>
      <c r="P3" s="128" t="s">
        <v>115</v>
      </c>
      <c r="Q3" s="128" t="s">
        <v>89</v>
      </c>
      <c r="R3" s="128" t="s">
        <v>90</v>
      </c>
      <c r="S3" s="128" t="s">
        <v>81</v>
      </c>
    </row>
    <row r="4" spans="1:19" x14ac:dyDescent="0.2">
      <c r="A4" t="s">
        <v>116</v>
      </c>
      <c r="N4" s="129">
        <v>1</v>
      </c>
      <c r="O4" s="129" t="s">
        <v>117</v>
      </c>
      <c r="P4" s="129" t="s">
        <v>118</v>
      </c>
      <c r="Q4" s="129" t="s">
        <v>119</v>
      </c>
      <c r="R4" s="129">
        <v>600</v>
      </c>
      <c r="S4" s="130">
        <v>68400</v>
      </c>
    </row>
    <row r="5" spans="1:19" x14ac:dyDescent="0.2">
      <c r="N5" s="129">
        <v>2</v>
      </c>
      <c r="O5" s="129" t="s">
        <v>120</v>
      </c>
      <c r="P5" s="129" t="s">
        <v>118</v>
      </c>
      <c r="Q5" s="129" t="s">
        <v>121</v>
      </c>
      <c r="R5" s="129">
        <v>500</v>
      </c>
      <c r="S5" s="130">
        <v>240000</v>
      </c>
    </row>
    <row r="6" spans="1:19" x14ac:dyDescent="0.2">
      <c r="N6" s="129">
        <v>3</v>
      </c>
      <c r="O6" s="129" t="s">
        <v>117</v>
      </c>
      <c r="P6" s="129" t="s">
        <v>49</v>
      </c>
      <c r="Q6" s="129" t="s">
        <v>121</v>
      </c>
      <c r="R6" s="129">
        <v>290</v>
      </c>
      <c r="S6" s="130">
        <v>145000</v>
      </c>
    </row>
    <row r="7" spans="1:19" x14ac:dyDescent="0.2">
      <c r="N7" s="129">
        <v>4</v>
      </c>
      <c r="O7" s="129" t="s">
        <v>122</v>
      </c>
      <c r="P7" s="129" t="s">
        <v>49</v>
      </c>
      <c r="Q7" s="129" t="s">
        <v>123</v>
      </c>
      <c r="R7" s="129">
        <v>940</v>
      </c>
      <c r="S7" s="130">
        <v>368480</v>
      </c>
    </row>
    <row r="8" spans="1:19" x14ac:dyDescent="0.2">
      <c r="B8" s="27" t="s">
        <v>124</v>
      </c>
      <c r="C8" s="27"/>
      <c r="D8" s="27"/>
      <c r="E8" s="27"/>
      <c r="N8" s="129">
        <v>5</v>
      </c>
      <c r="O8" s="129" t="s">
        <v>122</v>
      </c>
      <c r="P8" s="129" t="s">
        <v>49</v>
      </c>
      <c r="Q8" s="129" t="s">
        <v>119</v>
      </c>
      <c r="R8" s="129">
        <v>890</v>
      </c>
      <c r="S8" s="130">
        <v>106800</v>
      </c>
    </row>
    <row r="9" spans="1:19" x14ac:dyDescent="0.2">
      <c r="N9" s="129">
        <v>6</v>
      </c>
      <c r="O9" s="129" t="s">
        <v>122</v>
      </c>
      <c r="P9" s="129" t="s">
        <v>118</v>
      </c>
      <c r="Q9" s="129" t="s">
        <v>121</v>
      </c>
      <c r="R9" s="129">
        <v>340</v>
      </c>
      <c r="S9" s="130">
        <v>170000</v>
      </c>
    </row>
    <row r="10" spans="1:19" x14ac:dyDescent="0.2">
      <c r="N10" s="129">
        <v>7</v>
      </c>
      <c r="O10" s="129" t="s">
        <v>120</v>
      </c>
      <c r="P10" s="129" t="s">
        <v>125</v>
      </c>
      <c r="Q10" s="129" t="s">
        <v>121</v>
      </c>
      <c r="R10" s="129">
        <v>900</v>
      </c>
      <c r="S10" s="130">
        <v>427500</v>
      </c>
    </row>
    <row r="11" spans="1:19" x14ac:dyDescent="0.2">
      <c r="C11" s="131">
        <v>5</v>
      </c>
      <c r="D11" s="369">
        <f>COUNT(C11:C16)</f>
        <v>3</v>
      </c>
      <c r="E11" t="s">
        <v>126</v>
      </c>
      <c r="I11" s="319" t="s">
        <v>518</v>
      </c>
      <c r="N11" s="129">
        <v>8</v>
      </c>
      <c r="O11" s="129" t="s">
        <v>120</v>
      </c>
      <c r="P11" s="129" t="s">
        <v>49</v>
      </c>
      <c r="Q11" s="129" t="s">
        <v>123</v>
      </c>
      <c r="R11" s="129">
        <v>740</v>
      </c>
      <c r="S11" s="130">
        <v>296000</v>
      </c>
    </row>
    <row r="12" spans="1:19" x14ac:dyDescent="0.2">
      <c r="C12" s="131">
        <v>12</v>
      </c>
      <c r="D12" s="369">
        <f>COUNTA(C11:C16)</f>
        <v>5</v>
      </c>
      <c r="E12" t="s">
        <v>127</v>
      </c>
      <c r="I12" s="319" t="s">
        <v>519</v>
      </c>
      <c r="N12" s="129">
        <v>9</v>
      </c>
      <c r="O12" s="129" t="s">
        <v>120</v>
      </c>
      <c r="P12" s="129" t="s">
        <v>49</v>
      </c>
      <c r="Q12" s="129" t="s">
        <v>119</v>
      </c>
      <c r="R12" s="129">
        <v>240</v>
      </c>
      <c r="S12" s="130">
        <v>28224</v>
      </c>
    </row>
    <row r="13" spans="1:19" x14ac:dyDescent="0.2">
      <c r="C13" s="131">
        <v>5</v>
      </c>
      <c r="D13" s="369">
        <f>COUNTBLANK(C11:C16)</f>
        <v>1</v>
      </c>
      <c r="E13" t="s">
        <v>128</v>
      </c>
      <c r="I13" s="319" t="s">
        <v>520</v>
      </c>
      <c r="N13" s="129">
        <v>10</v>
      </c>
      <c r="O13" s="129" t="s">
        <v>122</v>
      </c>
      <c r="P13" s="129" t="s">
        <v>118</v>
      </c>
      <c r="Q13" s="129" t="s">
        <v>121</v>
      </c>
      <c r="R13" s="129">
        <v>580</v>
      </c>
      <c r="S13" s="130">
        <v>290000</v>
      </c>
    </row>
    <row r="14" spans="1:19" x14ac:dyDescent="0.2">
      <c r="C14" s="131"/>
      <c r="D14" s="369">
        <f>COUNTA(C11:C16)-COUNT(C11:C16)</f>
        <v>2</v>
      </c>
      <c r="E14" t="s">
        <v>129</v>
      </c>
      <c r="I14" s="319" t="s">
        <v>521</v>
      </c>
      <c r="N14" s="129">
        <v>11</v>
      </c>
      <c r="O14" s="129" t="s">
        <v>120</v>
      </c>
      <c r="P14" s="129" t="s">
        <v>118</v>
      </c>
      <c r="Q14" s="129" t="s">
        <v>121</v>
      </c>
      <c r="R14" s="129">
        <v>600</v>
      </c>
      <c r="S14" s="130">
        <v>285000</v>
      </c>
    </row>
    <row r="15" spans="1:19" x14ac:dyDescent="0.2">
      <c r="C15" s="131" t="s">
        <v>130</v>
      </c>
    </row>
    <row r="16" spans="1:19" x14ac:dyDescent="0.2">
      <c r="C16" s="131" t="s">
        <v>131</v>
      </c>
    </row>
    <row r="17" spans="2:15" x14ac:dyDescent="0.2">
      <c r="O17" s="21" t="s">
        <v>184</v>
      </c>
    </row>
    <row r="18" spans="2:15" x14ac:dyDescent="0.2">
      <c r="B18" s="27" t="s">
        <v>132</v>
      </c>
      <c r="C18" s="27"/>
      <c r="D18" s="27"/>
      <c r="E18" s="27"/>
      <c r="O18" s="21"/>
    </row>
    <row r="19" spans="2:15" x14ac:dyDescent="0.2">
      <c r="O19" s="21"/>
    </row>
    <row r="20" spans="2:15" ht="13.5" thickBot="1" x14ac:dyDescent="0.25">
      <c r="C20" s="35" t="s">
        <v>133</v>
      </c>
      <c r="D20" s="35" t="s">
        <v>47</v>
      </c>
      <c r="E20" s="35" t="s">
        <v>134</v>
      </c>
      <c r="F20" s="369">
        <f>COUNTA(D21:D29)</f>
        <v>9</v>
      </c>
      <c r="G20" s="132" t="s">
        <v>135</v>
      </c>
      <c r="K20" s="319" t="s">
        <v>514</v>
      </c>
      <c r="O20" s="21"/>
    </row>
    <row r="21" spans="2:15" ht="13.5" thickTop="1" x14ac:dyDescent="0.2">
      <c r="C21" s="133">
        <v>15963</v>
      </c>
      <c r="D21" s="134" t="s">
        <v>136</v>
      </c>
      <c r="E21" s="135">
        <v>12</v>
      </c>
      <c r="F21" s="369">
        <f>COUNTA(E21:E29)</f>
        <v>7</v>
      </c>
      <c r="G21" s="132" t="s">
        <v>137</v>
      </c>
      <c r="K21" s="319" t="s">
        <v>515</v>
      </c>
      <c r="O21" s="21" t="s">
        <v>185</v>
      </c>
    </row>
    <row r="22" spans="2:15" x14ac:dyDescent="0.2">
      <c r="C22" s="136">
        <v>15964</v>
      </c>
      <c r="D22" s="137" t="s">
        <v>138</v>
      </c>
      <c r="E22" s="135"/>
      <c r="F22" s="369">
        <f>COUNTBLANK(E21:E29)</f>
        <v>2</v>
      </c>
      <c r="G22" t="s">
        <v>139</v>
      </c>
      <c r="K22" s="319" t="s">
        <v>516</v>
      </c>
      <c r="O22" s="21"/>
    </row>
    <row r="23" spans="2:15" x14ac:dyDescent="0.2">
      <c r="C23" s="138">
        <v>15965</v>
      </c>
      <c r="D23" s="137" t="s">
        <v>140</v>
      </c>
      <c r="E23" s="135">
        <v>17</v>
      </c>
      <c r="F23" s="369">
        <f>COUNTA(E21:E29)-COUNT(E21:E29)</f>
        <v>2</v>
      </c>
      <c r="G23" t="s">
        <v>141</v>
      </c>
      <c r="K23" s="319" t="s">
        <v>517</v>
      </c>
      <c r="O23" s="21"/>
    </row>
    <row r="24" spans="2:15" x14ac:dyDescent="0.2">
      <c r="C24" s="138">
        <v>15966</v>
      </c>
      <c r="D24" s="137" t="s">
        <v>142</v>
      </c>
      <c r="E24" s="135" t="s">
        <v>143</v>
      </c>
      <c r="O24" s="21"/>
    </row>
    <row r="25" spans="2:15" x14ac:dyDescent="0.2">
      <c r="C25" s="138">
        <v>15967</v>
      </c>
      <c r="D25" s="137" t="s">
        <v>144</v>
      </c>
      <c r="E25" s="135"/>
      <c r="O25" s="21" t="s">
        <v>186</v>
      </c>
    </row>
    <row r="26" spans="2:15" x14ac:dyDescent="0.2">
      <c r="C26" s="138">
        <v>15968</v>
      </c>
      <c r="D26" s="137" t="s">
        <v>145</v>
      </c>
      <c r="E26" s="135">
        <v>15</v>
      </c>
      <c r="O26" s="21"/>
    </row>
    <row r="27" spans="2:15" x14ac:dyDescent="0.2">
      <c r="C27" s="138">
        <v>15969</v>
      </c>
      <c r="D27" s="137" t="s">
        <v>146</v>
      </c>
      <c r="E27" s="135">
        <v>17</v>
      </c>
    </row>
    <row r="28" spans="2:15" x14ac:dyDescent="0.2">
      <c r="C28" s="138">
        <v>15970</v>
      </c>
      <c r="D28" s="137" t="s">
        <v>147</v>
      </c>
      <c r="E28" s="135" t="s">
        <v>143</v>
      </c>
    </row>
    <row r="29" spans="2:15" x14ac:dyDescent="0.2">
      <c r="C29" s="138">
        <v>15971</v>
      </c>
      <c r="D29" s="137" t="s">
        <v>148</v>
      </c>
      <c r="E29" s="135">
        <v>11</v>
      </c>
    </row>
    <row r="32" spans="2:15" x14ac:dyDescent="0.2">
      <c r="B32" s="27" t="s">
        <v>149</v>
      </c>
      <c r="C32" s="27"/>
      <c r="D32" s="27"/>
      <c r="E32" s="27"/>
      <c r="F32" s="27"/>
      <c r="G32" s="27"/>
    </row>
    <row r="35" spans="2:15" x14ac:dyDescent="0.2">
      <c r="C35" t="s">
        <v>150</v>
      </c>
    </row>
    <row r="36" spans="2:15" x14ac:dyDescent="0.2">
      <c r="B36" s="139" t="s">
        <v>151</v>
      </c>
      <c r="C36" s="139" t="s">
        <v>47</v>
      </c>
      <c r="D36" s="139" t="s">
        <v>114</v>
      </c>
      <c r="E36" s="139" t="s">
        <v>152</v>
      </c>
      <c r="F36" s="139" t="s">
        <v>153</v>
      </c>
    </row>
    <row r="37" spans="2:15" x14ac:dyDescent="0.2">
      <c r="B37" s="26">
        <v>12</v>
      </c>
      <c r="C37" s="26" t="s">
        <v>49</v>
      </c>
      <c r="D37" s="26" t="s">
        <v>120</v>
      </c>
      <c r="E37" s="26">
        <v>100</v>
      </c>
      <c r="F37" s="40">
        <v>0.05</v>
      </c>
    </row>
    <row r="38" spans="2:15" x14ac:dyDescent="0.2">
      <c r="B38" s="26">
        <v>13</v>
      </c>
      <c r="C38" s="26" t="s">
        <v>50</v>
      </c>
      <c r="D38" s="26" t="s">
        <v>117</v>
      </c>
      <c r="E38" s="26">
        <v>112</v>
      </c>
      <c r="F38" s="26"/>
    </row>
    <row r="39" spans="2:15" x14ac:dyDescent="0.2">
      <c r="B39" s="26">
        <v>14</v>
      </c>
      <c r="C39" s="26" t="s">
        <v>48</v>
      </c>
      <c r="D39" s="26" t="s">
        <v>120</v>
      </c>
      <c r="E39" s="26">
        <v>1</v>
      </c>
      <c r="F39" s="40">
        <v>0.1</v>
      </c>
    </row>
    <row r="40" spans="2:15" x14ac:dyDescent="0.2">
      <c r="B40" s="26">
        <v>15</v>
      </c>
      <c r="C40" s="26" t="s">
        <v>154</v>
      </c>
      <c r="D40" s="26" t="s">
        <v>120</v>
      </c>
      <c r="E40" s="26">
        <v>6</v>
      </c>
      <c r="F40" s="26"/>
      <c r="G40" s="369">
        <f>COUNT(B37:B44)</f>
        <v>8</v>
      </c>
      <c r="H40" t="s">
        <v>155</v>
      </c>
      <c r="M40" s="319" t="s">
        <v>522</v>
      </c>
    </row>
    <row r="41" spans="2:15" x14ac:dyDescent="0.2">
      <c r="B41" s="26">
        <v>16</v>
      </c>
      <c r="C41" s="26" t="s">
        <v>49</v>
      </c>
      <c r="D41" s="26" t="s">
        <v>120</v>
      </c>
      <c r="E41" s="26">
        <v>30</v>
      </c>
      <c r="F41" s="40">
        <v>0.05</v>
      </c>
      <c r="G41" s="369">
        <f>COUNTIF(C37:C44,"Ana")</f>
        <v>3</v>
      </c>
      <c r="H41" t="s">
        <v>156</v>
      </c>
      <c r="O41" s="319" t="s">
        <v>523</v>
      </c>
    </row>
    <row r="42" spans="2:15" x14ac:dyDescent="0.2">
      <c r="B42" s="26">
        <v>17</v>
      </c>
      <c r="C42" s="26" t="s">
        <v>48</v>
      </c>
      <c r="D42" s="26" t="s">
        <v>117</v>
      </c>
      <c r="E42" s="26">
        <v>1</v>
      </c>
      <c r="F42" s="40">
        <v>0.05</v>
      </c>
      <c r="H42" t="s">
        <v>441</v>
      </c>
    </row>
    <row r="43" spans="2:15" x14ac:dyDescent="0.2">
      <c r="B43" s="26">
        <v>18</v>
      </c>
      <c r="C43" s="26" t="s">
        <v>48</v>
      </c>
      <c r="D43" s="26" t="s">
        <v>117</v>
      </c>
      <c r="E43" s="26">
        <v>1</v>
      </c>
      <c r="F43" s="26"/>
    </row>
    <row r="44" spans="2:15" x14ac:dyDescent="0.2">
      <c r="B44" s="26">
        <v>19</v>
      </c>
      <c r="C44" s="26" t="s">
        <v>49</v>
      </c>
      <c r="D44" s="26" t="s">
        <v>122</v>
      </c>
      <c r="E44" s="26">
        <v>12</v>
      </c>
      <c r="F44" s="40">
        <v>0.1</v>
      </c>
      <c r="K44" s="26" t="s">
        <v>154</v>
      </c>
      <c r="L44" s="370">
        <f>COUNTIF(C37:C44,K44)</f>
        <v>1</v>
      </c>
      <c r="M44" s="319" t="s">
        <v>524</v>
      </c>
    </row>
    <row r="45" spans="2:15" x14ac:dyDescent="0.2">
      <c r="B45" s="26"/>
      <c r="C45" s="26"/>
      <c r="D45" s="26"/>
      <c r="E45" s="26"/>
      <c r="F45" s="26"/>
    </row>
    <row r="46" spans="2:15" x14ac:dyDescent="0.2">
      <c r="B46" s="26"/>
      <c r="C46" s="26"/>
      <c r="D46" s="26"/>
      <c r="E46" s="26"/>
      <c r="F46" s="26"/>
    </row>
    <row r="47" spans="2:15" x14ac:dyDescent="0.2">
      <c r="B47" s="26"/>
      <c r="C47" s="26"/>
      <c r="D47" s="26"/>
      <c r="E47" s="26"/>
      <c r="F47" s="26"/>
      <c r="H47" t="s">
        <v>442</v>
      </c>
      <c r="L47" s="369">
        <f>COUNTIFS(C37:C44,"Ana",D37:D44,"Sul")</f>
        <v>2</v>
      </c>
      <c r="M47" s="319" t="s">
        <v>525</v>
      </c>
    </row>
    <row r="48" spans="2:15" ht="18.75" customHeight="1" x14ac:dyDescent="0.2">
      <c r="B48" s="26"/>
      <c r="C48" s="26"/>
      <c r="D48" s="26"/>
      <c r="E48" s="26"/>
      <c r="F48" s="26"/>
      <c r="H48" t="s">
        <v>443</v>
      </c>
      <c r="N48" s="369">
        <f>COUNTIFS(D37:D44,"Sul",E37:E44,"&gt;10")</f>
        <v>2</v>
      </c>
      <c r="O48" s="319" t="s">
        <v>526</v>
      </c>
    </row>
    <row r="49" spans="2:15" ht="18.75" customHeight="1" x14ac:dyDescent="0.2">
      <c r="C49" s="41"/>
      <c r="D49" s="41"/>
      <c r="E49" s="41"/>
      <c r="F49" s="41"/>
      <c r="G49" s="41"/>
      <c r="H49" t="s">
        <v>444</v>
      </c>
      <c r="N49" s="369">
        <f>COUNTIF(D37:D44,"Centro")+COUNTIF(D37:D44,"Sul")</f>
        <v>5</v>
      </c>
      <c r="O49" s="319" t="s">
        <v>527</v>
      </c>
    </row>
    <row r="50" spans="2:15" ht="18.75" customHeight="1" x14ac:dyDescent="0.25">
      <c r="C50" s="140"/>
      <c r="D50" s="41"/>
      <c r="E50" s="41"/>
      <c r="F50" s="41"/>
      <c r="G50" s="41"/>
    </row>
    <row r="51" spans="2:15" ht="18.75" customHeight="1" x14ac:dyDescent="0.2">
      <c r="B51" s="27" t="s">
        <v>157</v>
      </c>
      <c r="C51" s="41"/>
      <c r="D51" s="41"/>
      <c r="E51" s="41"/>
      <c r="F51" s="41"/>
      <c r="G51" s="141"/>
    </row>
    <row r="52" spans="2:15" ht="18.75" customHeight="1" x14ac:dyDescent="0.2">
      <c r="B52" s="142" t="s">
        <v>150</v>
      </c>
      <c r="C52" s="142"/>
      <c r="D52" s="142"/>
      <c r="E52" s="142"/>
      <c r="F52" s="41"/>
      <c r="G52" s="41">
        <v>15</v>
      </c>
    </row>
    <row r="53" spans="2:15" x14ac:dyDescent="0.2">
      <c r="B53" s="143" t="s">
        <v>47</v>
      </c>
      <c r="C53" s="143" t="s">
        <v>151</v>
      </c>
      <c r="D53" s="139" t="s">
        <v>152</v>
      </c>
      <c r="E53" s="143" t="s">
        <v>81</v>
      </c>
    </row>
    <row r="54" spans="2:15" x14ac:dyDescent="0.2">
      <c r="B54" s="144" t="s">
        <v>49</v>
      </c>
      <c r="C54" s="145">
        <v>12</v>
      </c>
      <c r="D54" s="146">
        <v>100</v>
      </c>
      <c r="E54" s="371">
        <f>D54*G$52</f>
        <v>1500</v>
      </c>
    </row>
    <row r="55" spans="2:15" x14ac:dyDescent="0.2">
      <c r="B55" s="145" t="s">
        <v>50</v>
      </c>
      <c r="C55" s="145">
        <v>13</v>
      </c>
      <c r="D55" s="26">
        <v>112</v>
      </c>
      <c r="E55" s="371">
        <f t="shared" ref="E55:E69" si="0">D55*G$52</f>
        <v>1680</v>
      </c>
    </row>
    <row r="56" spans="2:15" x14ac:dyDescent="0.2">
      <c r="B56" s="145" t="s">
        <v>48</v>
      </c>
      <c r="C56" s="145">
        <v>14</v>
      </c>
      <c r="D56" s="26">
        <v>1</v>
      </c>
      <c r="E56" s="371">
        <f t="shared" si="0"/>
        <v>15</v>
      </c>
    </row>
    <row r="57" spans="2:15" x14ac:dyDescent="0.2">
      <c r="B57" s="145" t="s">
        <v>154</v>
      </c>
      <c r="C57" s="145">
        <v>15</v>
      </c>
      <c r="D57" s="26">
        <v>6</v>
      </c>
      <c r="E57" s="371">
        <f t="shared" si="0"/>
        <v>90</v>
      </c>
    </row>
    <row r="58" spans="2:15" x14ac:dyDescent="0.2">
      <c r="B58" s="144" t="s">
        <v>49</v>
      </c>
      <c r="C58" s="145">
        <v>16</v>
      </c>
      <c r="D58" s="146">
        <v>453</v>
      </c>
      <c r="E58" s="371">
        <f t="shared" si="0"/>
        <v>6795</v>
      </c>
    </row>
    <row r="59" spans="2:15" x14ac:dyDescent="0.2">
      <c r="B59" s="145" t="s">
        <v>48</v>
      </c>
      <c r="C59" s="145">
        <v>17</v>
      </c>
      <c r="D59" s="26">
        <v>1</v>
      </c>
      <c r="E59" s="371">
        <f t="shared" si="0"/>
        <v>15</v>
      </c>
    </row>
    <row r="60" spans="2:15" x14ac:dyDescent="0.2">
      <c r="B60" s="26" t="s">
        <v>48</v>
      </c>
      <c r="C60" s="26">
        <v>18</v>
      </c>
      <c r="D60" s="26">
        <v>1</v>
      </c>
      <c r="E60" s="371">
        <f t="shared" si="0"/>
        <v>15</v>
      </c>
    </row>
    <row r="61" spans="2:15" x14ac:dyDescent="0.2">
      <c r="B61" s="146" t="s">
        <v>49</v>
      </c>
      <c r="C61" s="26">
        <v>19</v>
      </c>
      <c r="D61" s="146">
        <v>12</v>
      </c>
      <c r="E61" s="371">
        <f t="shared" si="0"/>
        <v>180</v>
      </c>
      <c r="H61" s="132" t="s">
        <v>158</v>
      </c>
      <c r="N61" s="319" t="s">
        <v>528</v>
      </c>
    </row>
    <row r="62" spans="2:15" x14ac:dyDescent="0.2">
      <c r="B62" s="26"/>
      <c r="C62" s="26"/>
      <c r="D62" s="26"/>
      <c r="E62" s="371">
        <f t="shared" si="0"/>
        <v>0</v>
      </c>
    </row>
    <row r="63" spans="2:15" x14ac:dyDescent="0.2">
      <c r="B63" s="26"/>
      <c r="C63" s="26"/>
      <c r="D63" s="26"/>
      <c r="E63" s="371">
        <f t="shared" si="0"/>
        <v>0</v>
      </c>
      <c r="H63" t="s">
        <v>159</v>
      </c>
    </row>
    <row r="64" spans="2:15" x14ac:dyDescent="0.2">
      <c r="B64" s="26"/>
      <c r="C64" s="26"/>
      <c r="D64" s="26"/>
      <c r="E64" s="371">
        <f t="shared" si="0"/>
        <v>0</v>
      </c>
    </row>
    <row r="65" spans="2:16" x14ac:dyDescent="0.2">
      <c r="B65" s="26"/>
      <c r="C65" s="26"/>
      <c r="D65" s="26"/>
      <c r="E65" s="371">
        <f t="shared" si="0"/>
        <v>0</v>
      </c>
      <c r="I65" t="s">
        <v>160</v>
      </c>
      <c r="K65" s="369">
        <f>SUMIF(B54:B69,"=Ana",D54:D69)</f>
        <v>565</v>
      </c>
      <c r="L65" s="319" t="s">
        <v>529</v>
      </c>
    </row>
    <row r="66" spans="2:16" x14ac:dyDescent="0.2">
      <c r="B66" s="26"/>
      <c r="C66" s="26"/>
      <c r="D66" s="26"/>
      <c r="E66" s="371">
        <f t="shared" si="0"/>
        <v>0</v>
      </c>
      <c r="I66" t="s">
        <v>161</v>
      </c>
      <c r="K66" s="369">
        <f>SUMIF(B54:B69,"=Ana",E54:E69)</f>
        <v>8475</v>
      </c>
      <c r="L66" s="319" t="s">
        <v>530</v>
      </c>
    </row>
    <row r="67" spans="2:16" ht="15.75" x14ac:dyDescent="0.25">
      <c r="B67" s="26"/>
      <c r="C67" s="26"/>
      <c r="D67" s="26"/>
      <c r="E67" s="371">
        <f t="shared" si="0"/>
        <v>0</v>
      </c>
      <c r="O67" s="140">
        <f>COUNTIF(C37:C44,”=ANA”)</f>
        <v>0</v>
      </c>
      <c r="P67" s="319" t="s">
        <v>531</v>
      </c>
    </row>
    <row r="68" spans="2:16" x14ac:dyDescent="0.2">
      <c r="B68" s="26"/>
      <c r="C68" s="26"/>
      <c r="D68" s="26"/>
      <c r="E68" s="371">
        <f t="shared" si="0"/>
        <v>0</v>
      </c>
      <c r="H68" t="s">
        <v>162</v>
      </c>
    </row>
    <row r="69" spans="2:16" ht="13.5" thickBot="1" x14ac:dyDescent="0.25">
      <c r="B69" s="107"/>
      <c r="C69" s="107"/>
      <c r="D69" s="107"/>
      <c r="E69" s="371">
        <f t="shared" si="0"/>
        <v>0</v>
      </c>
      <c r="K69" s="372">
        <f>SUM(E54:E69)</f>
        <v>10290</v>
      </c>
      <c r="L69" s="319" t="s">
        <v>532</v>
      </c>
    </row>
    <row r="70" spans="2:16" x14ac:dyDescent="0.2">
      <c r="B70" s="36" t="s">
        <v>70</v>
      </c>
      <c r="C70" s="147"/>
      <c r="D70" s="374">
        <f>SUM(D54:D69)</f>
        <v>686</v>
      </c>
      <c r="E70" s="371">
        <f>SUM(E54:E69)</f>
        <v>10290</v>
      </c>
      <c r="H70" t="s">
        <v>163</v>
      </c>
    </row>
    <row r="71" spans="2:16" x14ac:dyDescent="0.2">
      <c r="I71" t="s">
        <v>164</v>
      </c>
    </row>
    <row r="72" spans="2:16" x14ac:dyDescent="0.2">
      <c r="H72" s="148" t="s">
        <v>48</v>
      </c>
    </row>
    <row r="73" spans="2:16" x14ac:dyDescent="0.2">
      <c r="H73" s="373">
        <f>SUMIF(B54:B69,H72,E54:E69)</f>
        <v>45</v>
      </c>
      <c r="I73" s="319" t="s">
        <v>533</v>
      </c>
    </row>
    <row r="74" spans="2:16" x14ac:dyDescent="0.2">
      <c r="H74" t="s">
        <v>165</v>
      </c>
      <c r="L74" s="319" t="s">
        <v>534</v>
      </c>
    </row>
    <row r="76" spans="2:16" ht="15.75" x14ac:dyDescent="0.25">
      <c r="B76" s="52" t="s">
        <v>166</v>
      </c>
      <c r="C76" s="57"/>
      <c r="D76" s="57"/>
      <c r="E76" s="57"/>
      <c r="F76" s="57"/>
    </row>
    <row r="78" spans="2:16" x14ac:dyDescent="0.2">
      <c r="B78" t="s">
        <v>167</v>
      </c>
    </row>
    <row r="79" spans="2:16" x14ac:dyDescent="0.2">
      <c r="B79" t="s">
        <v>168</v>
      </c>
    </row>
    <row r="81" spans="3:12" x14ac:dyDescent="0.2">
      <c r="C81" t="s">
        <v>169</v>
      </c>
      <c r="H81" t="s">
        <v>170</v>
      </c>
    </row>
    <row r="82" spans="3:12" ht="13.5" thickBot="1" x14ac:dyDescent="0.25">
      <c r="C82" s="34" t="s">
        <v>171</v>
      </c>
      <c r="H82" s="319" t="s">
        <v>535</v>
      </c>
    </row>
    <row r="83" spans="3:12" ht="14.25" thickTop="1" thickBot="1" x14ac:dyDescent="0.25">
      <c r="C83" s="36">
        <v>12</v>
      </c>
      <c r="H83" s="149" t="s">
        <v>134</v>
      </c>
      <c r="I83" s="150" t="s">
        <v>172</v>
      </c>
      <c r="J83" s="35" t="s">
        <v>93</v>
      </c>
    </row>
    <row r="84" spans="3:12" ht="13.5" thickTop="1" x14ac:dyDescent="0.2">
      <c r="C84" s="26">
        <v>14</v>
      </c>
      <c r="H84" s="151" t="s">
        <v>173</v>
      </c>
      <c r="I84" s="375">
        <f>COUNTIF(C$83:C$98,H84)</f>
        <v>3</v>
      </c>
      <c r="J84" s="376">
        <f>I84/I$97</f>
        <v>0.1875</v>
      </c>
      <c r="K84" s="319" t="s">
        <v>536</v>
      </c>
    </row>
    <row r="85" spans="3:12" x14ac:dyDescent="0.2">
      <c r="C85" s="26">
        <v>15</v>
      </c>
      <c r="H85" s="152" t="s">
        <v>174</v>
      </c>
      <c r="I85" s="375">
        <f t="shared" ref="I85:I96" si="1">COUNTIF(C$83:C$98,H85)</f>
        <v>4</v>
      </c>
      <c r="J85" s="376">
        <f t="shared" ref="J85:J97" si="2">I85/I$97</f>
        <v>0.25</v>
      </c>
    </row>
    <row r="86" spans="3:12" x14ac:dyDescent="0.2">
      <c r="C86" s="26" t="s">
        <v>175</v>
      </c>
      <c r="H86" s="152">
        <v>10</v>
      </c>
      <c r="I86" s="375">
        <f t="shared" si="1"/>
        <v>0</v>
      </c>
      <c r="J86" s="376">
        <f t="shared" si="2"/>
        <v>0</v>
      </c>
    </row>
    <row r="87" spans="3:12" x14ac:dyDescent="0.2">
      <c r="C87" s="26">
        <v>12</v>
      </c>
      <c r="H87" s="152">
        <v>11</v>
      </c>
      <c r="I87" s="375">
        <f t="shared" si="1"/>
        <v>0</v>
      </c>
      <c r="J87" s="376">
        <f t="shared" si="2"/>
        <v>0</v>
      </c>
    </row>
    <row r="88" spans="3:12" x14ac:dyDescent="0.2">
      <c r="C88" s="26" t="s">
        <v>174</v>
      </c>
      <c r="H88" s="152">
        <v>12</v>
      </c>
      <c r="I88" s="375">
        <f t="shared" si="1"/>
        <v>3</v>
      </c>
      <c r="J88" s="376">
        <f t="shared" si="2"/>
        <v>0.1875</v>
      </c>
    </row>
    <row r="89" spans="3:12" x14ac:dyDescent="0.2">
      <c r="C89" s="26" t="s">
        <v>174</v>
      </c>
      <c r="H89" s="152">
        <v>13</v>
      </c>
      <c r="I89" s="375">
        <f t="shared" si="1"/>
        <v>2</v>
      </c>
      <c r="J89" s="376">
        <f t="shared" si="2"/>
        <v>0.125</v>
      </c>
    </row>
    <row r="90" spans="3:12" x14ac:dyDescent="0.2">
      <c r="C90" s="26">
        <v>18</v>
      </c>
      <c r="H90" s="152">
        <v>14</v>
      </c>
      <c r="I90" s="375">
        <f t="shared" si="1"/>
        <v>1</v>
      </c>
      <c r="J90" s="376">
        <f t="shared" si="2"/>
        <v>6.25E-2</v>
      </c>
    </row>
    <row r="91" spans="3:12" x14ac:dyDescent="0.2">
      <c r="C91" s="26">
        <v>16</v>
      </c>
      <c r="H91" s="152">
        <v>15</v>
      </c>
      <c r="I91" s="375">
        <f t="shared" si="1"/>
        <v>1</v>
      </c>
      <c r="J91" s="376">
        <f t="shared" si="2"/>
        <v>6.25E-2</v>
      </c>
    </row>
    <row r="92" spans="3:12" x14ac:dyDescent="0.2">
      <c r="C92" s="26" t="s">
        <v>175</v>
      </c>
      <c r="H92" s="152">
        <v>16</v>
      </c>
      <c r="I92" s="375">
        <f t="shared" si="1"/>
        <v>1</v>
      </c>
      <c r="J92" s="376">
        <f t="shared" si="2"/>
        <v>6.25E-2</v>
      </c>
    </row>
    <row r="93" spans="3:12" ht="15" x14ac:dyDescent="0.25">
      <c r="C93" s="26">
        <v>13</v>
      </c>
      <c r="H93" s="152">
        <v>17</v>
      </c>
      <c r="I93" s="375">
        <f t="shared" si="1"/>
        <v>0</v>
      </c>
      <c r="J93" s="376">
        <f t="shared" si="2"/>
        <v>0</v>
      </c>
      <c r="L93" s="153"/>
    </row>
    <row r="94" spans="3:12" ht="15" x14ac:dyDescent="0.25">
      <c r="C94" s="26" t="s">
        <v>174</v>
      </c>
      <c r="H94" s="152">
        <v>18</v>
      </c>
      <c r="I94" s="375">
        <f t="shared" si="1"/>
        <v>1</v>
      </c>
      <c r="J94" s="376">
        <f t="shared" si="2"/>
        <v>6.25E-2</v>
      </c>
      <c r="L94" s="153"/>
    </row>
    <row r="95" spans="3:12" ht="15" x14ac:dyDescent="0.25">
      <c r="C95" s="26" t="s">
        <v>174</v>
      </c>
      <c r="H95" s="152">
        <v>19</v>
      </c>
      <c r="I95" s="375">
        <f t="shared" si="1"/>
        <v>0</v>
      </c>
      <c r="J95" s="376">
        <f t="shared" si="2"/>
        <v>0</v>
      </c>
      <c r="L95" s="153"/>
    </row>
    <row r="96" spans="3:12" ht="15.75" thickBot="1" x14ac:dyDescent="0.3">
      <c r="C96" s="26">
        <v>13</v>
      </c>
      <c r="H96" s="149">
        <v>20</v>
      </c>
      <c r="I96" s="377">
        <f t="shared" si="1"/>
        <v>0</v>
      </c>
      <c r="J96" s="378">
        <f t="shared" si="2"/>
        <v>0</v>
      </c>
      <c r="L96" s="153"/>
    </row>
    <row r="97" spans="2:16" ht="15.75" thickTop="1" x14ac:dyDescent="0.25">
      <c r="C97" s="26">
        <v>12</v>
      </c>
      <c r="H97" s="151" t="s">
        <v>70</v>
      </c>
      <c r="I97" s="375">
        <f>SUM(I84:I96)</f>
        <v>16</v>
      </c>
      <c r="J97" s="376">
        <f t="shared" si="2"/>
        <v>1</v>
      </c>
      <c r="L97" s="153"/>
    </row>
    <row r="98" spans="2:16" ht="15" x14ac:dyDescent="0.25">
      <c r="C98" s="26" t="s">
        <v>175</v>
      </c>
      <c r="L98" s="153"/>
    </row>
    <row r="99" spans="2:16" ht="15" x14ac:dyDescent="0.25">
      <c r="L99" s="153"/>
    </row>
    <row r="100" spans="2:16" ht="15" x14ac:dyDescent="0.25">
      <c r="L100" s="153"/>
    </row>
    <row r="101" spans="2:16" ht="15.75" x14ac:dyDescent="0.25">
      <c r="B101" s="52" t="s">
        <v>176</v>
      </c>
      <c r="C101" s="57"/>
      <c r="D101" s="57"/>
      <c r="E101" s="57"/>
      <c r="F101" s="57"/>
      <c r="G101" s="57"/>
    </row>
    <row r="102" spans="2:16" x14ac:dyDescent="0.2">
      <c r="O102" s="319" t="s">
        <v>537</v>
      </c>
      <c r="P102" s="319" t="s">
        <v>538</v>
      </c>
    </row>
    <row r="103" spans="2:16" x14ac:dyDescent="0.2">
      <c r="B103" s="128" t="s">
        <v>113</v>
      </c>
      <c r="C103" s="128" t="s">
        <v>114</v>
      </c>
      <c r="D103" s="128" t="s">
        <v>115</v>
      </c>
      <c r="E103" s="128" t="s">
        <v>89</v>
      </c>
      <c r="F103" s="128" t="s">
        <v>90</v>
      </c>
      <c r="G103" s="128" t="s">
        <v>81</v>
      </c>
      <c r="H103" s="128" t="s">
        <v>177</v>
      </c>
      <c r="J103" t="s">
        <v>178</v>
      </c>
      <c r="O103" s="319" t="s">
        <v>539</v>
      </c>
      <c r="P103" s="319" t="s">
        <v>540</v>
      </c>
    </row>
    <row r="104" spans="2:16" x14ac:dyDescent="0.2">
      <c r="B104" s="129">
        <v>1</v>
      </c>
      <c r="C104" s="129" t="s">
        <v>117</v>
      </c>
      <c r="D104" s="129" t="s">
        <v>118</v>
      </c>
      <c r="E104" s="129" t="s">
        <v>119</v>
      </c>
      <c r="F104" s="129">
        <v>600</v>
      </c>
      <c r="G104" s="130">
        <v>68400</v>
      </c>
      <c r="H104" s="130">
        <v>114</v>
      </c>
      <c r="J104" s="154"/>
      <c r="K104" s="441" t="s">
        <v>70</v>
      </c>
      <c r="L104" s="442"/>
      <c r="M104" s="155"/>
      <c r="O104" s="319" t="s">
        <v>541</v>
      </c>
      <c r="P104" s="319" t="s">
        <v>542</v>
      </c>
    </row>
    <row r="105" spans="2:16" ht="13.5" thickBot="1" x14ac:dyDescent="0.25">
      <c r="B105" s="129">
        <v>2</v>
      </c>
      <c r="C105" s="129" t="s">
        <v>120</v>
      </c>
      <c r="D105" s="129" t="s">
        <v>118</v>
      </c>
      <c r="E105" s="129" t="s">
        <v>121</v>
      </c>
      <c r="F105" s="129">
        <v>500</v>
      </c>
      <c r="G105" s="130">
        <v>240000</v>
      </c>
      <c r="H105" s="130">
        <v>480</v>
      </c>
      <c r="J105" s="156" t="s">
        <v>179</v>
      </c>
      <c r="K105" s="157" t="s">
        <v>180</v>
      </c>
      <c r="L105" s="157" t="s">
        <v>181</v>
      </c>
      <c r="M105" s="156" t="s">
        <v>182</v>
      </c>
    </row>
    <row r="106" spans="2:16" ht="13.5" thickTop="1" x14ac:dyDescent="0.2">
      <c r="B106" s="129">
        <v>3</v>
      </c>
      <c r="C106" s="129" t="s">
        <v>117</v>
      </c>
      <c r="D106" s="129" t="s">
        <v>49</v>
      </c>
      <c r="E106" s="129" t="s">
        <v>121</v>
      </c>
      <c r="F106" s="129">
        <v>290</v>
      </c>
      <c r="G106" s="130">
        <v>145000</v>
      </c>
      <c r="H106" s="130">
        <v>500</v>
      </c>
      <c r="J106" s="158" t="s">
        <v>49</v>
      </c>
      <c r="K106" s="374">
        <f>SUMIF(D$104:D$118,J106,G$104:G$118)</f>
        <v>1253744</v>
      </c>
      <c r="L106" s="374">
        <f>COUNTIF(D$104:D$118,J106)</f>
        <v>7</v>
      </c>
      <c r="M106" s="376">
        <f>K106/K$109</f>
        <v>0.42966691615740399</v>
      </c>
    </row>
    <row r="107" spans="2:16" x14ac:dyDescent="0.2">
      <c r="B107" s="129">
        <v>4</v>
      </c>
      <c r="C107" s="129" t="s">
        <v>122</v>
      </c>
      <c r="D107" s="129" t="s">
        <v>49</v>
      </c>
      <c r="E107" s="129" t="s">
        <v>123</v>
      </c>
      <c r="F107" s="129">
        <v>940</v>
      </c>
      <c r="G107" s="130">
        <v>368480</v>
      </c>
      <c r="H107" s="130">
        <v>392</v>
      </c>
      <c r="J107" s="154" t="s">
        <v>118</v>
      </c>
      <c r="K107" s="374">
        <f t="shared" ref="K107:K108" si="3">SUMIF(D$104:D$118,J107,G$104:G$118)</f>
        <v>1236700</v>
      </c>
      <c r="L107" s="374">
        <f t="shared" ref="L107:L108" si="4">COUNTIF(D$104:D$118,J107)</f>
        <v>7</v>
      </c>
      <c r="M107" s="376">
        <f t="shared" ref="M107:M109" si="5">K107/K$109</f>
        <v>0.42382581708216471</v>
      </c>
    </row>
    <row r="108" spans="2:16" ht="13.5" thickBot="1" x14ac:dyDescent="0.25">
      <c r="B108" s="129">
        <v>5</v>
      </c>
      <c r="C108" s="129" t="s">
        <v>122</v>
      </c>
      <c r="D108" s="129" t="s">
        <v>49</v>
      </c>
      <c r="E108" s="129" t="s">
        <v>119</v>
      </c>
      <c r="F108" s="129">
        <v>890</v>
      </c>
      <c r="G108" s="130">
        <v>106800</v>
      </c>
      <c r="H108" s="130">
        <v>120</v>
      </c>
      <c r="J108" s="159" t="s">
        <v>125</v>
      </c>
      <c r="K108" s="374">
        <f t="shared" si="3"/>
        <v>427500</v>
      </c>
      <c r="L108" s="374">
        <f t="shared" si="4"/>
        <v>1</v>
      </c>
      <c r="M108" s="378">
        <f t="shared" si="5"/>
        <v>0.14650726676043133</v>
      </c>
    </row>
    <row r="109" spans="2:16" ht="14.25" thickTop="1" thickBot="1" x14ac:dyDescent="0.25">
      <c r="B109" s="129">
        <v>6</v>
      </c>
      <c r="C109" s="129" t="s">
        <v>122</v>
      </c>
      <c r="D109" s="129" t="s">
        <v>118</v>
      </c>
      <c r="E109" s="129" t="s">
        <v>121</v>
      </c>
      <c r="F109" s="129">
        <v>340</v>
      </c>
      <c r="G109" s="130">
        <v>170000</v>
      </c>
      <c r="H109" s="130">
        <v>500</v>
      </c>
      <c r="J109" s="160" t="s">
        <v>70</v>
      </c>
      <c r="K109" s="379">
        <f>SUM(K106:K108)</f>
        <v>2917944</v>
      </c>
      <c r="L109" s="379">
        <f>SUM(L106:L108)</f>
        <v>15</v>
      </c>
      <c r="M109" s="380">
        <f t="shared" si="5"/>
        <v>1</v>
      </c>
    </row>
    <row r="110" spans="2:16" ht="13.5" thickTop="1" x14ac:dyDescent="0.2">
      <c r="B110" s="129">
        <v>7</v>
      </c>
      <c r="C110" s="129" t="s">
        <v>120</v>
      </c>
      <c r="D110" s="129" t="s">
        <v>125</v>
      </c>
      <c r="E110" s="129" t="s">
        <v>121</v>
      </c>
      <c r="F110" s="129">
        <v>900</v>
      </c>
      <c r="G110" s="130">
        <v>427500</v>
      </c>
      <c r="H110" s="130">
        <v>475</v>
      </c>
    </row>
    <row r="111" spans="2:16" x14ac:dyDescent="0.2">
      <c r="B111" s="129">
        <v>8</v>
      </c>
      <c r="C111" s="129" t="s">
        <v>120</v>
      </c>
      <c r="D111" s="129" t="s">
        <v>49</v>
      </c>
      <c r="E111" s="129" t="s">
        <v>123</v>
      </c>
      <c r="F111" s="129">
        <v>740</v>
      </c>
      <c r="G111" s="130">
        <v>296000</v>
      </c>
      <c r="H111" s="130">
        <v>400</v>
      </c>
    </row>
    <row r="112" spans="2:16" x14ac:dyDescent="0.2">
      <c r="B112" s="129">
        <v>9</v>
      </c>
      <c r="C112" s="129" t="s">
        <v>120</v>
      </c>
      <c r="D112" s="129" t="s">
        <v>49</v>
      </c>
      <c r="E112" s="129" t="s">
        <v>119</v>
      </c>
      <c r="F112" s="129">
        <v>240</v>
      </c>
      <c r="G112" s="130">
        <v>28224</v>
      </c>
      <c r="H112" s="130">
        <v>117.6</v>
      </c>
      <c r="J112" s="161" t="s">
        <v>183</v>
      </c>
    </row>
    <row r="113" spans="2:15" x14ac:dyDescent="0.2">
      <c r="B113" s="129">
        <v>10</v>
      </c>
      <c r="C113" s="129" t="s">
        <v>122</v>
      </c>
      <c r="D113" s="129" t="s">
        <v>118</v>
      </c>
      <c r="E113" s="129" t="s">
        <v>121</v>
      </c>
      <c r="F113" s="129">
        <v>580</v>
      </c>
      <c r="G113" s="130">
        <v>290000</v>
      </c>
      <c r="H113" s="130">
        <v>500</v>
      </c>
    </row>
    <row r="114" spans="2:15" x14ac:dyDescent="0.2">
      <c r="B114" s="129">
        <v>11</v>
      </c>
      <c r="C114" s="129" t="s">
        <v>120</v>
      </c>
      <c r="D114" s="129" t="s">
        <v>118</v>
      </c>
      <c r="E114" s="129" t="s">
        <v>121</v>
      </c>
      <c r="F114" s="129">
        <v>600</v>
      </c>
      <c r="G114" s="130">
        <v>285000</v>
      </c>
      <c r="H114" s="130">
        <v>475</v>
      </c>
      <c r="J114" s="162"/>
      <c r="K114" s="163" t="s">
        <v>117</v>
      </c>
      <c r="L114" s="163" t="s">
        <v>120</v>
      </c>
      <c r="M114" s="163" t="s">
        <v>122</v>
      </c>
    </row>
    <row r="115" spans="2:15" x14ac:dyDescent="0.2">
      <c r="B115" s="129">
        <v>12</v>
      </c>
      <c r="C115" s="129" t="s">
        <v>122</v>
      </c>
      <c r="D115" s="129" t="s">
        <v>49</v>
      </c>
      <c r="E115" s="129" t="s">
        <v>123</v>
      </c>
      <c r="F115" s="129">
        <v>470</v>
      </c>
      <c r="G115" s="130">
        <v>184240</v>
      </c>
      <c r="H115" s="130">
        <v>392</v>
      </c>
      <c r="J115" s="162" t="s">
        <v>49</v>
      </c>
      <c r="K115" s="381">
        <f>SUMIFS($G$104:$G$118,$D$104:$D$118,$J115,$C$104:$C$118,K$114)</f>
        <v>145000</v>
      </c>
      <c r="L115" s="381">
        <f t="shared" ref="L115:M117" si="6">SUMIFS($G$104:$G$118,$D$104:$D$118,$J115,$C$104:$C$118,L$114)</f>
        <v>449224</v>
      </c>
      <c r="M115" s="381">
        <f t="shared" si="6"/>
        <v>659520</v>
      </c>
      <c r="O115" s="319" t="s">
        <v>543</v>
      </c>
    </row>
    <row r="116" spans="2:15" x14ac:dyDescent="0.2">
      <c r="B116" s="129">
        <v>13</v>
      </c>
      <c r="C116" s="129" t="s">
        <v>122</v>
      </c>
      <c r="D116" s="129" t="s">
        <v>118</v>
      </c>
      <c r="E116" s="129" t="s">
        <v>119</v>
      </c>
      <c r="F116" s="129">
        <v>340</v>
      </c>
      <c r="G116" s="130">
        <v>40800</v>
      </c>
      <c r="H116" s="130">
        <v>120</v>
      </c>
      <c r="J116" s="162" t="s">
        <v>118</v>
      </c>
      <c r="K116" s="381">
        <f t="shared" ref="K116:K117" si="7">SUMIFS($G$104:$G$118,$D$104:$D$118,$J116,$C$104:$C$118,K$114)</f>
        <v>68400</v>
      </c>
      <c r="L116" s="381">
        <f t="shared" si="6"/>
        <v>525000</v>
      </c>
      <c r="M116" s="381">
        <f t="shared" si="6"/>
        <v>643300</v>
      </c>
    </row>
    <row r="117" spans="2:15" x14ac:dyDescent="0.2">
      <c r="B117" s="129">
        <v>14</v>
      </c>
      <c r="C117" s="129" t="s">
        <v>122</v>
      </c>
      <c r="D117" s="129" t="s">
        <v>118</v>
      </c>
      <c r="E117" s="129" t="s">
        <v>121</v>
      </c>
      <c r="F117" s="129">
        <v>300</v>
      </c>
      <c r="G117" s="130">
        <v>142500</v>
      </c>
      <c r="H117" s="130">
        <v>475</v>
      </c>
      <c r="J117" s="162" t="s">
        <v>125</v>
      </c>
      <c r="K117" s="381">
        <f t="shared" si="7"/>
        <v>0</v>
      </c>
      <c r="L117" s="381">
        <f t="shared" si="6"/>
        <v>427500</v>
      </c>
      <c r="M117" s="381">
        <f t="shared" si="6"/>
        <v>0</v>
      </c>
    </row>
    <row r="118" spans="2:15" x14ac:dyDescent="0.2">
      <c r="B118" s="129">
        <v>15</v>
      </c>
      <c r="C118" s="129" t="s">
        <v>120</v>
      </c>
      <c r="D118" s="129" t="s">
        <v>49</v>
      </c>
      <c r="E118" s="129" t="s">
        <v>121</v>
      </c>
      <c r="F118" s="129">
        <v>250</v>
      </c>
      <c r="G118" s="130">
        <v>125000</v>
      </c>
      <c r="H118" s="130">
        <v>500</v>
      </c>
    </row>
  </sheetData>
  <mergeCells count="2">
    <mergeCell ref="A1:F1"/>
    <mergeCell ref="K104:L10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8"/>
  <sheetViews>
    <sheetView topLeftCell="A58" workbookViewId="0">
      <selection activeCell="H75" sqref="H75"/>
    </sheetView>
  </sheetViews>
  <sheetFormatPr defaultRowHeight="12.75" x14ac:dyDescent="0.2"/>
  <cols>
    <col min="2" max="2" width="12.28515625" customWidth="1"/>
    <col min="3" max="3" width="8.7109375" customWidth="1"/>
    <col min="4" max="4" width="9.5703125" customWidth="1"/>
    <col min="5" max="5" width="9.42578125" customWidth="1"/>
    <col min="6" max="6" width="8.7109375" customWidth="1"/>
    <col min="7" max="7" width="9.85546875" customWidth="1"/>
    <col min="8" max="8" width="8.7109375" customWidth="1"/>
    <col min="10" max="10" width="12.42578125" customWidth="1"/>
  </cols>
  <sheetData>
    <row r="1" spans="1:11" ht="15.75" x14ac:dyDescent="0.25">
      <c r="A1" s="437" t="s">
        <v>330</v>
      </c>
      <c r="B1" s="437"/>
      <c r="C1" s="437"/>
      <c r="D1" s="437"/>
      <c r="E1" s="437"/>
      <c r="F1" s="437"/>
    </row>
    <row r="2" spans="1:11" ht="13.5" thickBot="1" x14ac:dyDescent="0.25">
      <c r="A2" s="14"/>
      <c r="B2" s="15"/>
      <c r="C2" s="14"/>
      <c r="D2" s="16"/>
      <c r="E2" s="15"/>
      <c r="F2" s="15"/>
    </row>
    <row r="3" spans="1:11" x14ac:dyDescent="0.2">
      <c r="A3" t="s">
        <v>331</v>
      </c>
    </row>
    <row r="4" spans="1:11" x14ac:dyDescent="0.2">
      <c r="A4" t="s">
        <v>332</v>
      </c>
    </row>
    <row r="5" spans="1:11" x14ac:dyDescent="0.2">
      <c r="A5" t="s">
        <v>333</v>
      </c>
    </row>
    <row r="6" spans="1:11" x14ac:dyDescent="0.2">
      <c r="E6" s="41"/>
    </row>
    <row r="7" spans="1:11" x14ac:dyDescent="0.2">
      <c r="B7" s="27" t="s">
        <v>334</v>
      </c>
      <c r="C7" s="27"/>
      <c r="D7" s="27"/>
      <c r="E7" s="41"/>
      <c r="J7" s="319" t="s">
        <v>553</v>
      </c>
    </row>
    <row r="8" spans="1:11" x14ac:dyDescent="0.2">
      <c r="E8" s="41"/>
    </row>
    <row r="9" spans="1:11" x14ac:dyDescent="0.2">
      <c r="B9" s="41"/>
      <c r="C9" s="41"/>
      <c r="D9" s="256">
        <v>0.15</v>
      </c>
      <c r="E9" s="256">
        <v>0.15</v>
      </c>
      <c r="F9" s="256">
        <v>0.2</v>
      </c>
      <c r="G9" s="256">
        <v>0.5</v>
      </c>
    </row>
    <row r="10" spans="1:11" x14ac:dyDescent="0.2">
      <c r="A10" s="41"/>
      <c r="B10" s="257" t="s">
        <v>47</v>
      </c>
      <c r="C10" s="257" t="s">
        <v>294</v>
      </c>
      <c r="D10" s="257" t="s">
        <v>295</v>
      </c>
      <c r="E10" s="257" t="s">
        <v>296</v>
      </c>
      <c r="F10" s="257" t="s">
        <v>297</v>
      </c>
      <c r="G10" s="258" t="s">
        <v>298</v>
      </c>
      <c r="H10" s="258" t="s">
        <v>299</v>
      </c>
      <c r="J10" s="259" t="s">
        <v>335</v>
      </c>
    </row>
    <row r="11" spans="1:11" x14ac:dyDescent="0.2">
      <c r="B11" s="259" t="s">
        <v>302</v>
      </c>
      <c r="C11" s="259" t="s">
        <v>303</v>
      </c>
      <c r="D11" s="259">
        <v>12</v>
      </c>
      <c r="E11" s="259">
        <v>11</v>
      </c>
      <c r="F11" s="259"/>
      <c r="G11" s="259">
        <v>12</v>
      </c>
      <c r="H11" s="353">
        <f>SUMPRODUCT(D$9:G$9,D11:G11)</f>
        <v>9.4499999999999993</v>
      </c>
      <c r="J11" s="353">
        <f>AVERAGE(D11:G11)</f>
        <v>11.666666666666666</v>
      </c>
      <c r="K11" s="319" t="s">
        <v>554</v>
      </c>
    </row>
    <row r="12" spans="1:11" x14ac:dyDescent="0.2">
      <c r="B12" s="259" t="s">
        <v>304</v>
      </c>
      <c r="C12" s="259" t="s">
        <v>305</v>
      </c>
      <c r="D12" s="259">
        <v>19</v>
      </c>
      <c r="E12" s="259">
        <v>12</v>
      </c>
      <c r="F12" s="259">
        <v>8</v>
      </c>
      <c r="G12" s="259">
        <v>15</v>
      </c>
      <c r="H12" s="353">
        <f t="shared" ref="H12:H17" si="0">SUMPRODUCT(D$9:G$9,D12:G12)</f>
        <v>13.75</v>
      </c>
      <c r="J12" s="353">
        <f t="shared" ref="J12:J17" si="1">AVERAGE(D12:G12)</f>
        <v>13.5</v>
      </c>
    </row>
    <row r="13" spans="1:11" x14ac:dyDescent="0.2">
      <c r="B13" s="259" t="s">
        <v>306</v>
      </c>
      <c r="C13" s="259" t="s">
        <v>303</v>
      </c>
      <c r="D13" s="259">
        <v>12</v>
      </c>
      <c r="E13" s="259">
        <v>18</v>
      </c>
      <c r="F13" s="259">
        <v>5</v>
      </c>
      <c r="G13" s="259">
        <v>10</v>
      </c>
      <c r="H13" s="353">
        <f t="shared" si="0"/>
        <v>10.5</v>
      </c>
      <c r="J13" s="353">
        <f t="shared" si="1"/>
        <v>11.25</v>
      </c>
    </row>
    <row r="14" spans="1:11" x14ac:dyDescent="0.2">
      <c r="B14" s="259" t="s">
        <v>307</v>
      </c>
      <c r="C14" s="259" t="s">
        <v>308</v>
      </c>
      <c r="D14" s="259">
        <v>5</v>
      </c>
      <c r="E14" s="259">
        <v>9</v>
      </c>
      <c r="F14" s="259">
        <v>9</v>
      </c>
      <c r="G14" s="259">
        <v>8</v>
      </c>
      <c r="H14" s="353">
        <f t="shared" si="0"/>
        <v>7.8999999999999995</v>
      </c>
      <c r="J14" s="353">
        <f t="shared" si="1"/>
        <v>7.75</v>
      </c>
    </row>
    <row r="15" spans="1:11" x14ac:dyDescent="0.2">
      <c r="B15" s="259" t="s">
        <v>309</v>
      </c>
      <c r="C15" s="259" t="s">
        <v>305</v>
      </c>
      <c r="D15" s="259">
        <v>12</v>
      </c>
      <c r="E15" s="259">
        <v>13</v>
      </c>
      <c r="F15" s="259">
        <v>16</v>
      </c>
      <c r="G15" s="259">
        <v>6</v>
      </c>
      <c r="H15" s="353">
        <f t="shared" si="0"/>
        <v>9.9499999999999993</v>
      </c>
      <c r="J15" s="353">
        <f t="shared" si="1"/>
        <v>11.75</v>
      </c>
    </row>
    <row r="16" spans="1:11" x14ac:dyDescent="0.2">
      <c r="B16" s="259" t="s">
        <v>310</v>
      </c>
      <c r="C16" s="259" t="s">
        <v>303</v>
      </c>
      <c r="D16" s="259">
        <v>15</v>
      </c>
      <c r="E16" s="259">
        <v>8</v>
      </c>
      <c r="F16" s="259">
        <v>5</v>
      </c>
      <c r="G16" s="259">
        <v>12</v>
      </c>
      <c r="H16" s="353">
        <f t="shared" si="0"/>
        <v>10.45</v>
      </c>
      <c r="J16" s="353">
        <f t="shared" si="1"/>
        <v>10</v>
      </c>
    </row>
    <row r="17" spans="2:18" x14ac:dyDescent="0.2">
      <c r="B17" s="259" t="s">
        <v>311</v>
      </c>
      <c r="C17" s="259" t="s">
        <v>308</v>
      </c>
      <c r="D17" s="259">
        <v>11</v>
      </c>
      <c r="E17" s="259">
        <v>7</v>
      </c>
      <c r="F17" s="259">
        <v>14</v>
      </c>
      <c r="G17" s="259">
        <v>7</v>
      </c>
      <c r="H17" s="353">
        <f t="shared" si="0"/>
        <v>9</v>
      </c>
      <c r="J17" s="353">
        <f t="shared" si="1"/>
        <v>9.75</v>
      </c>
    </row>
    <row r="19" spans="2:18" x14ac:dyDescent="0.2">
      <c r="E19" s="273"/>
      <c r="F19" s="274" t="s">
        <v>336</v>
      </c>
      <c r="G19" s="352">
        <f>COUNTIF(G11:G17,"&gt;=9,5")</f>
        <v>4</v>
      </c>
      <c r="H19" s="352">
        <f>COUNTIF(H11:H17,"&gt;=9,5")</f>
        <v>4</v>
      </c>
      <c r="I19" s="319" t="s">
        <v>555</v>
      </c>
      <c r="M19" s="275"/>
      <c r="N19" s="275"/>
      <c r="O19" s="275"/>
      <c r="P19" s="276"/>
      <c r="Q19" s="276"/>
      <c r="R19" s="275"/>
    </row>
    <row r="20" spans="2:18" ht="13.5" thickBot="1" x14ac:dyDescent="0.25">
      <c r="B20" s="277" t="s">
        <v>337</v>
      </c>
      <c r="C20" s="277" t="s">
        <v>338</v>
      </c>
      <c r="E20" s="278"/>
      <c r="F20" s="279" t="s">
        <v>339</v>
      </c>
      <c r="G20" s="352">
        <f>COUNTIF(G11:G17,"&lt;9,5")</f>
        <v>3</v>
      </c>
      <c r="H20" s="352">
        <f>COUNTIF(H11:H17,"&lt;9,5")</f>
        <v>3</v>
      </c>
      <c r="I20" s="319" t="s">
        <v>556</v>
      </c>
    </row>
    <row r="21" spans="2:18" ht="13.5" thickTop="1" x14ac:dyDescent="0.2">
      <c r="B21" s="280" t="s">
        <v>303</v>
      </c>
      <c r="C21" s="358">
        <f>AVERAGEIF(C$11:C$17,B21,H$11:H$17)</f>
        <v>10.133333333333333</v>
      </c>
      <c r="E21" s="278"/>
      <c r="F21" s="279" t="s">
        <v>8</v>
      </c>
      <c r="G21" s="352">
        <f>SUM(G19:G20)</f>
        <v>7</v>
      </c>
      <c r="H21" s="352">
        <f>SUM(H19:H20)</f>
        <v>7</v>
      </c>
    </row>
    <row r="22" spans="2:18" x14ac:dyDescent="0.2">
      <c r="B22" s="26" t="s">
        <v>308</v>
      </c>
      <c r="C22" s="358">
        <f t="shared" ref="C22:C23" si="2">AVERAGEIF(C$11:C$17,B22,H$11:H$17)</f>
        <v>8.4499999999999993</v>
      </c>
      <c r="E22" s="278"/>
      <c r="F22" s="281" t="s">
        <v>340</v>
      </c>
      <c r="G22" s="352">
        <f>AVERAGEIF(G11:G17,"&gt;=9,5",G11:G17)</f>
        <v>12.25</v>
      </c>
      <c r="H22" s="352">
        <f>AVERAGEIF(H11:H17,"&gt;=9,5",H11:H17)</f>
        <v>11.162500000000001</v>
      </c>
      <c r="I22" s="319" t="s">
        <v>557</v>
      </c>
    </row>
    <row r="23" spans="2:18" x14ac:dyDescent="0.2">
      <c r="B23" s="26" t="s">
        <v>305</v>
      </c>
      <c r="C23" s="358">
        <f t="shared" si="2"/>
        <v>11.85</v>
      </c>
      <c r="E23" s="278"/>
      <c r="F23" s="281" t="s">
        <v>341</v>
      </c>
      <c r="G23" s="352">
        <f>AVERAGEIF(G11:G17,"&lt;9,5",G11:G17)</f>
        <v>7</v>
      </c>
      <c r="H23" s="352">
        <f>AVERAGEIF(H11:H17,"&lt;9,5",H11:H17)</f>
        <v>8.7833333333333332</v>
      </c>
      <c r="I23" s="420" t="s">
        <v>558</v>
      </c>
    </row>
    <row r="24" spans="2:18" x14ac:dyDescent="0.2">
      <c r="B24" s="260" t="s">
        <v>559</v>
      </c>
      <c r="F24" s="41"/>
      <c r="G24" s="282"/>
      <c r="H24" s="41"/>
    </row>
    <row r="25" spans="2:18" x14ac:dyDescent="0.2">
      <c r="B25" s="260" t="s">
        <v>342</v>
      </c>
      <c r="F25" s="41"/>
      <c r="G25" s="282"/>
      <c r="H25" s="41"/>
    </row>
    <row r="26" spans="2:18" x14ac:dyDescent="0.2">
      <c r="B26" s="260" t="s">
        <v>343</v>
      </c>
      <c r="F26" s="41"/>
      <c r="G26" s="282"/>
      <c r="H26" s="41"/>
    </row>
    <row r="27" spans="2:18" x14ac:dyDescent="0.2">
      <c r="B27" s="260" t="s">
        <v>344</v>
      </c>
      <c r="F27" s="41"/>
      <c r="G27" s="282"/>
      <c r="H27" s="41"/>
    </row>
    <row r="28" spans="2:18" x14ac:dyDescent="0.2">
      <c r="B28" s="260"/>
      <c r="F28" s="41"/>
      <c r="G28" s="282"/>
      <c r="H28" s="41"/>
    </row>
    <row r="29" spans="2:18" x14ac:dyDescent="0.2">
      <c r="B29" s="27" t="s">
        <v>345</v>
      </c>
      <c r="C29" s="27"/>
      <c r="D29" s="27"/>
    </row>
    <row r="30" spans="2:18" x14ac:dyDescent="0.2">
      <c r="B30" s="260"/>
    </row>
    <row r="31" spans="2:18" x14ac:dyDescent="0.2">
      <c r="B31" s="260"/>
    </row>
    <row r="32" spans="2:18" x14ac:dyDescent="0.2">
      <c r="B32" s="283"/>
      <c r="C32" s="447" t="s">
        <v>346</v>
      </c>
      <c r="D32" s="448"/>
      <c r="E32" s="448"/>
      <c r="F32" s="449"/>
    </row>
    <row r="33" spans="2:7" ht="13.5" thickBot="1" x14ac:dyDescent="0.25">
      <c r="B33" s="284" t="s">
        <v>347</v>
      </c>
      <c r="C33" s="285" t="s">
        <v>348</v>
      </c>
      <c r="D33" s="285" t="s">
        <v>349</v>
      </c>
      <c r="E33" s="285" t="s">
        <v>350</v>
      </c>
      <c r="F33" s="285" t="s">
        <v>351</v>
      </c>
    </row>
    <row r="34" spans="2:7" ht="13.5" thickTop="1" x14ac:dyDescent="0.2">
      <c r="B34" s="286" t="s">
        <v>49</v>
      </c>
      <c r="C34" s="287">
        <v>2</v>
      </c>
      <c r="D34" s="287">
        <v>3</v>
      </c>
      <c r="E34" s="287">
        <v>4</v>
      </c>
      <c r="F34" s="287">
        <v>8</v>
      </c>
    </row>
    <row r="35" spans="2:7" x14ac:dyDescent="0.2">
      <c r="B35" s="286" t="s">
        <v>50</v>
      </c>
      <c r="C35" s="287">
        <v>2</v>
      </c>
      <c r="D35" s="287">
        <v>3</v>
      </c>
      <c r="E35" s="287">
        <v>4</v>
      </c>
      <c r="F35" s="287">
        <v>0</v>
      </c>
    </row>
    <row r="36" spans="2:7" x14ac:dyDescent="0.2">
      <c r="B36" s="286" t="s">
        <v>352</v>
      </c>
      <c r="C36" s="287">
        <v>2</v>
      </c>
      <c r="D36" s="287">
        <v>1</v>
      </c>
      <c r="E36" s="287">
        <v>0</v>
      </c>
      <c r="F36" s="287">
        <v>0</v>
      </c>
    </row>
    <row r="37" spans="2:7" ht="13.5" thickBot="1" x14ac:dyDescent="0.25">
      <c r="B37" s="288" t="s">
        <v>353</v>
      </c>
      <c r="C37" s="289">
        <v>2</v>
      </c>
      <c r="D37" s="289">
        <v>1</v>
      </c>
      <c r="E37" s="289">
        <v>0</v>
      </c>
      <c r="F37" s="289">
        <v>0</v>
      </c>
    </row>
    <row r="38" spans="2:7" ht="13.5" thickBot="1" x14ac:dyDescent="0.25">
      <c r="B38" s="290" t="s">
        <v>8</v>
      </c>
      <c r="C38" s="414">
        <f>SUM(C34:C37)</f>
        <v>8</v>
      </c>
      <c r="D38" s="414">
        <f t="shared" ref="D38:F38" si="3">SUM(D34:D37)</f>
        <v>8</v>
      </c>
      <c r="E38" s="414">
        <f t="shared" si="3"/>
        <v>8</v>
      </c>
      <c r="F38" s="414">
        <f t="shared" si="3"/>
        <v>8</v>
      </c>
      <c r="G38" s="319" t="s">
        <v>560</v>
      </c>
    </row>
    <row r="39" spans="2:7" ht="13.5" thickBot="1" x14ac:dyDescent="0.25">
      <c r="B39" s="291" t="s">
        <v>246</v>
      </c>
      <c r="C39" s="415">
        <f>AVERAGE(C34:C37)</f>
        <v>2</v>
      </c>
      <c r="D39" s="415">
        <f t="shared" ref="D39:F39" si="4">AVERAGE(D34:D37)</f>
        <v>2</v>
      </c>
      <c r="E39" s="415">
        <f t="shared" si="4"/>
        <v>2</v>
      </c>
      <c r="F39" s="415">
        <f t="shared" si="4"/>
        <v>2</v>
      </c>
      <c r="G39" s="319" t="s">
        <v>561</v>
      </c>
    </row>
    <row r="40" spans="2:7" ht="13.5" thickBot="1" x14ac:dyDescent="0.25">
      <c r="B40" s="291" t="s">
        <v>354</v>
      </c>
      <c r="C40" s="415">
        <f>VAR(C34:C37)</f>
        <v>0</v>
      </c>
      <c r="D40" s="415">
        <f t="shared" ref="D40:F40" si="5">VAR(D34:D37)</f>
        <v>1.3333333333333333</v>
      </c>
      <c r="E40" s="415">
        <f t="shared" si="5"/>
        <v>5.333333333333333</v>
      </c>
      <c r="F40" s="415">
        <f t="shared" si="5"/>
        <v>16</v>
      </c>
      <c r="G40" s="319" t="s">
        <v>562</v>
      </c>
    </row>
    <row r="41" spans="2:7" ht="13.5" thickBot="1" x14ac:dyDescent="0.25">
      <c r="B41" s="291" t="s">
        <v>355</v>
      </c>
      <c r="C41" s="415">
        <f>STDEV(C34:C37)</f>
        <v>0</v>
      </c>
      <c r="D41" s="415">
        <f t="shared" ref="D41:F41" si="6">STDEV(D34:D37)</f>
        <v>1.1547005383792515</v>
      </c>
      <c r="E41" s="415">
        <f t="shared" si="6"/>
        <v>2.3094010767585029</v>
      </c>
      <c r="F41" s="415">
        <f t="shared" si="6"/>
        <v>4</v>
      </c>
      <c r="G41" s="319" t="s">
        <v>563</v>
      </c>
    </row>
    <row r="44" spans="2:7" x14ac:dyDescent="0.2">
      <c r="B44" s="27" t="s">
        <v>356</v>
      </c>
      <c r="C44" s="27"/>
      <c r="D44" s="27"/>
    </row>
    <row r="46" spans="2:7" x14ac:dyDescent="0.2">
      <c r="E46" t="s">
        <v>357</v>
      </c>
    </row>
    <row r="47" spans="2:7" ht="13.5" thickBot="1" x14ac:dyDescent="0.25">
      <c r="B47" s="292" t="s">
        <v>358</v>
      </c>
      <c r="C47" s="292" t="s">
        <v>359</v>
      </c>
      <c r="E47" t="s">
        <v>360</v>
      </c>
    </row>
    <row r="48" spans="2:7" x14ac:dyDescent="0.2">
      <c r="B48" s="36" t="s">
        <v>361</v>
      </c>
      <c r="C48" s="36">
        <v>5</v>
      </c>
      <c r="E48" t="s">
        <v>362</v>
      </c>
    </row>
    <row r="49" spans="2:14" x14ac:dyDescent="0.2">
      <c r="B49" s="26" t="s">
        <v>363</v>
      </c>
      <c r="C49" s="26">
        <v>2.4</v>
      </c>
    </row>
    <row r="50" spans="2:14" ht="13.5" thickBot="1" x14ac:dyDescent="0.25">
      <c r="B50" s="26" t="s">
        <v>364</v>
      </c>
      <c r="C50" s="26">
        <v>25</v>
      </c>
      <c r="G50" s="450" t="s">
        <v>365</v>
      </c>
      <c r="H50" s="451"/>
      <c r="I50" s="35" t="s">
        <v>8</v>
      </c>
      <c r="J50" s="35" t="s">
        <v>246</v>
      </c>
      <c r="K50" s="35" t="s">
        <v>366</v>
      </c>
      <c r="M50" s="427"/>
      <c r="N50" s="428" t="s">
        <v>564</v>
      </c>
    </row>
    <row r="51" spans="2:14" ht="13.5" thickTop="1" x14ac:dyDescent="0.2">
      <c r="B51" s="26" t="s">
        <v>367</v>
      </c>
      <c r="C51" s="26">
        <v>1.25</v>
      </c>
      <c r="G51" s="452" t="s">
        <v>361</v>
      </c>
      <c r="H51" s="453"/>
      <c r="I51" s="359">
        <f t="shared" ref="I51:I56" si="7">SUMIF(B$48:B$62,G51,C$48:C$62)</f>
        <v>17.5</v>
      </c>
      <c r="J51" s="359">
        <f t="shared" ref="J51:J56" si="8">AVERAGEIF(B$48:B$62,G51,C$48:C$62)</f>
        <v>4.375</v>
      </c>
      <c r="K51" s="360">
        <f>I51/I$59</f>
        <v>0.10693553315001528</v>
      </c>
      <c r="L51" s="319" t="s">
        <v>565</v>
      </c>
    </row>
    <row r="52" spans="2:14" x14ac:dyDescent="0.2">
      <c r="B52" s="26" t="s">
        <v>361</v>
      </c>
      <c r="C52" s="26">
        <v>7.5</v>
      </c>
      <c r="G52" s="454" t="s">
        <v>363</v>
      </c>
      <c r="H52" s="455"/>
      <c r="I52" s="359">
        <f t="shared" si="7"/>
        <v>2.4</v>
      </c>
      <c r="J52" s="359">
        <f t="shared" si="8"/>
        <v>2.4</v>
      </c>
      <c r="K52" s="360">
        <f t="shared" ref="K52:K56" si="9">I52/I$59</f>
        <v>1.4665444546287808E-2</v>
      </c>
      <c r="L52" s="319" t="s">
        <v>566</v>
      </c>
    </row>
    <row r="53" spans="2:14" x14ac:dyDescent="0.2">
      <c r="B53" s="26" t="s">
        <v>367</v>
      </c>
      <c r="C53" s="26">
        <v>2.5</v>
      </c>
      <c r="G53" s="454" t="s">
        <v>367</v>
      </c>
      <c r="H53" s="455"/>
      <c r="I53" s="359">
        <f t="shared" si="7"/>
        <v>3.75</v>
      </c>
      <c r="J53" s="359">
        <f t="shared" si="8"/>
        <v>1.875</v>
      </c>
      <c r="K53" s="360">
        <f t="shared" si="9"/>
        <v>2.2914757103574702E-2</v>
      </c>
    </row>
    <row r="54" spans="2:14" x14ac:dyDescent="0.2">
      <c r="B54" s="26" t="s">
        <v>361</v>
      </c>
      <c r="C54" s="26">
        <v>4.5</v>
      </c>
      <c r="G54" s="454" t="s">
        <v>364</v>
      </c>
      <c r="H54" s="455"/>
      <c r="I54" s="359">
        <f t="shared" si="7"/>
        <v>25</v>
      </c>
      <c r="J54" s="359">
        <f t="shared" si="8"/>
        <v>25</v>
      </c>
      <c r="K54" s="360">
        <f t="shared" si="9"/>
        <v>0.15276504735716467</v>
      </c>
    </row>
    <row r="55" spans="2:14" x14ac:dyDescent="0.2">
      <c r="B55" s="26" t="s">
        <v>368</v>
      </c>
      <c r="C55" s="26">
        <v>15</v>
      </c>
      <c r="G55" s="454" t="s">
        <v>368</v>
      </c>
      <c r="H55" s="455"/>
      <c r="I55" s="359">
        <f t="shared" si="7"/>
        <v>15</v>
      </c>
      <c r="J55" s="359">
        <f t="shared" si="8"/>
        <v>15</v>
      </c>
      <c r="K55" s="360">
        <f t="shared" si="9"/>
        <v>9.1659028414298807E-2</v>
      </c>
    </row>
    <row r="56" spans="2:14" x14ac:dyDescent="0.2">
      <c r="B56" s="26" t="s">
        <v>361</v>
      </c>
      <c r="C56" s="26">
        <v>0.5</v>
      </c>
      <c r="G56" s="454" t="s">
        <v>369</v>
      </c>
      <c r="H56" s="455"/>
      <c r="I56" s="359">
        <f t="shared" si="7"/>
        <v>100</v>
      </c>
      <c r="J56" s="359">
        <f t="shared" si="8"/>
        <v>100</v>
      </c>
      <c r="K56" s="360">
        <f t="shared" si="9"/>
        <v>0.6110601894286587</v>
      </c>
    </row>
    <row r="57" spans="2:14" x14ac:dyDescent="0.2">
      <c r="B57" s="26" t="s">
        <v>369</v>
      </c>
      <c r="C57" s="26">
        <v>100</v>
      </c>
      <c r="G57" s="441"/>
      <c r="H57" s="443"/>
      <c r="I57" s="293"/>
      <c r="J57" s="293"/>
      <c r="K57" s="293"/>
    </row>
    <row r="58" spans="2:14" x14ac:dyDescent="0.2">
      <c r="B58" s="26"/>
      <c r="C58" s="26"/>
      <c r="G58" s="441"/>
      <c r="H58" s="443"/>
      <c r="I58" s="293"/>
      <c r="J58" s="293"/>
      <c r="K58" s="293"/>
    </row>
    <row r="59" spans="2:14" x14ac:dyDescent="0.2">
      <c r="B59" s="26"/>
      <c r="C59" s="26"/>
      <c r="G59" s="441" t="s">
        <v>8</v>
      </c>
      <c r="H59" s="443"/>
      <c r="I59" s="361">
        <f>SUM(I51:I58)</f>
        <v>163.65</v>
      </c>
      <c r="J59" s="361"/>
      <c r="K59" s="362">
        <f t="shared" ref="K59" si="10">SUM(K51:K58)</f>
        <v>1</v>
      </c>
      <c r="L59" s="319" t="s">
        <v>567</v>
      </c>
    </row>
    <row r="60" spans="2:14" x14ac:dyDescent="0.2">
      <c r="B60" s="26"/>
      <c r="C60" s="26"/>
    </row>
    <row r="61" spans="2:14" x14ac:dyDescent="0.2">
      <c r="B61" s="26"/>
      <c r="C61" s="26"/>
    </row>
    <row r="62" spans="2:14" x14ac:dyDescent="0.2">
      <c r="B62" s="26"/>
      <c r="C62" s="26"/>
    </row>
    <row r="64" spans="2:14" ht="15.75" x14ac:dyDescent="0.25">
      <c r="B64" s="294" t="s">
        <v>370</v>
      </c>
      <c r="C64" s="57"/>
      <c r="D64" s="57"/>
      <c r="E64" s="57"/>
      <c r="F64" s="57"/>
    </row>
    <row r="66" spans="2:13" x14ac:dyDescent="0.2">
      <c r="B66" s="295" t="s">
        <v>371</v>
      </c>
      <c r="C66" s="26" t="s">
        <v>372</v>
      </c>
      <c r="D66" s="128" t="s">
        <v>89</v>
      </c>
      <c r="E66" s="128" t="s">
        <v>63</v>
      </c>
    </row>
    <row r="67" spans="2:13" x14ac:dyDescent="0.2">
      <c r="B67" s="296">
        <v>38377</v>
      </c>
      <c r="C67" s="26" t="s">
        <v>50</v>
      </c>
      <c r="D67" s="26" t="s">
        <v>187</v>
      </c>
      <c r="E67" s="26">
        <v>5</v>
      </c>
      <c r="G67" t="s">
        <v>373</v>
      </c>
      <c r="L67" s="363">
        <f>AVERAGEIF(C67:C72,"Luis",E67:E72)</f>
        <v>20.75</v>
      </c>
      <c r="M67" s="319" t="s">
        <v>568</v>
      </c>
    </row>
    <row r="68" spans="2:13" x14ac:dyDescent="0.2">
      <c r="B68" s="296">
        <v>38369</v>
      </c>
      <c r="C68" s="26" t="s">
        <v>374</v>
      </c>
      <c r="D68" s="26" t="s">
        <v>34</v>
      </c>
      <c r="E68" s="26">
        <v>16</v>
      </c>
      <c r="G68" t="s">
        <v>375</v>
      </c>
      <c r="L68" s="363">
        <f>AVERAGEIFS(E67:E72,C67:C72,"Luis",D67:D72,"A")</f>
        <v>19</v>
      </c>
      <c r="M68" s="319" t="s">
        <v>569</v>
      </c>
    </row>
    <row r="69" spans="2:13" x14ac:dyDescent="0.2">
      <c r="B69" s="296">
        <v>38372</v>
      </c>
      <c r="C69" s="26" t="s">
        <v>49</v>
      </c>
      <c r="D69" s="26" t="s">
        <v>188</v>
      </c>
      <c r="E69" s="26">
        <v>28</v>
      </c>
      <c r="G69" t="s">
        <v>376</v>
      </c>
      <c r="L69" s="364" t="s">
        <v>446</v>
      </c>
    </row>
    <row r="70" spans="2:13" x14ac:dyDescent="0.2">
      <c r="B70" s="296">
        <v>38447</v>
      </c>
      <c r="C70" s="26" t="s">
        <v>50</v>
      </c>
      <c r="D70" s="26" t="s">
        <v>187</v>
      </c>
      <c r="E70" s="26">
        <v>25</v>
      </c>
      <c r="L70" s="364" t="s">
        <v>448</v>
      </c>
    </row>
    <row r="71" spans="2:13" x14ac:dyDescent="0.2">
      <c r="B71" s="296">
        <v>38448</v>
      </c>
      <c r="C71" s="26" t="s">
        <v>50</v>
      </c>
      <c r="D71" s="26" t="s">
        <v>188</v>
      </c>
      <c r="E71" s="26">
        <v>26</v>
      </c>
      <c r="L71" s="364" t="s">
        <v>447</v>
      </c>
    </row>
    <row r="72" spans="2:13" x14ac:dyDescent="0.2">
      <c r="B72" s="296">
        <v>38449</v>
      </c>
      <c r="C72" s="26" t="s">
        <v>50</v>
      </c>
      <c r="D72" s="26" t="s">
        <v>187</v>
      </c>
      <c r="E72" s="26">
        <v>27</v>
      </c>
      <c r="L72" s="364" t="s">
        <v>449</v>
      </c>
    </row>
    <row r="73" spans="2:13" x14ac:dyDescent="0.2">
      <c r="L73" s="364" t="s">
        <v>450</v>
      </c>
    </row>
    <row r="75" spans="2:13" ht="15.75" x14ac:dyDescent="0.25">
      <c r="B75" s="294" t="s">
        <v>377</v>
      </c>
      <c r="C75" s="57"/>
      <c r="D75" s="57"/>
      <c r="E75" s="57"/>
      <c r="F75" s="251"/>
      <c r="G75" s="57"/>
    </row>
    <row r="78" spans="2:13" x14ac:dyDescent="0.2">
      <c r="B78" t="s">
        <v>378</v>
      </c>
    </row>
    <row r="81" spans="2:12" x14ac:dyDescent="0.2">
      <c r="B81" s="139" t="s">
        <v>81</v>
      </c>
      <c r="C81" s="139" t="s">
        <v>379</v>
      </c>
      <c r="D81" s="319" t="s">
        <v>572</v>
      </c>
      <c r="E81" s="319" t="s">
        <v>573</v>
      </c>
      <c r="G81" t="s">
        <v>380</v>
      </c>
    </row>
    <row r="82" spans="2:12" x14ac:dyDescent="0.2">
      <c r="B82" s="26">
        <v>1200</v>
      </c>
      <c r="C82" s="40">
        <v>0.04</v>
      </c>
      <c r="D82" s="365">
        <f>C82*B82</f>
        <v>48</v>
      </c>
      <c r="E82" s="366">
        <f>D82/D$86</f>
        <v>7.6555023923444973E-2</v>
      </c>
      <c r="G82" t="s">
        <v>381</v>
      </c>
      <c r="K82" s="368">
        <f>AVERAGE(C82:C85)</f>
        <v>4.7500000000000001E-2</v>
      </c>
      <c r="L82" s="319" t="s">
        <v>571</v>
      </c>
    </row>
    <row r="83" spans="2:12" x14ac:dyDescent="0.2">
      <c r="B83" s="26">
        <v>5400</v>
      </c>
      <c r="C83" s="40">
        <v>0.05</v>
      </c>
      <c r="D83" s="365">
        <f>C83*B83</f>
        <v>270</v>
      </c>
      <c r="E83" s="366">
        <f t="shared" ref="E83:E85" si="11">D83/D$86</f>
        <v>0.43062200956937802</v>
      </c>
    </row>
    <row r="84" spans="2:12" x14ac:dyDescent="0.2">
      <c r="B84" s="26">
        <v>600</v>
      </c>
      <c r="C84" s="40">
        <v>7.0000000000000007E-2</v>
      </c>
      <c r="D84" s="365">
        <f>C84*B84</f>
        <v>42.000000000000007</v>
      </c>
      <c r="E84" s="366">
        <f t="shared" si="11"/>
        <v>6.6985645933014371E-2</v>
      </c>
    </row>
    <row r="85" spans="2:12" x14ac:dyDescent="0.2">
      <c r="B85" s="26">
        <v>8900</v>
      </c>
      <c r="C85" s="40">
        <v>0.03</v>
      </c>
      <c r="D85" s="365">
        <f>C85*B85</f>
        <v>267</v>
      </c>
      <c r="E85" s="366">
        <f t="shared" si="11"/>
        <v>0.42583732057416268</v>
      </c>
    </row>
    <row r="86" spans="2:12" x14ac:dyDescent="0.2">
      <c r="D86" s="365">
        <f>SUM(D82:D85)</f>
        <v>627</v>
      </c>
      <c r="E86" s="365"/>
    </row>
    <row r="87" spans="2:12" x14ac:dyDescent="0.2">
      <c r="D87" s="365"/>
      <c r="E87" s="367">
        <f>SUMPRODUCT(C82:C85,E82:E85)</f>
        <v>4.2057416267942585E-2</v>
      </c>
    </row>
    <row r="88" spans="2:12" x14ac:dyDescent="0.2">
      <c r="E88" s="319" t="s">
        <v>570</v>
      </c>
    </row>
  </sheetData>
  <mergeCells count="12">
    <mergeCell ref="G59:H59"/>
    <mergeCell ref="A1:F1"/>
    <mergeCell ref="C32:F32"/>
    <mergeCell ref="G50:H50"/>
    <mergeCell ref="G51:H51"/>
    <mergeCell ref="G52:H52"/>
    <mergeCell ref="G53:H53"/>
    <mergeCell ref="G54:H54"/>
    <mergeCell ref="G55:H55"/>
    <mergeCell ref="G56:H56"/>
    <mergeCell ref="G57:H57"/>
    <mergeCell ref="G58:H5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workbookViewId="0">
      <selection activeCell="Q10" sqref="Q10"/>
    </sheetView>
  </sheetViews>
  <sheetFormatPr defaultRowHeight="12.75" x14ac:dyDescent="0.2"/>
  <cols>
    <col min="1" max="1" width="24" customWidth="1"/>
    <col min="2" max="2" width="11.28515625" customWidth="1"/>
    <col min="3" max="3" width="9.85546875" customWidth="1"/>
    <col min="5" max="5" width="10" customWidth="1"/>
    <col min="6" max="6" width="14.28515625" bestFit="1" customWidth="1"/>
    <col min="8" max="8" width="12.7109375" customWidth="1"/>
    <col min="9" max="9" width="9.140625" customWidth="1"/>
    <col min="10" max="10" width="8.5703125" customWidth="1"/>
    <col min="11" max="11" width="12.5703125" customWidth="1"/>
    <col min="12" max="12" width="6.5703125" customWidth="1"/>
    <col min="13" max="13" width="14.85546875" customWidth="1"/>
    <col min="14" max="17" width="6.5703125" customWidth="1"/>
    <col min="18" max="18" width="8.5703125" bestFit="1" customWidth="1"/>
    <col min="19" max="21" width="6.5703125" customWidth="1"/>
  </cols>
  <sheetData>
    <row r="1" spans="1:13" ht="15.75" x14ac:dyDescent="0.25">
      <c r="A1" s="437" t="s">
        <v>272</v>
      </c>
      <c r="B1" s="437"/>
      <c r="C1" s="437"/>
      <c r="D1" s="437"/>
      <c r="E1" s="437"/>
      <c r="F1" s="437"/>
    </row>
    <row r="2" spans="1:13" ht="15" x14ac:dyDescent="0.25">
      <c r="A2" s="248" t="s">
        <v>273</v>
      </c>
    </row>
    <row r="3" spans="1:13" x14ac:dyDescent="0.2">
      <c r="A3" s="249" t="s">
        <v>274</v>
      </c>
      <c r="D3" s="250" t="s">
        <v>275</v>
      </c>
      <c r="E3" s="251"/>
      <c r="F3" s="251"/>
      <c r="G3" s="251"/>
      <c r="H3" s="251"/>
    </row>
    <row r="4" spans="1:13" x14ac:dyDescent="0.2">
      <c r="A4" s="249" t="s">
        <v>276</v>
      </c>
    </row>
    <row r="5" spans="1:13" ht="15" x14ac:dyDescent="0.25">
      <c r="A5" s="249" t="s">
        <v>277</v>
      </c>
      <c r="D5" s="26" t="s">
        <v>64</v>
      </c>
      <c r="E5" s="139" t="s">
        <v>278</v>
      </c>
      <c r="F5" s="139" t="s">
        <v>279</v>
      </c>
      <c r="G5" s="139" t="s">
        <v>280</v>
      </c>
      <c r="H5" s="139" t="s">
        <v>281</v>
      </c>
    </row>
    <row r="6" spans="1:13" x14ac:dyDescent="0.2">
      <c r="A6" s="249" t="s">
        <v>282</v>
      </c>
      <c r="D6" s="26">
        <v>9</v>
      </c>
      <c r="E6" s="352">
        <f>INT(D6)</f>
        <v>9</v>
      </c>
      <c r="F6" s="352">
        <f>ROUND(D6,0)</f>
        <v>9</v>
      </c>
      <c r="G6" s="352">
        <f>ROUNDUP(D6,0)</f>
        <v>9</v>
      </c>
      <c r="H6" s="352">
        <f>ROUNDDOWN(D6,0)</f>
        <v>9</v>
      </c>
    </row>
    <row r="7" spans="1:13" x14ac:dyDescent="0.2">
      <c r="A7" s="249" t="s">
        <v>283</v>
      </c>
      <c r="D7" s="26">
        <v>9.1</v>
      </c>
      <c r="E7" s="352">
        <f t="shared" ref="E7:E16" si="0">INT(D7)</f>
        <v>9</v>
      </c>
      <c r="F7" s="352">
        <f t="shared" ref="F7:F16" si="1">ROUND(D7,0)</f>
        <v>9</v>
      </c>
      <c r="G7" s="352">
        <f t="shared" ref="G7:G16" si="2">ROUNDUP(D7,0)</f>
        <v>10</v>
      </c>
      <c r="H7" s="352">
        <f t="shared" ref="H7:H16" si="3">ROUNDDOWN(D7,0)</f>
        <v>9</v>
      </c>
    </row>
    <row r="8" spans="1:13" x14ac:dyDescent="0.2">
      <c r="A8" s="249" t="s">
        <v>284</v>
      </c>
      <c r="D8" s="26">
        <v>9.1999999999999993</v>
      </c>
      <c r="E8" s="352">
        <f t="shared" si="0"/>
        <v>9</v>
      </c>
      <c r="F8" s="352">
        <f t="shared" si="1"/>
        <v>9</v>
      </c>
      <c r="G8" s="352">
        <f t="shared" si="2"/>
        <v>10</v>
      </c>
      <c r="H8" s="352">
        <f t="shared" si="3"/>
        <v>9</v>
      </c>
    </row>
    <row r="9" spans="1:13" ht="15.75" x14ac:dyDescent="0.25">
      <c r="A9" s="249" t="s">
        <v>285</v>
      </c>
      <c r="D9" s="26">
        <v>9.3000000000000007</v>
      </c>
      <c r="E9" s="352">
        <f t="shared" si="0"/>
        <v>9</v>
      </c>
      <c r="F9" s="352">
        <f t="shared" si="1"/>
        <v>9</v>
      </c>
      <c r="G9" s="352">
        <f t="shared" si="2"/>
        <v>10</v>
      </c>
      <c r="H9" s="352">
        <f t="shared" si="3"/>
        <v>9</v>
      </c>
      <c r="K9" s="252">
        <v>12356.567999999999</v>
      </c>
    </row>
    <row r="10" spans="1:13" ht="15" x14ac:dyDescent="0.25">
      <c r="A10" s="248" t="s">
        <v>286</v>
      </c>
      <c r="D10" s="26">
        <v>9.4</v>
      </c>
      <c r="E10" s="352">
        <f t="shared" si="0"/>
        <v>9</v>
      </c>
      <c r="F10" s="352">
        <f t="shared" si="1"/>
        <v>9</v>
      </c>
      <c r="G10" s="352">
        <f t="shared" si="2"/>
        <v>10</v>
      </c>
      <c r="H10" s="352">
        <f t="shared" si="3"/>
        <v>9</v>
      </c>
    </row>
    <row r="11" spans="1:13" ht="15" x14ac:dyDescent="0.25">
      <c r="A11" s="248" t="s">
        <v>287</v>
      </c>
      <c r="D11" s="26">
        <v>9.5</v>
      </c>
      <c r="E11" s="352">
        <f t="shared" si="0"/>
        <v>9</v>
      </c>
      <c r="F11" s="352">
        <f t="shared" si="1"/>
        <v>10</v>
      </c>
      <c r="G11" s="352">
        <f t="shared" si="2"/>
        <v>10</v>
      </c>
      <c r="H11" s="352">
        <f t="shared" si="3"/>
        <v>9</v>
      </c>
      <c r="K11" s="253" t="s">
        <v>288</v>
      </c>
    </row>
    <row r="12" spans="1:13" ht="15" x14ac:dyDescent="0.25">
      <c r="A12" s="249" t="s">
        <v>289</v>
      </c>
      <c r="D12" s="26">
        <v>9.6</v>
      </c>
      <c r="E12" s="352">
        <f t="shared" si="0"/>
        <v>9</v>
      </c>
      <c r="F12" s="352">
        <f t="shared" si="1"/>
        <v>10</v>
      </c>
      <c r="G12" s="352">
        <f t="shared" si="2"/>
        <v>10</v>
      </c>
      <c r="H12" s="352">
        <f t="shared" si="3"/>
        <v>9</v>
      </c>
      <c r="K12" s="254" t="s">
        <v>290</v>
      </c>
      <c r="L12" s="255"/>
      <c r="M12" s="255">
        <f>ROUND(K9,2)</f>
        <v>12356.57</v>
      </c>
    </row>
    <row r="13" spans="1:13" ht="15" x14ac:dyDescent="0.25">
      <c r="A13" s="249" t="s">
        <v>291</v>
      </c>
      <c r="D13" s="26">
        <v>9.6999999999999993</v>
      </c>
      <c r="E13" s="352">
        <f t="shared" si="0"/>
        <v>9</v>
      </c>
      <c r="F13" s="352">
        <f t="shared" si="1"/>
        <v>10</v>
      </c>
      <c r="G13" s="352">
        <f t="shared" si="2"/>
        <v>10</v>
      </c>
      <c r="H13" s="352">
        <f t="shared" si="3"/>
        <v>9</v>
      </c>
      <c r="K13" s="254" t="s">
        <v>292</v>
      </c>
      <c r="M13" s="255">
        <f>ROUND(K9,-2)</f>
        <v>12400</v>
      </c>
    </row>
    <row r="14" spans="1:13" x14ac:dyDescent="0.2">
      <c r="D14" s="26">
        <v>9.8000000000000007</v>
      </c>
      <c r="E14" s="352">
        <f t="shared" si="0"/>
        <v>9</v>
      </c>
      <c r="F14" s="352">
        <f t="shared" si="1"/>
        <v>10</v>
      </c>
      <c r="G14" s="352">
        <f t="shared" si="2"/>
        <v>10</v>
      </c>
      <c r="H14" s="352">
        <f t="shared" si="3"/>
        <v>9</v>
      </c>
    </row>
    <row r="15" spans="1:13" x14ac:dyDescent="0.2">
      <c r="D15" s="26">
        <v>9.9</v>
      </c>
      <c r="E15" s="352">
        <f t="shared" si="0"/>
        <v>9</v>
      </c>
      <c r="F15" s="352">
        <f t="shared" si="1"/>
        <v>10</v>
      </c>
      <c r="G15" s="352">
        <f t="shared" si="2"/>
        <v>10</v>
      </c>
      <c r="H15" s="352">
        <f t="shared" si="3"/>
        <v>9</v>
      </c>
    </row>
    <row r="16" spans="1:13" x14ac:dyDescent="0.2">
      <c r="D16" s="26">
        <v>10</v>
      </c>
      <c r="E16" s="352">
        <f t="shared" si="0"/>
        <v>10</v>
      </c>
      <c r="F16" s="352">
        <f t="shared" si="1"/>
        <v>10</v>
      </c>
      <c r="G16" s="352">
        <f t="shared" si="2"/>
        <v>10</v>
      </c>
      <c r="H16" s="352">
        <f t="shared" si="3"/>
        <v>10</v>
      </c>
      <c r="I16" s="319" t="s">
        <v>547</v>
      </c>
    </row>
    <row r="17" spans="2:10" x14ac:dyDescent="0.2">
      <c r="E17" s="319" t="s">
        <v>544</v>
      </c>
      <c r="F17" s="319" t="s">
        <v>545</v>
      </c>
      <c r="G17" s="319" t="s">
        <v>546</v>
      </c>
    </row>
    <row r="19" spans="2:10" x14ac:dyDescent="0.2">
      <c r="B19" s="27" t="s">
        <v>293</v>
      </c>
      <c r="C19" s="251"/>
      <c r="D19" s="251"/>
      <c r="E19" s="251"/>
    </row>
    <row r="21" spans="2:10" x14ac:dyDescent="0.2">
      <c r="B21" s="41"/>
      <c r="C21" s="41"/>
      <c r="D21" s="256">
        <v>0.15</v>
      </c>
      <c r="E21" s="256">
        <v>0.15</v>
      </c>
      <c r="F21" s="256">
        <v>0.2</v>
      </c>
      <c r="G21" s="256">
        <v>0.5</v>
      </c>
    </row>
    <row r="22" spans="2:10" x14ac:dyDescent="0.2">
      <c r="B22" s="257" t="s">
        <v>47</v>
      </c>
      <c r="C22" s="257" t="s">
        <v>294</v>
      </c>
      <c r="D22" s="257" t="s">
        <v>295</v>
      </c>
      <c r="E22" s="257" t="s">
        <v>296</v>
      </c>
      <c r="F22" s="257" t="s">
        <v>297</v>
      </c>
      <c r="G22" s="258" t="s">
        <v>298</v>
      </c>
      <c r="H22" s="258" t="s">
        <v>299</v>
      </c>
      <c r="I22" s="258" t="s">
        <v>300</v>
      </c>
      <c r="J22" s="258" t="s">
        <v>301</v>
      </c>
    </row>
    <row r="23" spans="2:10" x14ac:dyDescent="0.2">
      <c r="B23" s="259" t="s">
        <v>302</v>
      </c>
      <c r="C23" s="259" t="s">
        <v>303</v>
      </c>
      <c r="D23" s="259">
        <v>12</v>
      </c>
      <c r="E23" s="259">
        <v>11</v>
      </c>
      <c r="F23" s="259"/>
      <c r="G23" s="259">
        <v>12</v>
      </c>
      <c r="H23" s="353">
        <f>SUMPRODUCT(D$21:G$21,D23:G23)</f>
        <v>9.4499999999999993</v>
      </c>
      <c r="I23" s="353">
        <f>ROUND(H23,0)</f>
        <v>9</v>
      </c>
      <c r="J23" s="354">
        <f>SUMPRODUCT(D$21:G$21,D23:G23)</f>
        <v>9.4499999999999993</v>
      </c>
    </row>
    <row r="24" spans="2:10" x14ac:dyDescent="0.2">
      <c r="B24" s="259" t="s">
        <v>304</v>
      </c>
      <c r="C24" s="259" t="s">
        <v>305</v>
      </c>
      <c r="D24" s="259">
        <v>19.3</v>
      </c>
      <c r="E24" s="259">
        <v>12</v>
      </c>
      <c r="F24" s="259">
        <v>8</v>
      </c>
      <c r="G24" s="259">
        <v>15</v>
      </c>
      <c r="H24" s="353">
        <f t="shared" ref="H24:H29" si="4">SUMPRODUCT(D$21:G$21,D24:G24)</f>
        <v>13.795</v>
      </c>
      <c r="I24" s="353">
        <f t="shared" ref="I24:I29" si="5">ROUND(H24,0)</f>
        <v>14</v>
      </c>
      <c r="J24" s="354">
        <f t="shared" ref="J24:J29" si="6">SUMPRODUCT(D$21:G$21,D24:G24)</f>
        <v>13.795</v>
      </c>
    </row>
    <row r="25" spans="2:10" x14ac:dyDescent="0.2">
      <c r="B25" s="259" t="s">
        <v>306</v>
      </c>
      <c r="C25" s="259" t="s">
        <v>303</v>
      </c>
      <c r="D25" s="259">
        <v>126</v>
      </c>
      <c r="E25" s="259">
        <v>18</v>
      </c>
      <c r="F25" s="259">
        <v>5</v>
      </c>
      <c r="G25" s="259">
        <v>11.1</v>
      </c>
      <c r="H25" s="353">
        <f t="shared" si="4"/>
        <v>28.15</v>
      </c>
      <c r="I25" s="353">
        <f t="shared" si="5"/>
        <v>28</v>
      </c>
      <c r="J25" s="354">
        <f t="shared" si="6"/>
        <v>28.15</v>
      </c>
    </row>
    <row r="26" spans="2:10" x14ac:dyDescent="0.2">
      <c r="B26" s="259" t="s">
        <v>307</v>
      </c>
      <c r="C26" s="259" t="s">
        <v>308</v>
      </c>
      <c r="D26" s="259">
        <v>5</v>
      </c>
      <c r="E26" s="259">
        <v>9.4</v>
      </c>
      <c r="F26" s="259">
        <v>9</v>
      </c>
      <c r="G26" s="259">
        <v>8</v>
      </c>
      <c r="H26" s="353">
        <f t="shared" si="4"/>
        <v>7.96</v>
      </c>
      <c r="I26" s="353">
        <f t="shared" si="5"/>
        <v>8</v>
      </c>
      <c r="J26" s="354">
        <f t="shared" si="6"/>
        <v>7.96</v>
      </c>
    </row>
    <row r="27" spans="2:10" x14ac:dyDescent="0.2">
      <c r="B27" s="259" t="s">
        <v>309</v>
      </c>
      <c r="C27" s="259" t="s">
        <v>305</v>
      </c>
      <c r="D27" s="259">
        <v>12.9</v>
      </c>
      <c r="E27" s="259">
        <v>13</v>
      </c>
      <c r="F27" s="259">
        <v>16.399999999999999</v>
      </c>
      <c r="G27" s="259">
        <v>6</v>
      </c>
      <c r="H27" s="353">
        <f t="shared" si="4"/>
        <v>10.164999999999999</v>
      </c>
      <c r="I27" s="353">
        <f t="shared" si="5"/>
        <v>10</v>
      </c>
      <c r="J27" s="354">
        <f t="shared" si="6"/>
        <v>10.164999999999999</v>
      </c>
    </row>
    <row r="28" spans="2:10" x14ac:dyDescent="0.2">
      <c r="B28" s="259" t="s">
        <v>310</v>
      </c>
      <c r="C28" s="259" t="s">
        <v>303</v>
      </c>
      <c r="D28" s="259">
        <v>15.6</v>
      </c>
      <c r="E28" s="259">
        <v>8.5</v>
      </c>
      <c r="F28" s="259">
        <v>5</v>
      </c>
      <c r="G28" s="259">
        <v>12.5</v>
      </c>
      <c r="H28" s="353">
        <f t="shared" si="4"/>
        <v>10.865</v>
      </c>
      <c r="I28" s="353">
        <f t="shared" si="5"/>
        <v>11</v>
      </c>
      <c r="J28" s="354">
        <f t="shared" si="6"/>
        <v>10.865</v>
      </c>
    </row>
    <row r="29" spans="2:10" x14ac:dyDescent="0.2">
      <c r="B29" s="259" t="s">
        <v>311</v>
      </c>
      <c r="C29" s="259" t="s">
        <v>308</v>
      </c>
      <c r="D29" s="259">
        <v>11</v>
      </c>
      <c r="E29" s="259">
        <v>7</v>
      </c>
      <c r="F29" s="259">
        <v>14</v>
      </c>
      <c r="G29" s="259">
        <v>7</v>
      </c>
      <c r="H29" s="353">
        <f t="shared" si="4"/>
        <v>9</v>
      </c>
      <c r="I29" s="353">
        <f t="shared" si="5"/>
        <v>9</v>
      </c>
      <c r="J29" s="354">
        <f t="shared" si="6"/>
        <v>9</v>
      </c>
    </row>
    <row r="31" spans="2:10" x14ac:dyDescent="0.2">
      <c r="B31" s="260" t="s">
        <v>312</v>
      </c>
      <c r="E31" s="319" t="s">
        <v>548</v>
      </c>
    </row>
    <row r="32" spans="2:10" x14ac:dyDescent="0.2">
      <c r="B32" s="260" t="s">
        <v>313</v>
      </c>
      <c r="G32" s="319" t="s">
        <v>549</v>
      </c>
    </row>
    <row r="33" spans="2:13" x14ac:dyDescent="0.2">
      <c r="B33" s="260" t="s">
        <v>314</v>
      </c>
      <c r="J33" s="319" t="s">
        <v>550</v>
      </c>
    </row>
    <row r="35" spans="2:13" ht="15" x14ac:dyDescent="0.25">
      <c r="B35" s="261" t="s">
        <v>315</v>
      </c>
      <c r="C35" s="262"/>
      <c r="D35" s="262"/>
      <c r="E35" s="262"/>
      <c r="F35" s="262"/>
    </row>
    <row r="37" spans="2:13" x14ac:dyDescent="0.2">
      <c r="B37" s="263" t="s">
        <v>316</v>
      </c>
      <c r="C37" s="263"/>
      <c r="D37" s="264"/>
      <c r="E37" t="s">
        <v>317</v>
      </c>
      <c r="F37">
        <v>25</v>
      </c>
    </row>
    <row r="38" spans="2:13" x14ac:dyDescent="0.2">
      <c r="B38" s="265"/>
      <c r="C38" s="456" t="s">
        <v>318</v>
      </c>
      <c r="D38" s="457"/>
    </row>
    <row r="39" spans="2:13" ht="15" x14ac:dyDescent="0.25">
      <c r="B39" s="265" t="s">
        <v>319</v>
      </c>
      <c r="C39" s="265" t="s">
        <v>320</v>
      </c>
      <c r="D39" s="265" t="s">
        <v>321</v>
      </c>
      <c r="H39" s="266"/>
      <c r="I39" s="266"/>
      <c r="J39" s="266"/>
      <c r="K39" s="266"/>
      <c r="L39" s="266"/>
      <c r="M39" s="266"/>
    </row>
    <row r="40" spans="2:13" ht="15" x14ac:dyDescent="0.25">
      <c r="B40" s="265">
        <v>120</v>
      </c>
      <c r="C40" s="355">
        <f>CEILING(B40,F$37)</f>
        <v>125</v>
      </c>
      <c r="D40" s="355">
        <f>FLOOR(B40,F$37)</f>
        <v>100</v>
      </c>
      <c r="E40" s="319" t="s">
        <v>552</v>
      </c>
      <c r="H40" s="266"/>
      <c r="I40" s="266"/>
      <c r="J40" s="266"/>
      <c r="K40" s="266"/>
      <c r="L40" s="266"/>
      <c r="M40" s="266"/>
    </row>
    <row r="41" spans="2:13" ht="15" x14ac:dyDescent="0.25">
      <c r="B41" s="265">
        <v>18</v>
      </c>
      <c r="C41" s="355">
        <f t="shared" ref="C41:C45" si="7">CEILING(B41,F$37)</f>
        <v>25</v>
      </c>
      <c r="D41" s="355">
        <f t="shared" ref="D41:D45" si="8">FLOOR(B41,F$37)</f>
        <v>0</v>
      </c>
      <c r="G41" s="266"/>
      <c r="H41" s="267"/>
      <c r="I41" s="267"/>
      <c r="J41" s="267"/>
      <c r="K41" s="267"/>
      <c r="L41" s="267"/>
      <c r="M41" s="267"/>
    </row>
    <row r="42" spans="2:13" ht="15" x14ac:dyDescent="0.25">
      <c r="B42" s="265">
        <v>100</v>
      </c>
      <c r="C42" s="355">
        <f t="shared" si="7"/>
        <v>100</v>
      </c>
      <c r="D42" s="355">
        <f t="shared" si="8"/>
        <v>100</v>
      </c>
      <c r="G42" s="266"/>
      <c r="H42" s="267"/>
      <c r="I42" s="267"/>
      <c r="J42" s="267"/>
      <c r="K42" s="267"/>
      <c r="L42" s="267"/>
      <c r="M42" s="267"/>
    </row>
    <row r="43" spans="2:13" ht="15" x14ac:dyDescent="0.25">
      <c r="B43" s="265">
        <v>14</v>
      </c>
      <c r="C43" s="355">
        <f t="shared" si="7"/>
        <v>25</v>
      </c>
      <c r="D43" s="355">
        <f t="shared" si="8"/>
        <v>0</v>
      </c>
      <c r="G43" s="266"/>
      <c r="H43" s="267"/>
      <c r="I43" s="267"/>
      <c r="J43" s="267"/>
      <c r="K43" s="267"/>
      <c r="L43" s="267"/>
      <c r="M43" s="267"/>
    </row>
    <row r="44" spans="2:13" ht="15" x14ac:dyDescent="0.25">
      <c r="B44" s="265">
        <v>28</v>
      </c>
      <c r="C44" s="355">
        <f t="shared" si="7"/>
        <v>50</v>
      </c>
      <c r="D44" s="355">
        <f t="shared" si="8"/>
        <v>25</v>
      </c>
      <c r="G44" s="266"/>
      <c r="H44" s="267"/>
      <c r="I44" s="267"/>
      <c r="J44" s="267"/>
      <c r="K44" s="267"/>
      <c r="L44" s="267"/>
      <c r="M44" s="267"/>
    </row>
    <row r="45" spans="2:13" ht="15" x14ac:dyDescent="0.25">
      <c r="B45" s="265">
        <v>18</v>
      </c>
      <c r="C45" s="355">
        <f t="shared" si="7"/>
        <v>25</v>
      </c>
      <c r="D45" s="355">
        <f t="shared" si="8"/>
        <v>0</v>
      </c>
      <c r="G45" s="266"/>
      <c r="H45" s="267"/>
      <c r="I45" s="267"/>
      <c r="J45" s="267"/>
      <c r="K45" s="267"/>
      <c r="L45" s="267"/>
      <c r="M45" s="267"/>
    </row>
    <row r="46" spans="2:13" ht="15" x14ac:dyDescent="0.25">
      <c r="B46" s="319" t="s">
        <v>551</v>
      </c>
      <c r="G46" s="266"/>
      <c r="H46" s="267"/>
      <c r="I46" s="267"/>
      <c r="J46" s="267"/>
      <c r="K46" s="267"/>
      <c r="L46" s="267"/>
      <c r="M46" s="267"/>
    </row>
    <row r="47" spans="2:13" ht="15" x14ac:dyDescent="0.25">
      <c r="G47" s="266"/>
      <c r="H47" s="267"/>
      <c r="I47" s="267"/>
      <c r="J47" s="267"/>
      <c r="K47" s="267"/>
      <c r="L47" s="267"/>
      <c r="M47" s="267"/>
    </row>
    <row r="48" spans="2:13" ht="15.75" thickBot="1" x14ac:dyDescent="0.3">
      <c r="G48" s="266"/>
      <c r="H48" s="267"/>
      <c r="I48" s="267"/>
      <c r="J48" s="267"/>
      <c r="K48" s="267"/>
      <c r="L48" s="267"/>
      <c r="M48" s="267"/>
    </row>
    <row r="49" spans="1:13" ht="15.75" thickBot="1" x14ac:dyDescent="0.3">
      <c r="A49" s="268"/>
      <c r="B49" s="268"/>
      <c r="C49" s="268"/>
      <c r="D49" s="268"/>
      <c r="H49" s="267"/>
      <c r="I49" s="267"/>
      <c r="J49" s="267"/>
      <c r="K49" s="267"/>
      <c r="L49" s="267"/>
      <c r="M49" s="267"/>
    </row>
    <row r="50" spans="1:13" ht="15.75" thickBot="1" x14ac:dyDescent="0.3">
      <c r="A50" s="269" t="s">
        <v>322</v>
      </c>
      <c r="B50" s="270">
        <v>25</v>
      </c>
      <c r="C50" s="270">
        <v>1210</v>
      </c>
      <c r="D50" s="270">
        <v>-2350</v>
      </c>
      <c r="H50" s="267"/>
      <c r="I50" s="267"/>
      <c r="J50" s="267"/>
      <c r="K50" s="267"/>
      <c r="L50" s="267"/>
      <c r="M50" s="267"/>
    </row>
    <row r="51" spans="1:13" ht="15.75" thickBot="1" x14ac:dyDescent="0.3">
      <c r="A51" s="269"/>
      <c r="B51" s="269"/>
      <c r="C51" s="269"/>
      <c r="D51" s="269"/>
      <c r="H51" s="266"/>
      <c r="I51" s="266"/>
      <c r="J51" s="266"/>
      <c r="K51" s="266"/>
      <c r="L51" s="266"/>
      <c r="M51" s="266"/>
    </row>
    <row r="52" spans="1:13" ht="15.75" thickBot="1" x14ac:dyDescent="0.3">
      <c r="A52" s="269" t="s">
        <v>323</v>
      </c>
      <c r="B52" s="270">
        <v>20</v>
      </c>
      <c r="C52" s="270">
        <v>1205</v>
      </c>
      <c r="D52" s="270">
        <v>-2310</v>
      </c>
      <c r="G52" s="139" t="s">
        <v>81</v>
      </c>
      <c r="H52" s="271" t="s">
        <v>324</v>
      </c>
      <c r="I52" s="271"/>
      <c r="J52" s="271" t="s">
        <v>325</v>
      </c>
      <c r="K52" s="266"/>
      <c r="L52" s="266"/>
      <c r="M52" s="266"/>
    </row>
    <row r="53" spans="1:13" x14ac:dyDescent="0.2">
      <c r="G53" s="26">
        <v>123.55</v>
      </c>
      <c r="H53" s="26" t="s">
        <v>326</v>
      </c>
      <c r="I53" s="272" t="s">
        <v>327</v>
      </c>
      <c r="J53" s="26">
        <v>123</v>
      </c>
    </row>
    <row r="54" spans="1:13" x14ac:dyDescent="0.2">
      <c r="G54" s="26">
        <v>12</v>
      </c>
      <c r="H54" s="26" t="s">
        <v>328</v>
      </c>
      <c r="I54" s="272" t="s">
        <v>327</v>
      </c>
      <c r="J54" s="26">
        <v>13</v>
      </c>
    </row>
    <row r="55" spans="1:13" x14ac:dyDescent="0.2">
      <c r="G55" s="26">
        <v>13</v>
      </c>
      <c r="H55" s="26" t="s">
        <v>329</v>
      </c>
      <c r="I55" s="272" t="s">
        <v>327</v>
      </c>
      <c r="J55" s="26">
        <v>14</v>
      </c>
    </row>
  </sheetData>
  <mergeCells count="2">
    <mergeCell ref="A1:F1"/>
    <mergeCell ref="C38:D3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J26" sqref="J26"/>
    </sheetView>
  </sheetViews>
  <sheetFormatPr defaultRowHeight="12.75" x14ac:dyDescent="0.2"/>
  <cols>
    <col min="1" max="1" width="8.5703125" customWidth="1"/>
    <col min="2" max="2" width="12.85546875" customWidth="1"/>
    <col min="3" max="3" width="10.42578125" customWidth="1"/>
    <col min="4" max="4" width="9.7109375" customWidth="1"/>
    <col min="6" max="6" width="7.5703125" customWidth="1"/>
    <col min="7" max="7" width="11.85546875" customWidth="1"/>
    <col min="8" max="8" width="12.28515625" customWidth="1"/>
  </cols>
  <sheetData>
    <row r="1" spans="1:11" ht="15.75" x14ac:dyDescent="0.25">
      <c r="A1" s="437" t="s">
        <v>382</v>
      </c>
      <c r="B1" s="437"/>
      <c r="C1" s="437"/>
      <c r="D1" s="437"/>
      <c r="E1" s="437"/>
      <c r="F1" s="437"/>
    </row>
    <row r="2" spans="1:11" ht="13.5" thickBot="1" x14ac:dyDescent="0.25">
      <c r="A2" s="14"/>
      <c r="B2" s="15"/>
      <c r="C2" s="14"/>
      <c r="D2" s="16"/>
      <c r="E2" s="15"/>
      <c r="F2" s="15"/>
    </row>
    <row r="3" spans="1:11" x14ac:dyDescent="0.2">
      <c r="A3" t="s">
        <v>383</v>
      </c>
    </row>
    <row r="4" spans="1:11" x14ac:dyDescent="0.2">
      <c r="A4" t="s">
        <v>384</v>
      </c>
    </row>
    <row r="6" spans="1:11" x14ac:dyDescent="0.2">
      <c r="B6" s="27" t="s">
        <v>385</v>
      </c>
      <c r="C6" s="27"/>
      <c r="D6" s="27"/>
      <c r="E6" s="27"/>
    </row>
    <row r="8" spans="1:11" x14ac:dyDescent="0.2">
      <c r="B8" s="128" t="s">
        <v>115</v>
      </c>
      <c r="C8" s="128" t="s">
        <v>89</v>
      </c>
      <c r="D8" s="128" t="s">
        <v>90</v>
      </c>
      <c r="E8" s="128" t="s">
        <v>81</v>
      </c>
      <c r="F8" s="128" t="s">
        <v>177</v>
      </c>
    </row>
    <row r="9" spans="1:11" x14ac:dyDescent="0.2">
      <c r="B9" s="129" t="s">
        <v>118</v>
      </c>
      <c r="C9" s="129" t="s">
        <v>119</v>
      </c>
      <c r="D9" s="129">
        <v>600</v>
      </c>
      <c r="E9" s="130">
        <v>68400</v>
      </c>
      <c r="F9" s="130">
        <v>114</v>
      </c>
    </row>
    <row r="10" spans="1:11" x14ac:dyDescent="0.2">
      <c r="B10" s="129" t="s">
        <v>118</v>
      </c>
      <c r="C10" s="129" t="s">
        <v>121</v>
      </c>
      <c r="D10" s="129">
        <v>500</v>
      </c>
      <c r="E10" s="130">
        <v>240000</v>
      </c>
      <c r="F10" s="130">
        <v>480</v>
      </c>
    </row>
    <row r="11" spans="1:11" x14ac:dyDescent="0.2">
      <c r="B11" s="129" t="s">
        <v>49</v>
      </c>
      <c r="C11" s="129" t="s">
        <v>121</v>
      </c>
      <c r="D11" s="129">
        <v>290</v>
      </c>
      <c r="E11" s="130">
        <v>145000</v>
      </c>
      <c r="F11" s="130">
        <v>500</v>
      </c>
    </row>
    <row r="12" spans="1:11" x14ac:dyDescent="0.2">
      <c r="B12" s="129" t="s">
        <v>49</v>
      </c>
      <c r="C12" s="129" t="s">
        <v>123</v>
      </c>
      <c r="D12" s="129">
        <v>940</v>
      </c>
      <c r="E12" s="130">
        <v>368480</v>
      </c>
      <c r="F12" s="130">
        <v>392</v>
      </c>
      <c r="H12" t="s">
        <v>386</v>
      </c>
      <c r="J12" s="356">
        <f>MAX(E9:E23)</f>
        <v>427500</v>
      </c>
      <c r="K12" s="319" t="s">
        <v>505</v>
      </c>
    </row>
    <row r="13" spans="1:11" x14ac:dyDescent="0.2">
      <c r="B13" s="129" t="s">
        <v>49</v>
      </c>
      <c r="C13" s="129" t="s">
        <v>119</v>
      </c>
      <c r="D13" s="129">
        <v>890</v>
      </c>
      <c r="E13" s="130">
        <v>106800</v>
      </c>
      <c r="F13" s="130">
        <v>120</v>
      </c>
      <c r="H13" t="s">
        <v>387</v>
      </c>
      <c r="J13" s="356">
        <f>MIN(E9:E23)</f>
        <v>28224</v>
      </c>
      <c r="K13" s="319" t="s">
        <v>506</v>
      </c>
    </row>
    <row r="14" spans="1:11" x14ac:dyDescent="0.2">
      <c r="B14" s="129" t="s">
        <v>118</v>
      </c>
      <c r="C14" s="129" t="s">
        <v>121</v>
      </c>
      <c r="D14" s="129">
        <v>340</v>
      </c>
      <c r="E14" s="130">
        <v>170000</v>
      </c>
      <c r="F14" s="130">
        <v>500</v>
      </c>
      <c r="H14" t="s">
        <v>388</v>
      </c>
    </row>
    <row r="15" spans="1:11" x14ac:dyDescent="0.2">
      <c r="B15" s="129" t="s">
        <v>125</v>
      </c>
      <c r="C15" s="129" t="s">
        <v>121</v>
      </c>
      <c r="D15" s="129">
        <v>900</v>
      </c>
      <c r="E15" s="130">
        <v>427500</v>
      </c>
      <c r="F15" s="130">
        <v>475</v>
      </c>
      <c r="I15" s="441" t="s">
        <v>64</v>
      </c>
      <c r="J15" s="443"/>
    </row>
    <row r="16" spans="1:11" x14ac:dyDescent="0.2">
      <c r="B16" s="129" t="s">
        <v>49</v>
      </c>
      <c r="C16" s="129" t="s">
        <v>123</v>
      </c>
      <c r="D16" s="129">
        <v>740</v>
      </c>
      <c r="E16" s="130">
        <v>296000</v>
      </c>
      <c r="F16" s="130">
        <v>400</v>
      </c>
      <c r="H16" t="s">
        <v>389</v>
      </c>
      <c r="I16" s="26" t="s">
        <v>390</v>
      </c>
      <c r="J16" s="26" t="s">
        <v>391</v>
      </c>
    </row>
    <row r="17" spans="2:10" x14ac:dyDescent="0.2">
      <c r="B17" s="129" t="s">
        <v>49</v>
      </c>
      <c r="C17" s="129" t="s">
        <v>119</v>
      </c>
      <c r="D17" s="129">
        <v>240</v>
      </c>
      <c r="E17" s="130">
        <v>28224</v>
      </c>
      <c r="F17" s="130">
        <v>117.6</v>
      </c>
      <c r="H17" s="26">
        <v>1</v>
      </c>
      <c r="I17" s="357">
        <f>LARGE(E$9:E$23,H17)</f>
        <v>427500</v>
      </c>
      <c r="J17" s="357">
        <f>SMALL(E$9:E$23,H17)</f>
        <v>28224</v>
      </c>
    </row>
    <row r="18" spans="2:10" x14ac:dyDescent="0.2">
      <c r="B18" s="129" t="s">
        <v>118</v>
      </c>
      <c r="C18" s="129" t="s">
        <v>121</v>
      </c>
      <c r="D18" s="129">
        <v>580</v>
      </c>
      <c r="E18" s="130">
        <v>290000</v>
      </c>
      <c r="F18" s="130">
        <v>500</v>
      </c>
      <c r="H18" s="26">
        <v>2</v>
      </c>
      <c r="I18" s="357">
        <f t="shared" ref="I18:I19" si="0">LARGE(E$9:E$23,H18)</f>
        <v>368480</v>
      </c>
      <c r="J18" s="357">
        <f t="shared" ref="J18:J19" si="1">SMALL(E$9:E$23,H18)</f>
        <v>40800</v>
      </c>
    </row>
    <row r="19" spans="2:10" x14ac:dyDescent="0.2">
      <c r="B19" s="129" t="s">
        <v>118</v>
      </c>
      <c r="C19" s="129" t="s">
        <v>121</v>
      </c>
      <c r="D19" s="129">
        <v>600</v>
      </c>
      <c r="E19" s="130">
        <v>285000</v>
      </c>
      <c r="F19" s="130">
        <v>475</v>
      </c>
      <c r="H19" s="26">
        <v>3</v>
      </c>
      <c r="I19" s="357">
        <f t="shared" si="0"/>
        <v>296000</v>
      </c>
      <c r="J19" s="357">
        <f t="shared" si="1"/>
        <v>68400</v>
      </c>
    </row>
    <row r="20" spans="2:10" x14ac:dyDescent="0.2">
      <c r="B20" s="129" t="s">
        <v>49</v>
      </c>
      <c r="C20" s="129" t="s">
        <v>123</v>
      </c>
      <c r="D20" s="129">
        <v>470</v>
      </c>
      <c r="E20" s="130">
        <v>184240</v>
      </c>
      <c r="F20" s="130">
        <v>392</v>
      </c>
      <c r="H20" s="319" t="s">
        <v>507</v>
      </c>
      <c r="J20" s="319" t="s">
        <v>508</v>
      </c>
    </row>
    <row r="21" spans="2:10" x14ac:dyDescent="0.2">
      <c r="B21" s="129" t="s">
        <v>118</v>
      </c>
      <c r="C21" s="129" t="s">
        <v>119</v>
      </c>
      <c r="D21" s="129">
        <v>340</v>
      </c>
      <c r="E21" s="130">
        <v>40800</v>
      </c>
      <c r="F21" s="130">
        <v>120</v>
      </c>
    </row>
    <row r="22" spans="2:10" x14ac:dyDescent="0.2">
      <c r="B22" s="129" t="s">
        <v>118</v>
      </c>
      <c r="C22" s="129" t="s">
        <v>121</v>
      </c>
      <c r="D22" s="129">
        <v>300</v>
      </c>
      <c r="E22" s="130">
        <v>142500</v>
      </c>
      <c r="F22" s="130">
        <v>475</v>
      </c>
    </row>
    <row r="23" spans="2:10" x14ac:dyDescent="0.2">
      <c r="B23" s="129" t="s">
        <v>49</v>
      </c>
      <c r="C23" s="129" t="s">
        <v>121</v>
      </c>
      <c r="D23" s="129">
        <v>250</v>
      </c>
      <c r="E23" s="130">
        <v>125000</v>
      </c>
      <c r="F23" s="130">
        <v>500</v>
      </c>
    </row>
  </sheetData>
  <mergeCells count="2">
    <mergeCell ref="A1:F1"/>
    <mergeCell ref="I15:J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0"/>
  <sheetViews>
    <sheetView topLeftCell="A13" workbookViewId="0">
      <selection activeCell="M24" sqref="M24"/>
    </sheetView>
  </sheetViews>
  <sheetFormatPr defaultRowHeight="12.75" x14ac:dyDescent="0.2"/>
  <cols>
    <col min="1" max="2" width="2.85546875" customWidth="1"/>
    <col min="3" max="3" width="7.140625" customWidth="1"/>
    <col min="4" max="4" width="9.7109375" bestFit="1" customWidth="1"/>
    <col min="5" max="5" width="10.7109375" customWidth="1"/>
    <col min="6" max="6" width="8.42578125" customWidth="1"/>
    <col min="7" max="7" width="8.5703125" customWidth="1"/>
    <col min="8" max="8" width="6.7109375" customWidth="1"/>
    <col min="9" max="9" width="6.5703125" customWidth="1"/>
    <col min="10" max="10" width="8" customWidth="1"/>
    <col min="11" max="11" width="13.5703125" customWidth="1"/>
    <col min="12" max="12" width="10.140625" customWidth="1"/>
    <col min="13" max="13" width="26.7109375" customWidth="1"/>
    <col min="257" max="258" width="2.85546875" customWidth="1"/>
    <col min="259" max="259" width="7.140625" customWidth="1"/>
    <col min="260" max="260" width="8.85546875" customWidth="1"/>
    <col min="261" max="261" width="10.7109375" customWidth="1"/>
    <col min="262" max="262" width="8.42578125" customWidth="1"/>
    <col min="263" max="263" width="8.5703125" customWidth="1"/>
    <col min="264" max="264" width="6.7109375" customWidth="1"/>
    <col min="265" max="265" width="6.5703125" customWidth="1"/>
    <col min="266" max="266" width="8" customWidth="1"/>
    <col min="267" max="267" width="13.5703125" customWidth="1"/>
    <col min="268" max="268" width="10.140625" customWidth="1"/>
    <col min="269" max="269" width="26.7109375" customWidth="1"/>
    <col min="513" max="514" width="2.85546875" customWidth="1"/>
    <col min="515" max="515" width="7.140625" customWidth="1"/>
    <col min="516" max="516" width="8.85546875" customWidth="1"/>
    <col min="517" max="517" width="10.7109375" customWidth="1"/>
    <col min="518" max="518" width="8.42578125" customWidth="1"/>
    <col min="519" max="519" width="8.5703125" customWidth="1"/>
    <col min="520" max="520" width="6.7109375" customWidth="1"/>
    <col min="521" max="521" width="6.5703125" customWidth="1"/>
    <col min="522" max="522" width="8" customWidth="1"/>
    <col min="523" max="523" width="13.5703125" customWidth="1"/>
    <col min="524" max="524" width="10.140625" customWidth="1"/>
    <col min="525" max="525" width="26.7109375" customWidth="1"/>
    <col min="769" max="770" width="2.85546875" customWidth="1"/>
    <col min="771" max="771" width="7.140625" customWidth="1"/>
    <col min="772" max="772" width="8.85546875" customWidth="1"/>
    <col min="773" max="773" width="10.7109375" customWidth="1"/>
    <col min="774" max="774" width="8.42578125" customWidth="1"/>
    <col min="775" max="775" width="8.5703125" customWidth="1"/>
    <col min="776" max="776" width="6.7109375" customWidth="1"/>
    <col min="777" max="777" width="6.5703125" customWidth="1"/>
    <col min="778" max="778" width="8" customWidth="1"/>
    <col min="779" max="779" width="13.5703125" customWidth="1"/>
    <col min="780" max="780" width="10.140625" customWidth="1"/>
    <col min="781" max="781" width="26.7109375" customWidth="1"/>
    <col min="1025" max="1026" width="2.85546875" customWidth="1"/>
    <col min="1027" max="1027" width="7.140625" customWidth="1"/>
    <col min="1028" max="1028" width="8.85546875" customWidth="1"/>
    <col min="1029" max="1029" width="10.7109375" customWidth="1"/>
    <col min="1030" max="1030" width="8.42578125" customWidth="1"/>
    <col min="1031" max="1031" width="8.5703125" customWidth="1"/>
    <col min="1032" max="1032" width="6.7109375" customWidth="1"/>
    <col min="1033" max="1033" width="6.5703125" customWidth="1"/>
    <col min="1034" max="1034" width="8" customWidth="1"/>
    <col min="1035" max="1035" width="13.5703125" customWidth="1"/>
    <col min="1036" max="1036" width="10.140625" customWidth="1"/>
    <col min="1037" max="1037" width="26.7109375" customWidth="1"/>
    <col min="1281" max="1282" width="2.85546875" customWidth="1"/>
    <col min="1283" max="1283" width="7.140625" customWidth="1"/>
    <col min="1284" max="1284" width="8.85546875" customWidth="1"/>
    <col min="1285" max="1285" width="10.7109375" customWidth="1"/>
    <col min="1286" max="1286" width="8.42578125" customWidth="1"/>
    <col min="1287" max="1287" width="8.5703125" customWidth="1"/>
    <col min="1288" max="1288" width="6.7109375" customWidth="1"/>
    <col min="1289" max="1289" width="6.5703125" customWidth="1"/>
    <col min="1290" max="1290" width="8" customWidth="1"/>
    <col min="1291" max="1291" width="13.5703125" customWidth="1"/>
    <col min="1292" max="1292" width="10.140625" customWidth="1"/>
    <col min="1293" max="1293" width="26.7109375" customWidth="1"/>
    <col min="1537" max="1538" width="2.85546875" customWidth="1"/>
    <col min="1539" max="1539" width="7.140625" customWidth="1"/>
    <col min="1540" max="1540" width="8.85546875" customWidth="1"/>
    <col min="1541" max="1541" width="10.7109375" customWidth="1"/>
    <col min="1542" max="1542" width="8.42578125" customWidth="1"/>
    <col min="1543" max="1543" width="8.5703125" customWidth="1"/>
    <col min="1544" max="1544" width="6.7109375" customWidth="1"/>
    <col min="1545" max="1545" width="6.5703125" customWidth="1"/>
    <col min="1546" max="1546" width="8" customWidth="1"/>
    <col min="1547" max="1547" width="13.5703125" customWidth="1"/>
    <col min="1548" max="1548" width="10.140625" customWidth="1"/>
    <col min="1549" max="1549" width="26.7109375" customWidth="1"/>
    <col min="1793" max="1794" width="2.85546875" customWidth="1"/>
    <col min="1795" max="1795" width="7.140625" customWidth="1"/>
    <col min="1796" max="1796" width="8.85546875" customWidth="1"/>
    <col min="1797" max="1797" width="10.7109375" customWidth="1"/>
    <col min="1798" max="1798" width="8.42578125" customWidth="1"/>
    <col min="1799" max="1799" width="8.5703125" customWidth="1"/>
    <col min="1800" max="1800" width="6.7109375" customWidth="1"/>
    <col min="1801" max="1801" width="6.5703125" customWidth="1"/>
    <col min="1802" max="1802" width="8" customWidth="1"/>
    <col min="1803" max="1803" width="13.5703125" customWidth="1"/>
    <col min="1804" max="1804" width="10.140625" customWidth="1"/>
    <col min="1805" max="1805" width="26.7109375" customWidth="1"/>
    <col min="2049" max="2050" width="2.85546875" customWidth="1"/>
    <col min="2051" max="2051" width="7.140625" customWidth="1"/>
    <col min="2052" max="2052" width="8.85546875" customWidth="1"/>
    <col min="2053" max="2053" width="10.7109375" customWidth="1"/>
    <col min="2054" max="2054" width="8.42578125" customWidth="1"/>
    <col min="2055" max="2055" width="8.5703125" customWidth="1"/>
    <col min="2056" max="2056" width="6.7109375" customWidth="1"/>
    <col min="2057" max="2057" width="6.5703125" customWidth="1"/>
    <col min="2058" max="2058" width="8" customWidth="1"/>
    <col min="2059" max="2059" width="13.5703125" customWidth="1"/>
    <col min="2060" max="2060" width="10.140625" customWidth="1"/>
    <col min="2061" max="2061" width="26.7109375" customWidth="1"/>
    <col min="2305" max="2306" width="2.85546875" customWidth="1"/>
    <col min="2307" max="2307" width="7.140625" customWidth="1"/>
    <col min="2308" max="2308" width="8.85546875" customWidth="1"/>
    <col min="2309" max="2309" width="10.7109375" customWidth="1"/>
    <col min="2310" max="2310" width="8.42578125" customWidth="1"/>
    <col min="2311" max="2311" width="8.5703125" customWidth="1"/>
    <col min="2312" max="2312" width="6.7109375" customWidth="1"/>
    <col min="2313" max="2313" width="6.5703125" customWidth="1"/>
    <col min="2314" max="2314" width="8" customWidth="1"/>
    <col min="2315" max="2315" width="13.5703125" customWidth="1"/>
    <col min="2316" max="2316" width="10.140625" customWidth="1"/>
    <col min="2317" max="2317" width="26.7109375" customWidth="1"/>
    <col min="2561" max="2562" width="2.85546875" customWidth="1"/>
    <col min="2563" max="2563" width="7.140625" customWidth="1"/>
    <col min="2564" max="2564" width="8.85546875" customWidth="1"/>
    <col min="2565" max="2565" width="10.7109375" customWidth="1"/>
    <col min="2566" max="2566" width="8.42578125" customWidth="1"/>
    <col min="2567" max="2567" width="8.5703125" customWidth="1"/>
    <col min="2568" max="2568" width="6.7109375" customWidth="1"/>
    <col min="2569" max="2569" width="6.5703125" customWidth="1"/>
    <col min="2570" max="2570" width="8" customWidth="1"/>
    <col min="2571" max="2571" width="13.5703125" customWidth="1"/>
    <col min="2572" max="2572" width="10.140625" customWidth="1"/>
    <col min="2573" max="2573" width="26.7109375" customWidth="1"/>
    <col min="2817" max="2818" width="2.85546875" customWidth="1"/>
    <col min="2819" max="2819" width="7.140625" customWidth="1"/>
    <col min="2820" max="2820" width="8.85546875" customWidth="1"/>
    <col min="2821" max="2821" width="10.7109375" customWidth="1"/>
    <col min="2822" max="2822" width="8.42578125" customWidth="1"/>
    <col min="2823" max="2823" width="8.5703125" customWidth="1"/>
    <col min="2824" max="2824" width="6.7109375" customWidth="1"/>
    <col min="2825" max="2825" width="6.5703125" customWidth="1"/>
    <col min="2826" max="2826" width="8" customWidth="1"/>
    <col min="2827" max="2827" width="13.5703125" customWidth="1"/>
    <col min="2828" max="2828" width="10.140625" customWidth="1"/>
    <col min="2829" max="2829" width="26.7109375" customWidth="1"/>
    <col min="3073" max="3074" width="2.85546875" customWidth="1"/>
    <col min="3075" max="3075" width="7.140625" customWidth="1"/>
    <col min="3076" max="3076" width="8.85546875" customWidth="1"/>
    <col min="3077" max="3077" width="10.7109375" customWidth="1"/>
    <col min="3078" max="3078" width="8.42578125" customWidth="1"/>
    <col min="3079" max="3079" width="8.5703125" customWidth="1"/>
    <col min="3080" max="3080" width="6.7109375" customWidth="1"/>
    <col min="3081" max="3081" width="6.5703125" customWidth="1"/>
    <col min="3082" max="3082" width="8" customWidth="1"/>
    <col min="3083" max="3083" width="13.5703125" customWidth="1"/>
    <col min="3084" max="3084" width="10.140625" customWidth="1"/>
    <col min="3085" max="3085" width="26.7109375" customWidth="1"/>
    <col min="3329" max="3330" width="2.85546875" customWidth="1"/>
    <col min="3331" max="3331" width="7.140625" customWidth="1"/>
    <col min="3332" max="3332" width="8.85546875" customWidth="1"/>
    <col min="3333" max="3333" width="10.7109375" customWidth="1"/>
    <col min="3334" max="3334" width="8.42578125" customWidth="1"/>
    <col min="3335" max="3335" width="8.5703125" customWidth="1"/>
    <col min="3336" max="3336" width="6.7109375" customWidth="1"/>
    <col min="3337" max="3337" width="6.5703125" customWidth="1"/>
    <col min="3338" max="3338" width="8" customWidth="1"/>
    <col min="3339" max="3339" width="13.5703125" customWidth="1"/>
    <col min="3340" max="3340" width="10.140625" customWidth="1"/>
    <col min="3341" max="3341" width="26.7109375" customWidth="1"/>
    <col min="3585" max="3586" width="2.85546875" customWidth="1"/>
    <col min="3587" max="3587" width="7.140625" customWidth="1"/>
    <col min="3588" max="3588" width="8.85546875" customWidth="1"/>
    <col min="3589" max="3589" width="10.7109375" customWidth="1"/>
    <col min="3590" max="3590" width="8.42578125" customWidth="1"/>
    <col min="3591" max="3591" width="8.5703125" customWidth="1"/>
    <col min="3592" max="3592" width="6.7109375" customWidth="1"/>
    <col min="3593" max="3593" width="6.5703125" customWidth="1"/>
    <col min="3594" max="3594" width="8" customWidth="1"/>
    <col min="3595" max="3595" width="13.5703125" customWidth="1"/>
    <col min="3596" max="3596" width="10.140625" customWidth="1"/>
    <col min="3597" max="3597" width="26.7109375" customWidth="1"/>
    <col min="3841" max="3842" width="2.85546875" customWidth="1"/>
    <col min="3843" max="3843" width="7.140625" customWidth="1"/>
    <col min="3844" max="3844" width="8.85546875" customWidth="1"/>
    <col min="3845" max="3845" width="10.7109375" customWidth="1"/>
    <col min="3846" max="3846" width="8.42578125" customWidth="1"/>
    <col min="3847" max="3847" width="8.5703125" customWidth="1"/>
    <col min="3848" max="3848" width="6.7109375" customWidth="1"/>
    <col min="3849" max="3849" width="6.5703125" customWidth="1"/>
    <col min="3850" max="3850" width="8" customWidth="1"/>
    <col min="3851" max="3851" width="13.5703125" customWidth="1"/>
    <col min="3852" max="3852" width="10.140625" customWidth="1"/>
    <col min="3853" max="3853" width="26.7109375" customWidth="1"/>
    <col min="4097" max="4098" width="2.85546875" customWidth="1"/>
    <col min="4099" max="4099" width="7.140625" customWidth="1"/>
    <col min="4100" max="4100" width="8.85546875" customWidth="1"/>
    <col min="4101" max="4101" width="10.7109375" customWidth="1"/>
    <col min="4102" max="4102" width="8.42578125" customWidth="1"/>
    <col min="4103" max="4103" width="8.5703125" customWidth="1"/>
    <col min="4104" max="4104" width="6.7109375" customWidth="1"/>
    <col min="4105" max="4105" width="6.5703125" customWidth="1"/>
    <col min="4106" max="4106" width="8" customWidth="1"/>
    <col min="4107" max="4107" width="13.5703125" customWidth="1"/>
    <col min="4108" max="4108" width="10.140625" customWidth="1"/>
    <col min="4109" max="4109" width="26.7109375" customWidth="1"/>
    <col min="4353" max="4354" width="2.85546875" customWidth="1"/>
    <col min="4355" max="4355" width="7.140625" customWidth="1"/>
    <col min="4356" max="4356" width="8.85546875" customWidth="1"/>
    <col min="4357" max="4357" width="10.7109375" customWidth="1"/>
    <col min="4358" max="4358" width="8.42578125" customWidth="1"/>
    <col min="4359" max="4359" width="8.5703125" customWidth="1"/>
    <col min="4360" max="4360" width="6.7109375" customWidth="1"/>
    <col min="4361" max="4361" width="6.5703125" customWidth="1"/>
    <col min="4362" max="4362" width="8" customWidth="1"/>
    <col min="4363" max="4363" width="13.5703125" customWidth="1"/>
    <col min="4364" max="4364" width="10.140625" customWidth="1"/>
    <col min="4365" max="4365" width="26.7109375" customWidth="1"/>
    <col min="4609" max="4610" width="2.85546875" customWidth="1"/>
    <col min="4611" max="4611" width="7.140625" customWidth="1"/>
    <col min="4612" max="4612" width="8.85546875" customWidth="1"/>
    <col min="4613" max="4613" width="10.7109375" customWidth="1"/>
    <col min="4614" max="4614" width="8.42578125" customWidth="1"/>
    <col min="4615" max="4615" width="8.5703125" customWidth="1"/>
    <col min="4616" max="4616" width="6.7109375" customWidth="1"/>
    <col min="4617" max="4617" width="6.5703125" customWidth="1"/>
    <col min="4618" max="4618" width="8" customWidth="1"/>
    <col min="4619" max="4619" width="13.5703125" customWidth="1"/>
    <col min="4620" max="4620" width="10.140625" customWidth="1"/>
    <col min="4621" max="4621" width="26.7109375" customWidth="1"/>
    <col min="4865" max="4866" width="2.85546875" customWidth="1"/>
    <col min="4867" max="4867" width="7.140625" customWidth="1"/>
    <col min="4868" max="4868" width="8.85546875" customWidth="1"/>
    <col min="4869" max="4869" width="10.7109375" customWidth="1"/>
    <col min="4870" max="4870" width="8.42578125" customWidth="1"/>
    <col min="4871" max="4871" width="8.5703125" customWidth="1"/>
    <col min="4872" max="4872" width="6.7109375" customWidth="1"/>
    <col min="4873" max="4873" width="6.5703125" customWidth="1"/>
    <col min="4874" max="4874" width="8" customWidth="1"/>
    <col min="4875" max="4875" width="13.5703125" customWidth="1"/>
    <col min="4876" max="4876" width="10.140625" customWidth="1"/>
    <col min="4877" max="4877" width="26.7109375" customWidth="1"/>
    <col min="5121" max="5122" width="2.85546875" customWidth="1"/>
    <col min="5123" max="5123" width="7.140625" customWidth="1"/>
    <col min="5124" max="5124" width="8.85546875" customWidth="1"/>
    <col min="5125" max="5125" width="10.7109375" customWidth="1"/>
    <col min="5126" max="5126" width="8.42578125" customWidth="1"/>
    <col min="5127" max="5127" width="8.5703125" customWidth="1"/>
    <col min="5128" max="5128" width="6.7109375" customWidth="1"/>
    <col min="5129" max="5129" width="6.5703125" customWidth="1"/>
    <col min="5130" max="5130" width="8" customWidth="1"/>
    <col min="5131" max="5131" width="13.5703125" customWidth="1"/>
    <col min="5132" max="5132" width="10.140625" customWidth="1"/>
    <col min="5133" max="5133" width="26.7109375" customWidth="1"/>
    <col min="5377" max="5378" width="2.85546875" customWidth="1"/>
    <col min="5379" max="5379" width="7.140625" customWidth="1"/>
    <col min="5380" max="5380" width="8.85546875" customWidth="1"/>
    <col min="5381" max="5381" width="10.7109375" customWidth="1"/>
    <col min="5382" max="5382" width="8.42578125" customWidth="1"/>
    <col min="5383" max="5383" width="8.5703125" customWidth="1"/>
    <col min="5384" max="5384" width="6.7109375" customWidth="1"/>
    <col min="5385" max="5385" width="6.5703125" customWidth="1"/>
    <col min="5386" max="5386" width="8" customWidth="1"/>
    <col min="5387" max="5387" width="13.5703125" customWidth="1"/>
    <col min="5388" max="5388" width="10.140625" customWidth="1"/>
    <col min="5389" max="5389" width="26.7109375" customWidth="1"/>
    <col min="5633" max="5634" width="2.85546875" customWidth="1"/>
    <col min="5635" max="5635" width="7.140625" customWidth="1"/>
    <col min="5636" max="5636" width="8.85546875" customWidth="1"/>
    <col min="5637" max="5637" width="10.7109375" customWidth="1"/>
    <col min="5638" max="5638" width="8.42578125" customWidth="1"/>
    <col min="5639" max="5639" width="8.5703125" customWidth="1"/>
    <col min="5640" max="5640" width="6.7109375" customWidth="1"/>
    <col min="5641" max="5641" width="6.5703125" customWidth="1"/>
    <col min="5642" max="5642" width="8" customWidth="1"/>
    <col min="5643" max="5643" width="13.5703125" customWidth="1"/>
    <col min="5644" max="5644" width="10.140625" customWidth="1"/>
    <col min="5645" max="5645" width="26.7109375" customWidth="1"/>
    <col min="5889" max="5890" width="2.85546875" customWidth="1"/>
    <col min="5891" max="5891" width="7.140625" customWidth="1"/>
    <col min="5892" max="5892" width="8.85546875" customWidth="1"/>
    <col min="5893" max="5893" width="10.7109375" customWidth="1"/>
    <col min="5894" max="5894" width="8.42578125" customWidth="1"/>
    <col min="5895" max="5895" width="8.5703125" customWidth="1"/>
    <col min="5896" max="5896" width="6.7109375" customWidth="1"/>
    <col min="5897" max="5897" width="6.5703125" customWidth="1"/>
    <col min="5898" max="5898" width="8" customWidth="1"/>
    <col min="5899" max="5899" width="13.5703125" customWidth="1"/>
    <col min="5900" max="5900" width="10.140625" customWidth="1"/>
    <col min="5901" max="5901" width="26.7109375" customWidth="1"/>
    <col min="6145" max="6146" width="2.85546875" customWidth="1"/>
    <col min="6147" max="6147" width="7.140625" customWidth="1"/>
    <col min="6148" max="6148" width="8.85546875" customWidth="1"/>
    <col min="6149" max="6149" width="10.7109375" customWidth="1"/>
    <col min="6150" max="6150" width="8.42578125" customWidth="1"/>
    <col min="6151" max="6151" width="8.5703125" customWidth="1"/>
    <col min="6152" max="6152" width="6.7109375" customWidth="1"/>
    <col min="6153" max="6153" width="6.5703125" customWidth="1"/>
    <col min="6154" max="6154" width="8" customWidth="1"/>
    <col min="6155" max="6155" width="13.5703125" customWidth="1"/>
    <col min="6156" max="6156" width="10.140625" customWidth="1"/>
    <col min="6157" max="6157" width="26.7109375" customWidth="1"/>
    <col min="6401" max="6402" width="2.85546875" customWidth="1"/>
    <col min="6403" max="6403" width="7.140625" customWidth="1"/>
    <col min="6404" max="6404" width="8.85546875" customWidth="1"/>
    <col min="6405" max="6405" width="10.7109375" customWidth="1"/>
    <col min="6406" max="6406" width="8.42578125" customWidth="1"/>
    <col min="6407" max="6407" width="8.5703125" customWidth="1"/>
    <col min="6408" max="6408" width="6.7109375" customWidth="1"/>
    <col min="6409" max="6409" width="6.5703125" customWidth="1"/>
    <col min="6410" max="6410" width="8" customWidth="1"/>
    <col min="6411" max="6411" width="13.5703125" customWidth="1"/>
    <col min="6412" max="6412" width="10.140625" customWidth="1"/>
    <col min="6413" max="6413" width="26.7109375" customWidth="1"/>
    <col min="6657" max="6658" width="2.85546875" customWidth="1"/>
    <col min="6659" max="6659" width="7.140625" customWidth="1"/>
    <col min="6660" max="6660" width="8.85546875" customWidth="1"/>
    <col min="6661" max="6661" width="10.7109375" customWidth="1"/>
    <col min="6662" max="6662" width="8.42578125" customWidth="1"/>
    <col min="6663" max="6663" width="8.5703125" customWidth="1"/>
    <col min="6664" max="6664" width="6.7109375" customWidth="1"/>
    <col min="6665" max="6665" width="6.5703125" customWidth="1"/>
    <col min="6666" max="6666" width="8" customWidth="1"/>
    <col min="6667" max="6667" width="13.5703125" customWidth="1"/>
    <col min="6668" max="6668" width="10.140625" customWidth="1"/>
    <col min="6669" max="6669" width="26.7109375" customWidth="1"/>
    <col min="6913" max="6914" width="2.85546875" customWidth="1"/>
    <col min="6915" max="6915" width="7.140625" customWidth="1"/>
    <col min="6916" max="6916" width="8.85546875" customWidth="1"/>
    <col min="6917" max="6917" width="10.7109375" customWidth="1"/>
    <col min="6918" max="6918" width="8.42578125" customWidth="1"/>
    <col min="6919" max="6919" width="8.5703125" customWidth="1"/>
    <col min="6920" max="6920" width="6.7109375" customWidth="1"/>
    <col min="6921" max="6921" width="6.5703125" customWidth="1"/>
    <col min="6922" max="6922" width="8" customWidth="1"/>
    <col min="6923" max="6923" width="13.5703125" customWidth="1"/>
    <col min="6924" max="6924" width="10.140625" customWidth="1"/>
    <col min="6925" max="6925" width="26.7109375" customWidth="1"/>
    <col min="7169" max="7170" width="2.85546875" customWidth="1"/>
    <col min="7171" max="7171" width="7.140625" customWidth="1"/>
    <col min="7172" max="7172" width="8.85546875" customWidth="1"/>
    <col min="7173" max="7173" width="10.7109375" customWidth="1"/>
    <col min="7174" max="7174" width="8.42578125" customWidth="1"/>
    <col min="7175" max="7175" width="8.5703125" customWidth="1"/>
    <col min="7176" max="7176" width="6.7109375" customWidth="1"/>
    <col min="7177" max="7177" width="6.5703125" customWidth="1"/>
    <col min="7178" max="7178" width="8" customWidth="1"/>
    <col min="7179" max="7179" width="13.5703125" customWidth="1"/>
    <col min="7180" max="7180" width="10.140625" customWidth="1"/>
    <col min="7181" max="7181" width="26.7109375" customWidth="1"/>
    <col min="7425" max="7426" width="2.85546875" customWidth="1"/>
    <col min="7427" max="7427" width="7.140625" customWidth="1"/>
    <col min="7428" max="7428" width="8.85546875" customWidth="1"/>
    <col min="7429" max="7429" width="10.7109375" customWidth="1"/>
    <col min="7430" max="7430" width="8.42578125" customWidth="1"/>
    <col min="7431" max="7431" width="8.5703125" customWidth="1"/>
    <col min="7432" max="7432" width="6.7109375" customWidth="1"/>
    <col min="7433" max="7433" width="6.5703125" customWidth="1"/>
    <col min="7434" max="7434" width="8" customWidth="1"/>
    <col min="7435" max="7435" width="13.5703125" customWidth="1"/>
    <col min="7436" max="7436" width="10.140625" customWidth="1"/>
    <col min="7437" max="7437" width="26.7109375" customWidth="1"/>
    <col min="7681" max="7682" width="2.85546875" customWidth="1"/>
    <col min="7683" max="7683" width="7.140625" customWidth="1"/>
    <col min="7684" max="7684" width="8.85546875" customWidth="1"/>
    <col min="7685" max="7685" width="10.7109375" customWidth="1"/>
    <col min="7686" max="7686" width="8.42578125" customWidth="1"/>
    <col min="7687" max="7687" width="8.5703125" customWidth="1"/>
    <col min="7688" max="7688" width="6.7109375" customWidth="1"/>
    <col min="7689" max="7689" width="6.5703125" customWidth="1"/>
    <col min="7690" max="7690" width="8" customWidth="1"/>
    <col min="7691" max="7691" width="13.5703125" customWidth="1"/>
    <col min="7692" max="7692" width="10.140625" customWidth="1"/>
    <col min="7693" max="7693" width="26.7109375" customWidth="1"/>
    <col min="7937" max="7938" width="2.85546875" customWidth="1"/>
    <col min="7939" max="7939" width="7.140625" customWidth="1"/>
    <col min="7940" max="7940" width="8.85546875" customWidth="1"/>
    <col min="7941" max="7941" width="10.7109375" customWidth="1"/>
    <col min="7942" max="7942" width="8.42578125" customWidth="1"/>
    <col min="7943" max="7943" width="8.5703125" customWidth="1"/>
    <col min="7944" max="7944" width="6.7109375" customWidth="1"/>
    <col min="7945" max="7945" width="6.5703125" customWidth="1"/>
    <col min="7946" max="7946" width="8" customWidth="1"/>
    <col min="7947" max="7947" width="13.5703125" customWidth="1"/>
    <col min="7948" max="7948" width="10.140625" customWidth="1"/>
    <col min="7949" max="7949" width="26.7109375" customWidth="1"/>
    <col min="8193" max="8194" width="2.85546875" customWidth="1"/>
    <col min="8195" max="8195" width="7.140625" customWidth="1"/>
    <col min="8196" max="8196" width="8.85546875" customWidth="1"/>
    <col min="8197" max="8197" width="10.7109375" customWidth="1"/>
    <col min="8198" max="8198" width="8.42578125" customWidth="1"/>
    <col min="8199" max="8199" width="8.5703125" customWidth="1"/>
    <col min="8200" max="8200" width="6.7109375" customWidth="1"/>
    <col min="8201" max="8201" width="6.5703125" customWidth="1"/>
    <col min="8202" max="8202" width="8" customWidth="1"/>
    <col min="8203" max="8203" width="13.5703125" customWidth="1"/>
    <col min="8204" max="8204" width="10.140625" customWidth="1"/>
    <col min="8205" max="8205" width="26.7109375" customWidth="1"/>
    <col min="8449" max="8450" width="2.85546875" customWidth="1"/>
    <col min="8451" max="8451" width="7.140625" customWidth="1"/>
    <col min="8452" max="8452" width="8.85546875" customWidth="1"/>
    <col min="8453" max="8453" width="10.7109375" customWidth="1"/>
    <col min="8454" max="8454" width="8.42578125" customWidth="1"/>
    <col min="8455" max="8455" width="8.5703125" customWidth="1"/>
    <col min="8456" max="8456" width="6.7109375" customWidth="1"/>
    <col min="8457" max="8457" width="6.5703125" customWidth="1"/>
    <col min="8458" max="8458" width="8" customWidth="1"/>
    <col min="8459" max="8459" width="13.5703125" customWidth="1"/>
    <col min="8460" max="8460" width="10.140625" customWidth="1"/>
    <col min="8461" max="8461" width="26.7109375" customWidth="1"/>
    <col min="8705" max="8706" width="2.85546875" customWidth="1"/>
    <col min="8707" max="8707" width="7.140625" customWidth="1"/>
    <col min="8708" max="8708" width="8.85546875" customWidth="1"/>
    <col min="8709" max="8709" width="10.7109375" customWidth="1"/>
    <col min="8710" max="8710" width="8.42578125" customWidth="1"/>
    <col min="8711" max="8711" width="8.5703125" customWidth="1"/>
    <col min="8712" max="8712" width="6.7109375" customWidth="1"/>
    <col min="8713" max="8713" width="6.5703125" customWidth="1"/>
    <col min="8714" max="8714" width="8" customWidth="1"/>
    <col min="8715" max="8715" width="13.5703125" customWidth="1"/>
    <col min="8716" max="8716" width="10.140625" customWidth="1"/>
    <col min="8717" max="8717" width="26.7109375" customWidth="1"/>
    <col min="8961" max="8962" width="2.85546875" customWidth="1"/>
    <col min="8963" max="8963" width="7.140625" customWidth="1"/>
    <col min="8964" max="8964" width="8.85546875" customWidth="1"/>
    <col min="8965" max="8965" width="10.7109375" customWidth="1"/>
    <col min="8966" max="8966" width="8.42578125" customWidth="1"/>
    <col min="8967" max="8967" width="8.5703125" customWidth="1"/>
    <col min="8968" max="8968" width="6.7109375" customWidth="1"/>
    <col min="8969" max="8969" width="6.5703125" customWidth="1"/>
    <col min="8970" max="8970" width="8" customWidth="1"/>
    <col min="8971" max="8971" width="13.5703125" customWidth="1"/>
    <col min="8972" max="8972" width="10.140625" customWidth="1"/>
    <col min="8973" max="8973" width="26.7109375" customWidth="1"/>
    <col min="9217" max="9218" width="2.85546875" customWidth="1"/>
    <col min="9219" max="9219" width="7.140625" customWidth="1"/>
    <col min="9220" max="9220" width="8.85546875" customWidth="1"/>
    <col min="9221" max="9221" width="10.7109375" customWidth="1"/>
    <col min="9222" max="9222" width="8.42578125" customWidth="1"/>
    <col min="9223" max="9223" width="8.5703125" customWidth="1"/>
    <col min="9224" max="9224" width="6.7109375" customWidth="1"/>
    <col min="9225" max="9225" width="6.5703125" customWidth="1"/>
    <col min="9226" max="9226" width="8" customWidth="1"/>
    <col min="9227" max="9227" width="13.5703125" customWidth="1"/>
    <col min="9228" max="9228" width="10.140625" customWidth="1"/>
    <col min="9229" max="9229" width="26.7109375" customWidth="1"/>
    <col min="9473" max="9474" width="2.85546875" customWidth="1"/>
    <col min="9475" max="9475" width="7.140625" customWidth="1"/>
    <col min="9476" max="9476" width="8.85546875" customWidth="1"/>
    <col min="9477" max="9477" width="10.7109375" customWidth="1"/>
    <col min="9478" max="9478" width="8.42578125" customWidth="1"/>
    <col min="9479" max="9479" width="8.5703125" customWidth="1"/>
    <col min="9480" max="9480" width="6.7109375" customWidth="1"/>
    <col min="9481" max="9481" width="6.5703125" customWidth="1"/>
    <col min="9482" max="9482" width="8" customWidth="1"/>
    <col min="9483" max="9483" width="13.5703125" customWidth="1"/>
    <col min="9484" max="9484" width="10.140625" customWidth="1"/>
    <col min="9485" max="9485" width="26.7109375" customWidth="1"/>
    <col min="9729" max="9730" width="2.85546875" customWidth="1"/>
    <col min="9731" max="9731" width="7.140625" customWidth="1"/>
    <col min="9732" max="9732" width="8.85546875" customWidth="1"/>
    <col min="9733" max="9733" width="10.7109375" customWidth="1"/>
    <col min="9734" max="9734" width="8.42578125" customWidth="1"/>
    <col min="9735" max="9735" width="8.5703125" customWidth="1"/>
    <col min="9736" max="9736" width="6.7109375" customWidth="1"/>
    <col min="9737" max="9737" width="6.5703125" customWidth="1"/>
    <col min="9738" max="9738" width="8" customWidth="1"/>
    <col min="9739" max="9739" width="13.5703125" customWidth="1"/>
    <col min="9740" max="9740" width="10.140625" customWidth="1"/>
    <col min="9741" max="9741" width="26.7109375" customWidth="1"/>
    <col min="9985" max="9986" width="2.85546875" customWidth="1"/>
    <col min="9987" max="9987" width="7.140625" customWidth="1"/>
    <col min="9988" max="9988" width="8.85546875" customWidth="1"/>
    <col min="9989" max="9989" width="10.7109375" customWidth="1"/>
    <col min="9990" max="9990" width="8.42578125" customWidth="1"/>
    <col min="9991" max="9991" width="8.5703125" customWidth="1"/>
    <col min="9992" max="9992" width="6.7109375" customWidth="1"/>
    <col min="9993" max="9993" width="6.5703125" customWidth="1"/>
    <col min="9994" max="9994" width="8" customWidth="1"/>
    <col min="9995" max="9995" width="13.5703125" customWidth="1"/>
    <col min="9996" max="9996" width="10.140625" customWidth="1"/>
    <col min="9997" max="9997" width="26.7109375" customWidth="1"/>
    <col min="10241" max="10242" width="2.85546875" customWidth="1"/>
    <col min="10243" max="10243" width="7.140625" customWidth="1"/>
    <col min="10244" max="10244" width="8.85546875" customWidth="1"/>
    <col min="10245" max="10245" width="10.7109375" customWidth="1"/>
    <col min="10246" max="10246" width="8.42578125" customWidth="1"/>
    <col min="10247" max="10247" width="8.5703125" customWidth="1"/>
    <col min="10248" max="10248" width="6.7109375" customWidth="1"/>
    <col min="10249" max="10249" width="6.5703125" customWidth="1"/>
    <col min="10250" max="10250" width="8" customWidth="1"/>
    <col min="10251" max="10251" width="13.5703125" customWidth="1"/>
    <col min="10252" max="10252" width="10.140625" customWidth="1"/>
    <col min="10253" max="10253" width="26.7109375" customWidth="1"/>
    <col min="10497" max="10498" width="2.85546875" customWidth="1"/>
    <col min="10499" max="10499" width="7.140625" customWidth="1"/>
    <col min="10500" max="10500" width="8.85546875" customWidth="1"/>
    <col min="10501" max="10501" width="10.7109375" customWidth="1"/>
    <col min="10502" max="10502" width="8.42578125" customWidth="1"/>
    <col min="10503" max="10503" width="8.5703125" customWidth="1"/>
    <col min="10504" max="10504" width="6.7109375" customWidth="1"/>
    <col min="10505" max="10505" width="6.5703125" customWidth="1"/>
    <col min="10506" max="10506" width="8" customWidth="1"/>
    <col min="10507" max="10507" width="13.5703125" customWidth="1"/>
    <col min="10508" max="10508" width="10.140625" customWidth="1"/>
    <col min="10509" max="10509" width="26.7109375" customWidth="1"/>
    <col min="10753" max="10754" width="2.85546875" customWidth="1"/>
    <col min="10755" max="10755" width="7.140625" customWidth="1"/>
    <col min="10756" max="10756" width="8.85546875" customWidth="1"/>
    <col min="10757" max="10757" width="10.7109375" customWidth="1"/>
    <col min="10758" max="10758" width="8.42578125" customWidth="1"/>
    <col min="10759" max="10759" width="8.5703125" customWidth="1"/>
    <col min="10760" max="10760" width="6.7109375" customWidth="1"/>
    <col min="10761" max="10761" width="6.5703125" customWidth="1"/>
    <col min="10762" max="10762" width="8" customWidth="1"/>
    <col min="10763" max="10763" width="13.5703125" customWidth="1"/>
    <col min="10764" max="10764" width="10.140625" customWidth="1"/>
    <col min="10765" max="10765" width="26.7109375" customWidth="1"/>
    <col min="11009" max="11010" width="2.85546875" customWidth="1"/>
    <col min="11011" max="11011" width="7.140625" customWidth="1"/>
    <col min="11012" max="11012" width="8.85546875" customWidth="1"/>
    <col min="11013" max="11013" width="10.7109375" customWidth="1"/>
    <col min="11014" max="11014" width="8.42578125" customWidth="1"/>
    <col min="11015" max="11015" width="8.5703125" customWidth="1"/>
    <col min="11016" max="11016" width="6.7109375" customWidth="1"/>
    <col min="11017" max="11017" width="6.5703125" customWidth="1"/>
    <col min="11018" max="11018" width="8" customWidth="1"/>
    <col min="11019" max="11019" width="13.5703125" customWidth="1"/>
    <col min="11020" max="11020" width="10.140625" customWidth="1"/>
    <col min="11021" max="11021" width="26.7109375" customWidth="1"/>
    <col min="11265" max="11266" width="2.85546875" customWidth="1"/>
    <col min="11267" max="11267" width="7.140625" customWidth="1"/>
    <col min="11268" max="11268" width="8.85546875" customWidth="1"/>
    <col min="11269" max="11269" width="10.7109375" customWidth="1"/>
    <col min="11270" max="11270" width="8.42578125" customWidth="1"/>
    <col min="11271" max="11271" width="8.5703125" customWidth="1"/>
    <col min="11272" max="11272" width="6.7109375" customWidth="1"/>
    <col min="11273" max="11273" width="6.5703125" customWidth="1"/>
    <col min="11274" max="11274" width="8" customWidth="1"/>
    <col min="11275" max="11275" width="13.5703125" customWidth="1"/>
    <col min="11276" max="11276" width="10.140625" customWidth="1"/>
    <col min="11277" max="11277" width="26.7109375" customWidth="1"/>
    <col min="11521" max="11522" width="2.85546875" customWidth="1"/>
    <col min="11523" max="11523" width="7.140625" customWidth="1"/>
    <col min="11524" max="11524" width="8.85546875" customWidth="1"/>
    <col min="11525" max="11525" width="10.7109375" customWidth="1"/>
    <col min="11526" max="11526" width="8.42578125" customWidth="1"/>
    <col min="11527" max="11527" width="8.5703125" customWidth="1"/>
    <col min="11528" max="11528" width="6.7109375" customWidth="1"/>
    <col min="11529" max="11529" width="6.5703125" customWidth="1"/>
    <col min="11530" max="11530" width="8" customWidth="1"/>
    <col min="11531" max="11531" width="13.5703125" customWidth="1"/>
    <col min="11532" max="11532" width="10.140625" customWidth="1"/>
    <col min="11533" max="11533" width="26.7109375" customWidth="1"/>
    <col min="11777" max="11778" width="2.85546875" customWidth="1"/>
    <col min="11779" max="11779" width="7.140625" customWidth="1"/>
    <col min="11780" max="11780" width="8.85546875" customWidth="1"/>
    <col min="11781" max="11781" width="10.7109375" customWidth="1"/>
    <col min="11782" max="11782" width="8.42578125" customWidth="1"/>
    <col min="11783" max="11783" width="8.5703125" customWidth="1"/>
    <col min="11784" max="11784" width="6.7109375" customWidth="1"/>
    <col min="11785" max="11785" width="6.5703125" customWidth="1"/>
    <col min="11786" max="11786" width="8" customWidth="1"/>
    <col min="11787" max="11787" width="13.5703125" customWidth="1"/>
    <col min="11788" max="11788" width="10.140625" customWidth="1"/>
    <col min="11789" max="11789" width="26.7109375" customWidth="1"/>
    <col min="12033" max="12034" width="2.85546875" customWidth="1"/>
    <col min="12035" max="12035" width="7.140625" customWidth="1"/>
    <col min="12036" max="12036" width="8.85546875" customWidth="1"/>
    <col min="12037" max="12037" width="10.7109375" customWidth="1"/>
    <col min="12038" max="12038" width="8.42578125" customWidth="1"/>
    <col min="12039" max="12039" width="8.5703125" customWidth="1"/>
    <col min="12040" max="12040" width="6.7109375" customWidth="1"/>
    <col min="12041" max="12041" width="6.5703125" customWidth="1"/>
    <col min="12042" max="12042" width="8" customWidth="1"/>
    <col min="12043" max="12043" width="13.5703125" customWidth="1"/>
    <col min="12044" max="12044" width="10.140625" customWidth="1"/>
    <col min="12045" max="12045" width="26.7109375" customWidth="1"/>
    <col min="12289" max="12290" width="2.85546875" customWidth="1"/>
    <col min="12291" max="12291" width="7.140625" customWidth="1"/>
    <col min="12292" max="12292" width="8.85546875" customWidth="1"/>
    <col min="12293" max="12293" width="10.7109375" customWidth="1"/>
    <col min="12294" max="12294" width="8.42578125" customWidth="1"/>
    <col min="12295" max="12295" width="8.5703125" customWidth="1"/>
    <col min="12296" max="12296" width="6.7109375" customWidth="1"/>
    <col min="12297" max="12297" width="6.5703125" customWidth="1"/>
    <col min="12298" max="12298" width="8" customWidth="1"/>
    <col min="12299" max="12299" width="13.5703125" customWidth="1"/>
    <col min="12300" max="12300" width="10.140625" customWidth="1"/>
    <col min="12301" max="12301" width="26.7109375" customWidth="1"/>
    <col min="12545" max="12546" width="2.85546875" customWidth="1"/>
    <col min="12547" max="12547" width="7.140625" customWidth="1"/>
    <col min="12548" max="12548" width="8.85546875" customWidth="1"/>
    <col min="12549" max="12549" width="10.7109375" customWidth="1"/>
    <col min="12550" max="12550" width="8.42578125" customWidth="1"/>
    <col min="12551" max="12551" width="8.5703125" customWidth="1"/>
    <col min="12552" max="12552" width="6.7109375" customWidth="1"/>
    <col min="12553" max="12553" width="6.5703125" customWidth="1"/>
    <col min="12554" max="12554" width="8" customWidth="1"/>
    <col min="12555" max="12555" width="13.5703125" customWidth="1"/>
    <col min="12556" max="12556" width="10.140625" customWidth="1"/>
    <col min="12557" max="12557" width="26.7109375" customWidth="1"/>
    <col min="12801" max="12802" width="2.85546875" customWidth="1"/>
    <col min="12803" max="12803" width="7.140625" customWidth="1"/>
    <col min="12804" max="12804" width="8.85546875" customWidth="1"/>
    <col min="12805" max="12805" width="10.7109375" customWidth="1"/>
    <col min="12806" max="12806" width="8.42578125" customWidth="1"/>
    <col min="12807" max="12807" width="8.5703125" customWidth="1"/>
    <col min="12808" max="12808" width="6.7109375" customWidth="1"/>
    <col min="12809" max="12809" width="6.5703125" customWidth="1"/>
    <col min="12810" max="12810" width="8" customWidth="1"/>
    <col min="12811" max="12811" width="13.5703125" customWidth="1"/>
    <col min="12812" max="12812" width="10.140625" customWidth="1"/>
    <col min="12813" max="12813" width="26.7109375" customWidth="1"/>
    <col min="13057" max="13058" width="2.85546875" customWidth="1"/>
    <col min="13059" max="13059" width="7.140625" customWidth="1"/>
    <col min="13060" max="13060" width="8.85546875" customWidth="1"/>
    <col min="13061" max="13061" width="10.7109375" customWidth="1"/>
    <col min="13062" max="13062" width="8.42578125" customWidth="1"/>
    <col min="13063" max="13063" width="8.5703125" customWidth="1"/>
    <col min="13064" max="13064" width="6.7109375" customWidth="1"/>
    <col min="13065" max="13065" width="6.5703125" customWidth="1"/>
    <col min="13066" max="13066" width="8" customWidth="1"/>
    <col min="13067" max="13067" width="13.5703125" customWidth="1"/>
    <col min="13068" max="13068" width="10.140625" customWidth="1"/>
    <col min="13069" max="13069" width="26.7109375" customWidth="1"/>
    <col min="13313" max="13314" width="2.85546875" customWidth="1"/>
    <col min="13315" max="13315" width="7.140625" customWidth="1"/>
    <col min="13316" max="13316" width="8.85546875" customWidth="1"/>
    <col min="13317" max="13317" width="10.7109375" customWidth="1"/>
    <col min="13318" max="13318" width="8.42578125" customWidth="1"/>
    <col min="13319" max="13319" width="8.5703125" customWidth="1"/>
    <col min="13320" max="13320" width="6.7109375" customWidth="1"/>
    <col min="13321" max="13321" width="6.5703125" customWidth="1"/>
    <col min="13322" max="13322" width="8" customWidth="1"/>
    <col min="13323" max="13323" width="13.5703125" customWidth="1"/>
    <col min="13324" max="13324" width="10.140625" customWidth="1"/>
    <col min="13325" max="13325" width="26.7109375" customWidth="1"/>
    <col min="13569" max="13570" width="2.85546875" customWidth="1"/>
    <col min="13571" max="13571" width="7.140625" customWidth="1"/>
    <col min="13572" max="13572" width="8.85546875" customWidth="1"/>
    <col min="13573" max="13573" width="10.7109375" customWidth="1"/>
    <col min="13574" max="13574" width="8.42578125" customWidth="1"/>
    <col min="13575" max="13575" width="8.5703125" customWidth="1"/>
    <col min="13576" max="13576" width="6.7109375" customWidth="1"/>
    <col min="13577" max="13577" width="6.5703125" customWidth="1"/>
    <col min="13578" max="13578" width="8" customWidth="1"/>
    <col min="13579" max="13579" width="13.5703125" customWidth="1"/>
    <col min="13580" max="13580" width="10.140625" customWidth="1"/>
    <col min="13581" max="13581" width="26.7109375" customWidth="1"/>
    <col min="13825" max="13826" width="2.85546875" customWidth="1"/>
    <col min="13827" max="13827" width="7.140625" customWidth="1"/>
    <col min="13828" max="13828" width="8.85546875" customWidth="1"/>
    <col min="13829" max="13829" width="10.7109375" customWidth="1"/>
    <col min="13830" max="13830" width="8.42578125" customWidth="1"/>
    <col min="13831" max="13831" width="8.5703125" customWidth="1"/>
    <col min="13832" max="13832" width="6.7109375" customWidth="1"/>
    <col min="13833" max="13833" width="6.5703125" customWidth="1"/>
    <col min="13834" max="13834" width="8" customWidth="1"/>
    <col min="13835" max="13835" width="13.5703125" customWidth="1"/>
    <col min="13836" max="13836" width="10.140625" customWidth="1"/>
    <col min="13837" max="13837" width="26.7109375" customWidth="1"/>
    <col min="14081" max="14082" width="2.85546875" customWidth="1"/>
    <col min="14083" max="14083" width="7.140625" customWidth="1"/>
    <col min="14084" max="14084" width="8.85546875" customWidth="1"/>
    <col min="14085" max="14085" width="10.7109375" customWidth="1"/>
    <col min="14086" max="14086" width="8.42578125" customWidth="1"/>
    <col min="14087" max="14087" width="8.5703125" customWidth="1"/>
    <col min="14088" max="14088" width="6.7109375" customWidth="1"/>
    <col min="14089" max="14089" width="6.5703125" customWidth="1"/>
    <col min="14090" max="14090" width="8" customWidth="1"/>
    <col min="14091" max="14091" width="13.5703125" customWidth="1"/>
    <col min="14092" max="14092" width="10.140625" customWidth="1"/>
    <col min="14093" max="14093" width="26.7109375" customWidth="1"/>
    <col min="14337" max="14338" width="2.85546875" customWidth="1"/>
    <col min="14339" max="14339" width="7.140625" customWidth="1"/>
    <col min="14340" max="14340" width="8.85546875" customWidth="1"/>
    <col min="14341" max="14341" width="10.7109375" customWidth="1"/>
    <col min="14342" max="14342" width="8.42578125" customWidth="1"/>
    <col min="14343" max="14343" width="8.5703125" customWidth="1"/>
    <col min="14344" max="14344" width="6.7109375" customWidth="1"/>
    <col min="14345" max="14345" width="6.5703125" customWidth="1"/>
    <col min="14346" max="14346" width="8" customWidth="1"/>
    <col min="14347" max="14347" width="13.5703125" customWidth="1"/>
    <col min="14348" max="14348" width="10.140625" customWidth="1"/>
    <col min="14349" max="14349" width="26.7109375" customWidth="1"/>
    <col min="14593" max="14594" width="2.85546875" customWidth="1"/>
    <col min="14595" max="14595" width="7.140625" customWidth="1"/>
    <col min="14596" max="14596" width="8.85546875" customWidth="1"/>
    <col min="14597" max="14597" width="10.7109375" customWidth="1"/>
    <col min="14598" max="14598" width="8.42578125" customWidth="1"/>
    <col min="14599" max="14599" width="8.5703125" customWidth="1"/>
    <col min="14600" max="14600" width="6.7109375" customWidth="1"/>
    <col min="14601" max="14601" width="6.5703125" customWidth="1"/>
    <col min="14602" max="14602" width="8" customWidth="1"/>
    <col min="14603" max="14603" width="13.5703125" customWidth="1"/>
    <col min="14604" max="14604" width="10.140625" customWidth="1"/>
    <col min="14605" max="14605" width="26.7109375" customWidth="1"/>
    <col min="14849" max="14850" width="2.85546875" customWidth="1"/>
    <col min="14851" max="14851" width="7.140625" customWidth="1"/>
    <col min="14852" max="14852" width="8.85546875" customWidth="1"/>
    <col min="14853" max="14853" width="10.7109375" customWidth="1"/>
    <col min="14854" max="14854" width="8.42578125" customWidth="1"/>
    <col min="14855" max="14855" width="8.5703125" customWidth="1"/>
    <col min="14856" max="14856" width="6.7109375" customWidth="1"/>
    <col min="14857" max="14857" width="6.5703125" customWidth="1"/>
    <col min="14858" max="14858" width="8" customWidth="1"/>
    <col min="14859" max="14859" width="13.5703125" customWidth="1"/>
    <col min="14860" max="14860" width="10.140625" customWidth="1"/>
    <col min="14861" max="14861" width="26.7109375" customWidth="1"/>
    <col min="15105" max="15106" width="2.85546875" customWidth="1"/>
    <col min="15107" max="15107" width="7.140625" customWidth="1"/>
    <col min="15108" max="15108" width="8.85546875" customWidth="1"/>
    <col min="15109" max="15109" width="10.7109375" customWidth="1"/>
    <col min="15110" max="15110" width="8.42578125" customWidth="1"/>
    <col min="15111" max="15111" width="8.5703125" customWidth="1"/>
    <col min="15112" max="15112" width="6.7109375" customWidth="1"/>
    <col min="15113" max="15113" width="6.5703125" customWidth="1"/>
    <col min="15114" max="15114" width="8" customWidth="1"/>
    <col min="15115" max="15115" width="13.5703125" customWidth="1"/>
    <col min="15116" max="15116" width="10.140625" customWidth="1"/>
    <col min="15117" max="15117" width="26.7109375" customWidth="1"/>
    <col min="15361" max="15362" width="2.85546875" customWidth="1"/>
    <col min="15363" max="15363" width="7.140625" customWidth="1"/>
    <col min="15364" max="15364" width="8.85546875" customWidth="1"/>
    <col min="15365" max="15365" width="10.7109375" customWidth="1"/>
    <col min="15366" max="15366" width="8.42578125" customWidth="1"/>
    <col min="15367" max="15367" width="8.5703125" customWidth="1"/>
    <col min="15368" max="15368" width="6.7109375" customWidth="1"/>
    <col min="15369" max="15369" width="6.5703125" customWidth="1"/>
    <col min="15370" max="15370" width="8" customWidth="1"/>
    <col min="15371" max="15371" width="13.5703125" customWidth="1"/>
    <col min="15372" max="15372" width="10.140625" customWidth="1"/>
    <col min="15373" max="15373" width="26.7109375" customWidth="1"/>
    <col min="15617" max="15618" width="2.85546875" customWidth="1"/>
    <col min="15619" max="15619" width="7.140625" customWidth="1"/>
    <col min="15620" max="15620" width="8.85546875" customWidth="1"/>
    <col min="15621" max="15621" width="10.7109375" customWidth="1"/>
    <col min="15622" max="15622" width="8.42578125" customWidth="1"/>
    <col min="15623" max="15623" width="8.5703125" customWidth="1"/>
    <col min="15624" max="15624" width="6.7109375" customWidth="1"/>
    <col min="15625" max="15625" width="6.5703125" customWidth="1"/>
    <col min="15626" max="15626" width="8" customWidth="1"/>
    <col min="15627" max="15627" width="13.5703125" customWidth="1"/>
    <col min="15628" max="15628" width="10.140625" customWidth="1"/>
    <col min="15629" max="15629" width="26.7109375" customWidth="1"/>
    <col min="15873" max="15874" width="2.85546875" customWidth="1"/>
    <col min="15875" max="15875" width="7.140625" customWidth="1"/>
    <col min="15876" max="15876" width="8.85546875" customWidth="1"/>
    <col min="15877" max="15877" width="10.7109375" customWidth="1"/>
    <col min="15878" max="15878" width="8.42578125" customWidth="1"/>
    <col min="15879" max="15879" width="8.5703125" customWidth="1"/>
    <col min="15880" max="15880" width="6.7109375" customWidth="1"/>
    <col min="15881" max="15881" width="6.5703125" customWidth="1"/>
    <col min="15882" max="15882" width="8" customWidth="1"/>
    <col min="15883" max="15883" width="13.5703125" customWidth="1"/>
    <col min="15884" max="15884" width="10.140625" customWidth="1"/>
    <col min="15885" max="15885" width="26.7109375" customWidth="1"/>
    <col min="16129" max="16130" width="2.85546875" customWidth="1"/>
    <col min="16131" max="16131" width="7.140625" customWidth="1"/>
    <col min="16132" max="16132" width="8.85546875" customWidth="1"/>
    <col min="16133" max="16133" width="10.7109375" customWidth="1"/>
    <col min="16134" max="16134" width="8.42578125" customWidth="1"/>
    <col min="16135" max="16135" width="8.5703125" customWidth="1"/>
    <col min="16136" max="16136" width="6.7109375" customWidth="1"/>
    <col min="16137" max="16137" width="6.5703125" customWidth="1"/>
    <col min="16138" max="16138" width="8" customWidth="1"/>
    <col min="16139" max="16139" width="13.5703125" customWidth="1"/>
    <col min="16140" max="16140" width="10.140625" customWidth="1"/>
    <col min="16141" max="16141" width="26.7109375" customWidth="1"/>
  </cols>
  <sheetData>
    <row r="2" spans="1:13" ht="20.25" x14ac:dyDescent="0.3">
      <c r="B2" s="166"/>
      <c r="C2" s="166" t="s">
        <v>187</v>
      </c>
      <c r="D2" s="166" t="s">
        <v>188</v>
      </c>
      <c r="E2" s="166" t="s">
        <v>34</v>
      </c>
      <c r="F2" s="166" t="s">
        <v>189</v>
      </c>
      <c r="G2" s="166" t="s">
        <v>190</v>
      </c>
      <c r="H2" s="166" t="s">
        <v>191</v>
      </c>
      <c r="I2" s="166" t="s">
        <v>192</v>
      </c>
      <c r="J2" s="166" t="s">
        <v>193</v>
      </c>
      <c r="K2" s="166" t="s">
        <v>194</v>
      </c>
      <c r="L2" s="166" t="s">
        <v>195</v>
      </c>
      <c r="M2" s="165"/>
    </row>
    <row r="3" spans="1:13" ht="13.5" thickBot="1" x14ac:dyDescent="0.25">
      <c r="B3" s="137">
        <v>1</v>
      </c>
      <c r="C3" s="167" t="s">
        <v>114</v>
      </c>
      <c r="D3" s="167" t="s">
        <v>115</v>
      </c>
      <c r="E3" s="167" t="s">
        <v>81</v>
      </c>
      <c r="F3" s="167" t="s">
        <v>93</v>
      </c>
      <c r="G3" s="167" t="s">
        <v>196</v>
      </c>
      <c r="H3" s="26"/>
      <c r="I3" s="26"/>
      <c r="J3" s="26"/>
      <c r="K3" s="26" t="s">
        <v>197</v>
      </c>
      <c r="L3" s="168"/>
    </row>
    <row r="4" spans="1:13" ht="21" thickTop="1" x14ac:dyDescent="0.3">
      <c r="B4" s="137">
        <v>2</v>
      </c>
      <c r="C4" s="169" t="s">
        <v>120</v>
      </c>
      <c r="D4" s="169" t="s">
        <v>198</v>
      </c>
      <c r="E4" s="170">
        <v>282.89999999999998</v>
      </c>
      <c r="F4" s="171"/>
      <c r="G4" s="134"/>
      <c r="H4" s="26"/>
      <c r="I4" s="26"/>
      <c r="J4" s="26"/>
      <c r="K4" s="26" t="s">
        <v>199</v>
      </c>
      <c r="L4" s="168"/>
      <c r="M4" s="165"/>
    </row>
    <row r="5" spans="1:13" x14ac:dyDescent="0.2">
      <c r="B5" s="137">
        <v>3</v>
      </c>
      <c r="C5" s="145" t="s">
        <v>117</v>
      </c>
      <c r="D5" s="145" t="s">
        <v>49</v>
      </c>
      <c r="E5" s="170">
        <v>81</v>
      </c>
      <c r="F5" s="172"/>
      <c r="G5" s="137"/>
      <c r="H5" s="26"/>
      <c r="I5" s="26"/>
      <c r="J5" s="26"/>
      <c r="K5" s="26"/>
      <c r="L5" s="26"/>
    </row>
    <row r="6" spans="1:13" ht="20.25" x14ac:dyDescent="0.3">
      <c r="B6" s="137">
        <v>4</v>
      </c>
      <c r="C6" s="145" t="s">
        <v>122</v>
      </c>
      <c r="D6" s="145" t="s">
        <v>198</v>
      </c>
      <c r="E6" s="170">
        <v>154.1</v>
      </c>
      <c r="F6" s="172"/>
      <c r="G6" s="137"/>
      <c r="H6" s="26"/>
      <c r="I6" s="26"/>
      <c r="J6" s="26"/>
      <c r="K6" s="26" t="s">
        <v>200</v>
      </c>
      <c r="L6" s="137"/>
      <c r="M6" s="165"/>
    </row>
    <row r="7" spans="1:13" x14ac:dyDescent="0.2">
      <c r="B7" s="137">
        <v>5</v>
      </c>
      <c r="C7" s="145" t="s">
        <v>120</v>
      </c>
      <c r="D7" s="145" t="s">
        <v>49</v>
      </c>
      <c r="E7" s="170">
        <v>276</v>
      </c>
      <c r="F7" s="172"/>
      <c r="G7" s="137"/>
      <c r="H7" s="26"/>
      <c r="I7" s="26"/>
      <c r="J7" s="26"/>
      <c r="K7" s="26"/>
      <c r="L7" s="26"/>
    </row>
    <row r="8" spans="1:13" ht="20.25" x14ac:dyDescent="0.3">
      <c r="B8" s="137">
        <v>6</v>
      </c>
      <c r="C8" s="145" t="s">
        <v>117</v>
      </c>
      <c r="D8" s="145" t="s">
        <v>198</v>
      </c>
      <c r="E8" s="170">
        <v>414</v>
      </c>
      <c r="F8" s="172"/>
      <c r="G8" s="137"/>
      <c r="H8" s="26"/>
      <c r="I8" s="26"/>
      <c r="J8" s="26"/>
      <c r="K8" s="173" t="s">
        <v>201</v>
      </c>
      <c r="L8" s="174"/>
      <c r="M8" s="165"/>
    </row>
    <row r="9" spans="1:13" x14ac:dyDescent="0.2">
      <c r="B9" s="137">
        <v>7</v>
      </c>
      <c r="C9" s="145" t="s">
        <v>120</v>
      </c>
      <c r="D9" s="145" t="s">
        <v>49</v>
      </c>
      <c r="E9" s="170">
        <v>810</v>
      </c>
      <c r="F9" s="172"/>
      <c r="G9" s="137"/>
      <c r="H9" s="26"/>
      <c r="I9" s="26"/>
      <c r="J9" s="26"/>
      <c r="K9" s="26"/>
      <c r="L9" s="175"/>
    </row>
    <row r="10" spans="1:13" ht="20.25" x14ac:dyDescent="0.3">
      <c r="B10" s="137">
        <v>8</v>
      </c>
      <c r="C10" s="145" t="s">
        <v>122</v>
      </c>
      <c r="D10" s="145" t="s">
        <v>202</v>
      </c>
      <c r="E10" s="170">
        <v>78.199999999999989</v>
      </c>
      <c r="F10" s="172"/>
      <c r="G10" s="137"/>
      <c r="H10" s="26"/>
      <c r="I10" s="26"/>
      <c r="J10" s="26"/>
      <c r="K10" s="26"/>
      <c r="L10" s="175"/>
      <c r="M10" s="165"/>
    </row>
    <row r="11" spans="1:13" x14ac:dyDescent="0.2">
      <c r="B11" s="137">
        <v>9</v>
      </c>
      <c r="C11" s="26"/>
      <c r="D11" s="26"/>
      <c r="E11" s="26"/>
      <c r="F11" s="26"/>
      <c r="G11" s="26"/>
      <c r="H11" s="26"/>
      <c r="I11" s="26"/>
      <c r="J11" s="26"/>
      <c r="K11" s="26"/>
      <c r="L11" s="26"/>
    </row>
    <row r="12" spans="1:13" ht="20.25" x14ac:dyDescent="0.3">
      <c r="B12" s="137">
        <v>10</v>
      </c>
      <c r="C12" s="26"/>
      <c r="D12" s="26"/>
      <c r="E12" s="26"/>
      <c r="F12" s="26"/>
      <c r="G12" s="26"/>
      <c r="H12" s="26"/>
      <c r="I12" s="26"/>
      <c r="J12" s="26"/>
      <c r="K12" s="26"/>
      <c r="L12" s="26"/>
      <c r="M12" s="165"/>
    </row>
    <row r="13" spans="1:13" x14ac:dyDescent="0.2">
      <c r="B13" s="137">
        <v>11</v>
      </c>
      <c r="C13" s="26"/>
      <c r="D13" s="26"/>
      <c r="E13" s="26"/>
      <c r="F13" s="26"/>
      <c r="G13" s="26"/>
      <c r="H13" s="26"/>
      <c r="I13" s="26"/>
      <c r="J13" s="26"/>
      <c r="K13" s="26"/>
      <c r="L13" s="26"/>
    </row>
    <row r="14" spans="1:13" ht="20.25" x14ac:dyDescent="0.3">
      <c r="M14" s="165"/>
    </row>
    <row r="15" spans="1:13" ht="24" customHeight="1" x14ac:dyDescent="0.2">
      <c r="A15" s="176">
        <v>2.5</v>
      </c>
      <c r="B15" s="177" t="s">
        <v>203</v>
      </c>
      <c r="C15" s="178" t="s">
        <v>204</v>
      </c>
      <c r="D15" s="179"/>
      <c r="E15" s="179"/>
      <c r="H15" s="44"/>
    </row>
    <row r="16" spans="1:13" ht="39.75" customHeight="1" x14ac:dyDescent="0.3">
      <c r="B16" s="180"/>
      <c r="C16" s="181" t="s">
        <v>205</v>
      </c>
      <c r="D16" s="421">
        <f>MAX(E4:E10)</f>
        <v>810</v>
      </c>
      <c r="E16" s="422" t="s">
        <v>459</v>
      </c>
      <c r="F16" s="182"/>
      <c r="G16" s="182"/>
      <c r="H16" s="182"/>
      <c r="I16" s="182"/>
      <c r="J16" s="182"/>
      <c r="K16" s="182"/>
      <c r="L16" s="111"/>
      <c r="M16" s="165"/>
    </row>
    <row r="17" spans="1:13" ht="20.25" customHeight="1" x14ac:dyDescent="0.2">
      <c r="A17" s="176">
        <v>2.5</v>
      </c>
      <c r="B17" s="177" t="s">
        <v>206</v>
      </c>
      <c r="C17" s="178" t="s">
        <v>207</v>
      </c>
    </row>
    <row r="18" spans="1:13" ht="8.25" customHeight="1" x14ac:dyDescent="0.2">
      <c r="B18" s="183"/>
    </row>
    <row r="19" spans="1:13" ht="36" customHeight="1" x14ac:dyDescent="0.2">
      <c r="B19" s="183"/>
      <c r="C19" s="184" t="s">
        <v>208</v>
      </c>
      <c r="D19" s="421">
        <f>ROUND(MEDIAN(E4:E10),0)</f>
        <v>276</v>
      </c>
      <c r="E19" s="422" t="s">
        <v>460</v>
      </c>
      <c r="F19" s="182"/>
      <c r="G19" s="182"/>
      <c r="H19" s="182"/>
      <c r="I19" s="182"/>
      <c r="J19" s="182"/>
      <c r="K19" s="182"/>
      <c r="L19" s="111"/>
    </row>
    <row r="20" spans="1:13" ht="21.75" customHeight="1" x14ac:dyDescent="0.2">
      <c r="A20" s="176">
        <v>2.5</v>
      </c>
      <c r="B20" s="177" t="s">
        <v>209</v>
      </c>
      <c r="C20" s="178" t="s">
        <v>210</v>
      </c>
      <c r="D20" s="179"/>
      <c r="E20" s="179"/>
      <c r="F20" s="179"/>
      <c r="G20" s="179"/>
    </row>
    <row r="21" spans="1:13" ht="36.75" customHeight="1" x14ac:dyDescent="0.2">
      <c r="B21" s="183"/>
      <c r="C21" s="181" t="s">
        <v>211</v>
      </c>
      <c r="D21" s="423">
        <f>SUMIF(C4:C10,"=Sul",E4:E10)</f>
        <v>1368.9</v>
      </c>
      <c r="E21" s="422" t="s">
        <v>461</v>
      </c>
      <c r="F21" s="182"/>
      <c r="G21" s="182"/>
      <c r="H21" s="182"/>
      <c r="I21" s="182"/>
      <c r="J21" s="182"/>
      <c r="K21" s="182"/>
      <c r="L21" s="111"/>
    </row>
    <row r="22" spans="1:13" ht="20.25" customHeight="1" x14ac:dyDescent="0.2">
      <c r="A22" s="176">
        <v>2.5</v>
      </c>
      <c r="B22" s="177" t="s">
        <v>212</v>
      </c>
      <c r="C22" s="185" t="s">
        <v>213</v>
      </c>
      <c r="D22" s="179"/>
      <c r="E22" s="179"/>
    </row>
    <row r="23" spans="1:13" ht="35.25" customHeight="1" x14ac:dyDescent="0.2">
      <c r="B23" s="183"/>
      <c r="C23" s="181" t="s">
        <v>214</v>
      </c>
      <c r="D23" s="182">
        <f>COUNTIF(C4:C10,"=Sul")+COUNTIF(C4:C10,"=Centro")</f>
        <v>5</v>
      </c>
      <c r="E23" s="422" t="s">
        <v>462</v>
      </c>
      <c r="F23" s="182"/>
      <c r="G23" s="182"/>
      <c r="H23" s="182"/>
      <c r="I23" s="182"/>
      <c r="J23" s="182"/>
      <c r="K23" s="182"/>
      <c r="L23" s="111"/>
    </row>
    <row r="24" spans="1:13" ht="27.75" customHeight="1" x14ac:dyDescent="0.2">
      <c r="A24" s="176">
        <v>2.5</v>
      </c>
      <c r="B24" s="177" t="s">
        <v>215</v>
      </c>
      <c r="C24" s="459" t="s">
        <v>456</v>
      </c>
      <c r="D24" s="459"/>
      <c r="E24" s="459"/>
      <c r="F24" s="459"/>
      <c r="G24" s="459"/>
      <c r="H24" s="459"/>
      <c r="I24" s="459"/>
      <c r="J24" s="459"/>
      <c r="K24" s="459"/>
      <c r="L24" s="459"/>
      <c r="M24" s="319" t="s">
        <v>455</v>
      </c>
    </row>
    <row r="25" spans="1:13" ht="18.75" customHeight="1" x14ac:dyDescent="0.2">
      <c r="B25" s="186"/>
      <c r="C25" s="179"/>
    </row>
    <row r="26" spans="1:13" ht="32.25" customHeight="1" x14ac:dyDescent="0.2">
      <c r="B26" s="183"/>
      <c r="C26" s="181" t="s">
        <v>216</v>
      </c>
      <c r="D26" s="182" t="str">
        <f>IF(E4&gt;D19,"X"," ")</f>
        <v>X</v>
      </c>
      <c r="E26" s="422" t="s">
        <v>463</v>
      </c>
      <c r="F26" s="182"/>
      <c r="G26" s="182"/>
      <c r="H26" s="182"/>
      <c r="I26" s="182"/>
      <c r="J26" s="182"/>
      <c r="K26" s="182"/>
      <c r="L26" s="111"/>
    </row>
    <row r="27" spans="1:13" ht="30.75" customHeight="1" x14ac:dyDescent="0.2">
      <c r="A27" s="176">
        <v>2.5</v>
      </c>
      <c r="B27" s="177" t="s">
        <v>217</v>
      </c>
      <c r="C27" s="460" t="s">
        <v>218</v>
      </c>
      <c r="D27" s="461"/>
      <c r="E27" s="461"/>
      <c r="F27" s="461"/>
      <c r="G27" s="461"/>
      <c r="H27" s="461"/>
      <c r="I27" s="461"/>
      <c r="J27" s="461"/>
      <c r="K27" s="461"/>
      <c r="L27" s="461"/>
    </row>
    <row r="28" spans="1:13" ht="34.5" customHeight="1" x14ac:dyDescent="0.2">
      <c r="B28" s="183"/>
      <c r="C28" s="181" t="s">
        <v>219</v>
      </c>
      <c r="D28" s="182"/>
      <c r="E28" s="182"/>
      <c r="F28" s="182"/>
      <c r="G28" s="182"/>
      <c r="H28" s="182"/>
      <c r="I28" s="182"/>
      <c r="J28" s="182"/>
      <c r="K28" s="182"/>
      <c r="L28" s="111"/>
    </row>
    <row r="30" spans="1:13" x14ac:dyDescent="0.2">
      <c r="A30" s="462"/>
      <c r="B30" s="462"/>
      <c r="C30" s="462"/>
    </row>
  </sheetData>
  <mergeCells count="3">
    <mergeCell ref="C24:L24"/>
    <mergeCell ref="C27:L27"/>
    <mergeCell ref="A30:C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12</vt:i4>
      </vt:variant>
    </vt:vector>
  </HeadingPairs>
  <TitlesOfParts>
    <vt:vector size="12" baseType="lpstr">
      <vt:lpstr>Planeamento</vt:lpstr>
      <vt:lpstr>A folha</vt:lpstr>
      <vt:lpstr>Cursor</vt:lpstr>
      <vt:lpstr>Calculo</vt:lpstr>
      <vt:lpstr>contar_somar</vt:lpstr>
      <vt:lpstr>Médias</vt:lpstr>
      <vt:lpstr>Arredondamento</vt:lpstr>
      <vt:lpstr>Ordem</vt:lpstr>
      <vt:lpstr>Teste1</vt:lpstr>
      <vt:lpstr>Teste2</vt:lpstr>
      <vt:lpstr>Teste3</vt:lpstr>
      <vt:lpstr>Teste4</vt:lpstr>
    </vt:vector>
  </TitlesOfParts>
  <Company>ISCTE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IG</dc:title>
  <dc:creator>Bráulio Alturas</dc:creator>
  <cp:lastModifiedBy>Tiago Saraiva</cp:lastModifiedBy>
  <cp:lastPrinted>2011-09-20T18:46:14Z</cp:lastPrinted>
  <dcterms:created xsi:type="dcterms:W3CDTF">2008-07-17T16:24:18Z</dcterms:created>
  <dcterms:modified xsi:type="dcterms:W3CDTF">2014-03-16T13:30:07Z</dcterms:modified>
</cp:coreProperties>
</file>