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" sheetId="1" r:id="rId4"/>
    <sheet state="visible" name="Merger model" sheetId="2" r:id="rId5"/>
    <sheet state="visible" name="Quick &amp; dirty rule" sheetId="3" r:id="rId6"/>
  </sheets>
  <definedNames/>
  <calcPr/>
  <extLst>
    <ext uri="GoogleSheetsCustomDataVersion2">
      <go:sheetsCustomData xmlns:go="http://customooxmlschemas.google.com/" r:id="rId7" roundtripDataChecksum="AlHAGIJrdP7Aj/5OI/yP8no+3Z7N7ilYjj3BTnILWt4="/>
    </ext>
  </extLst>
</workbook>
</file>

<file path=xl/sharedStrings.xml><?xml version="1.0" encoding="utf-8"?>
<sst xmlns="http://schemas.openxmlformats.org/spreadsheetml/2006/main" count="75" uniqueCount="60">
  <si>
    <t>Particulars</t>
  </si>
  <si>
    <t>Acquirer</t>
  </si>
  <si>
    <t>Target</t>
  </si>
  <si>
    <t>Sales (in INR million)</t>
  </si>
  <si>
    <t>Less: COGS</t>
  </si>
  <si>
    <t>Gross profit</t>
  </si>
  <si>
    <t>Less:Operating expenses</t>
  </si>
  <si>
    <t>Selling general &amp; admin</t>
  </si>
  <si>
    <t>EBITDA</t>
  </si>
  <si>
    <t>Less:D&amp;A</t>
  </si>
  <si>
    <t>EBIT</t>
  </si>
  <si>
    <t>Less:Interest expenses</t>
  </si>
  <si>
    <t>Add:Other income</t>
  </si>
  <si>
    <t xml:space="preserve">EBT </t>
  </si>
  <si>
    <t>Less: Income tax</t>
  </si>
  <si>
    <t>Net income</t>
  </si>
  <si>
    <t>Diluted shares outstanding</t>
  </si>
  <si>
    <t>Tax rates</t>
  </si>
  <si>
    <t>Current market price</t>
  </si>
  <si>
    <t xml:space="preserve">Market Cap </t>
  </si>
  <si>
    <t>Current rate of interest</t>
  </si>
  <si>
    <t>Current rate of borrowing</t>
  </si>
  <si>
    <t>Sources of Funds</t>
  </si>
  <si>
    <t>%</t>
  </si>
  <si>
    <t xml:space="preserve">Cash </t>
  </si>
  <si>
    <t xml:space="preserve">Debt </t>
  </si>
  <si>
    <t xml:space="preserve">Acquirer's stock </t>
  </si>
  <si>
    <t>Cost of funds</t>
  </si>
  <si>
    <t>Pre tax</t>
  </si>
  <si>
    <t>Post tax</t>
  </si>
  <si>
    <t>Pay/Borrow</t>
  </si>
  <si>
    <t>Int/Borrow</t>
  </si>
  <si>
    <t>Premium</t>
  </si>
  <si>
    <t>Share price acquirer</t>
  </si>
  <si>
    <t>Acquisition price of target</t>
  </si>
  <si>
    <t>Acquisition value (INR in millions)</t>
  </si>
  <si>
    <t>Cash used (INR in millions)</t>
  </si>
  <si>
    <t>Debt used (INR in millions)</t>
  </si>
  <si>
    <t>Shares used</t>
  </si>
  <si>
    <t>No. Shares issued by acquirer (in millions)</t>
  </si>
  <si>
    <t>Pre merger Income of acquirer</t>
  </si>
  <si>
    <t xml:space="preserve">Shares outstanding of acquirer </t>
  </si>
  <si>
    <t>EPS of acquirer standalone</t>
  </si>
  <si>
    <t>Post merger EPS calculation</t>
  </si>
  <si>
    <t>Sales (INR in millions)</t>
  </si>
  <si>
    <t>Less:Interest on debt</t>
  </si>
  <si>
    <t>Less: Interest foregone</t>
  </si>
  <si>
    <t xml:space="preserve">PBT </t>
  </si>
  <si>
    <t>Outstanding Diluted shares of combined company</t>
  </si>
  <si>
    <t>EPS of combined company</t>
  </si>
  <si>
    <t>Accretive/Dilutive</t>
  </si>
  <si>
    <t>Accretion/Dilution</t>
  </si>
  <si>
    <t>Accretion/Dilution (%)</t>
  </si>
  <si>
    <t>Cases</t>
  </si>
  <si>
    <t xml:space="preserve">After tax cost </t>
  </si>
  <si>
    <t>Yield of acquirer</t>
  </si>
  <si>
    <t>Weighted average cost of funds</t>
  </si>
  <si>
    <t>Yield of target</t>
  </si>
  <si>
    <t>Accretive or dilutive</t>
  </si>
  <si>
    <t>Meger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</si>
</sst>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 * #,##0_ ;_ * \-#,##0_ ;_ * &quot;-&quot;??_ ;_ @_ "/>
    <numFmt numFmtId="165" formatCode="_ * #,##0.00_ ;_ * \-#,##0.00_ ;_ * &quot;-&quot;??_ ;_ @_ "/>
    <numFmt numFmtId="166" formatCode="0.0%"/>
    <numFmt numFmtId="167" formatCode="0\ &quot;shares&quot;"/>
    <numFmt numFmtId="168" formatCode="0.00000000000%"/>
    <numFmt numFmtId="169" formatCode="_ * #,##0.000_ ;_ * \-#,##0.000_ ;_ * &quot;-&quot;??_ ;_ @_ "/>
    <numFmt numFmtId="170" formatCode="_ * #,##0.00000_ ;_ * \-#,##0.00000_ ;_ * &quot;-&quot;??_ ;_ @_ "/>
    <numFmt numFmtId="171" formatCode="_ * #,##0.0000_ ;_ * \-#,##0.0000_ ;_ * &quot;-&quot;??_ ;_ @_ "/>
    <numFmt numFmtId="172" formatCode="0.00000%"/>
    <numFmt numFmtId="173" formatCode="_ * #,##0.0_ ;_ * \-#,##0.0_ ;_ * &quot;-&quot;??_ ;_ @_ "/>
  </numFmts>
  <fonts count="9">
    <font>
      <sz val="11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theme="0"/>
      <name val="Calibri"/>
    </font>
    <font>
      <color theme="1"/>
      <name val="Calibri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</fills>
  <borders count="2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3" numFmtId="0" xfId="0" applyFont="1"/>
    <xf borderId="0" fillId="0" fontId="2" numFmtId="0" xfId="0" applyFont="1"/>
    <xf borderId="0" fillId="0" fontId="4" numFmtId="0" xfId="0" applyFont="1"/>
    <xf borderId="0" fillId="0" fontId="4" numFmtId="164" xfId="0" applyAlignment="1" applyFont="1" applyNumberFormat="1">
      <alignment horizontal="right"/>
    </xf>
    <xf borderId="0" fillId="0" fontId="5" numFmtId="0" xfId="0" applyFont="1"/>
    <xf borderId="0" fillId="0" fontId="3" numFmtId="165" xfId="0" applyFont="1" applyNumberFormat="1"/>
    <xf borderId="0" fillId="0" fontId="3" numFmtId="10" xfId="0" applyFont="1" applyNumberFormat="1"/>
    <xf borderId="0" fillId="0" fontId="2" numFmtId="164" xfId="0" applyAlignment="1" applyFont="1" applyNumberFormat="1">
      <alignment horizontal="right"/>
    </xf>
    <xf borderId="1" fillId="3" fontId="2" numFmtId="10" xfId="0" applyAlignment="1" applyBorder="1" applyFill="1" applyFont="1" applyNumberFormat="1">
      <alignment horizontal="right"/>
    </xf>
    <xf borderId="1" fillId="3" fontId="2" numFmtId="164" xfId="0" applyAlignment="1" applyBorder="1" applyFont="1" applyNumberFormat="1">
      <alignment horizontal="right" readingOrder="0"/>
    </xf>
    <xf borderId="0" fillId="0" fontId="3" numFmtId="164" xfId="0" applyFont="1" applyNumberFormat="1"/>
    <xf borderId="0" fillId="0" fontId="2" numFmtId="10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2" fontId="6" numFmtId="0" xfId="0" applyBorder="1" applyFont="1"/>
    <xf borderId="1" fillId="2" fontId="6" numFmtId="0" xfId="0" applyAlignment="1" applyBorder="1" applyFont="1">
      <alignment horizontal="center"/>
    </xf>
    <xf borderId="0" fillId="0" fontId="2" numFmtId="10" xfId="0" applyFont="1" applyNumberFormat="1"/>
    <xf borderId="0" fillId="0" fontId="2" numFmtId="166" xfId="0" applyFont="1" applyNumberFormat="1"/>
    <xf borderId="0" fillId="0" fontId="7" numFmtId="0" xfId="0" applyFont="1"/>
    <xf borderId="0" fillId="0" fontId="2" numFmtId="10" xfId="0" applyAlignment="1" applyFont="1" applyNumberFormat="1">
      <alignment readingOrder="0"/>
    </xf>
    <xf borderId="0" fillId="0" fontId="2" numFmtId="167" xfId="0" applyFont="1" applyNumberFormat="1"/>
    <xf borderId="0" fillId="0" fontId="2" numFmtId="168" xfId="0" applyFont="1" applyNumberFormat="1"/>
    <xf borderId="2" fillId="2" fontId="1" numFmtId="0" xfId="0" applyBorder="1" applyFont="1"/>
    <xf borderId="3" fillId="2" fontId="6" numFmtId="0" xfId="0" applyBorder="1" applyFont="1"/>
    <xf borderId="4" fillId="2" fontId="1" numFmtId="0" xfId="0" applyAlignment="1" applyBorder="1" applyFont="1">
      <alignment horizontal="center"/>
    </xf>
    <xf borderId="5" fillId="0" fontId="8" numFmtId="0" xfId="0" applyBorder="1" applyFont="1"/>
    <xf borderId="6" fillId="0" fontId="8" numFmtId="0" xfId="0" applyBorder="1" applyFont="1"/>
    <xf borderId="7" fillId="2" fontId="1" numFmtId="0" xfId="0" applyBorder="1" applyFont="1"/>
    <xf borderId="1" fillId="2" fontId="1" numFmtId="9" xfId="0" applyAlignment="1" applyBorder="1" applyFont="1" applyNumberFormat="1">
      <alignment horizontal="right"/>
    </xf>
    <xf borderId="8" fillId="2" fontId="1" numFmtId="9" xfId="0" applyAlignment="1" applyBorder="1" applyFont="1" applyNumberFormat="1">
      <alignment horizontal="right"/>
    </xf>
    <xf borderId="9" fillId="0" fontId="2" numFmtId="0" xfId="0" applyBorder="1" applyFont="1"/>
    <xf borderId="10" fillId="0" fontId="2" numFmtId="0" xfId="0" applyBorder="1" applyFont="1"/>
    <xf borderId="10" fillId="0" fontId="2" numFmtId="165" xfId="0" applyAlignment="1" applyBorder="1" applyFont="1" applyNumberFormat="1">
      <alignment horizontal="right"/>
    </xf>
    <xf borderId="11" fillId="0" fontId="2" numFmtId="165" xfId="0" applyAlignment="1" applyBorder="1" applyFont="1" applyNumberFormat="1">
      <alignment horizontal="right"/>
    </xf>
    <xf borderId="12" fillId="0" fontId="2" numFmtId="0" xfId="0" applyBorder="1" applyFont="1"/>
    <xf borderId="0" fillId="0" fontId="2" numFmtId="165" xfId="0" applyAlignment="1" applyFont="1" applyNumberFormat="1">
      <alignment horizontal="right"/>
    </xf>
    <xf borderId="13" fillId="0" fontId="2" numFmtId="165" xfId="0" applyAlignment="1" applyBorder="1" applyFont="1" applyNumberFormat="1">
      <alignment horizontal="right"/>
    </xf>
    <xf borderId="13" fillId="0" fontId="2" numFmtId="0" xfId="0" applyAlignment="1" applyBorder="1" applyFont="1">
      <alignment horizontal="right"/>
    </xf>
    <xf borderId="12" fillId="0" fontId="2" numFmtId="0" xfId="0" applyAlignment="1" applyBorder="1" applyFont="1">
      <alignment readingOrder="0"/>
    </xf>
    <xf borderId="13" fillId="0" fontId="2" numFmtId="164" xfId="0" applyAlignment="1" applyBorder="1" applyFont="1" applyNumberFormat="1">
      <alignment horizontal="right"/>
    </xf>
    <xf borderId="14" fillId="0" fontId="2" numFmtId="0" xfId="0" applyAlignment="1" applyBorder="1" applyFont="1">
      <alignment readingOrder="0"/>
    </xf>
    <xf borderId="15" fillId="0" fontId="2" numFmtId="0" xfId="0" applyBorder="1" applyFont="1"/>
    <xf borderId="15" fillId="0" fontId="2" numFmtId="164" xfId="0" applyAlignment="1" applyBorder="1" applyFont="1" applyNumberFormat="1">
      <alignment horizontal="right"/>
    </xf>
    <xf borderId="16" fillId="0" fontId="2" numFmtId="164" xfId="0" applyAlignment="1" applyBorder="1" applyFont="1" applyNumberFormat="1">
      <alignment horizontal="right"/>
    </xf>
    <xf borderId="0" fillId="0" fontId="1" numFmtId="0" xfId="0" applyFont="1"/>
    <xf borderId="0" fillId="0" fontId="1" numFmtId="9" xfId="0" applyAlignment="1" applyFont="1" applyNumberFormat="1">
      <alignment horizontal="right"/>
    </xf>
    <xf borderId="9" fillId="0" fontId="4" numFmtId="0" xfId="0" applyBorder="1" applyFont="1"/>
    <xf borderId="10" fillId="0" fontId="2" numFmtId="164" xfId="0" applyAlignment="1" applyBorder="1" applyFont="1" applyNumberFormat="1">
      <alignment horizontal="right"/>
    </xf>
    <xf borderId="11" fillId="0" fontId="2" numFmtId="164" xfId="0" applyAlignment="1" applyBorder="1" applyFont="1" applyNumberFormat="1">
      <alignment horizontal="right"/>
    </xf>
    <xf borderId="14" fillId="0" fontId="4" numFmtId="0" xfId="0" applyBorder="1" applyFont="1"/>
    <xf borderId="15" fillId="0" fontId="4" numFmtId="0" xfId="0" applyBorder="1" applyFont="1"/>
    <xf borderId="15" fillId="0" fontId="4" numFmtId="2" xfId="0" applyAlignment="1" applyBorder="1" applyFont="1" applyNumberFormat="1">
      <alignment horizontal="right"/>
    </xf>
    <xf borderId="0" fillId="0" fontId="4" numFmtId="165" xfId="0" applyAlignment="1" applyFont="1" applyNumberFormat="1">
      <alignment horizontal="right"/>
    </xf>
    <xf borderId="0" fillId="0" fontId="6" numFmtId="0" xfId="0" applyFont="1"/>
    <xf borderId="10" fillId="0" fontId="6" numFmtId="0" xfId="0" applyBorder="1" applyFont="1"/>
    <xf borderId="10" fillId="0" fontId="1" numFmtId="9" xfId="0" applyAlignment="1" applyBorder="1" applyFont="1" applyNumberFormat="1">
      <alignment horizontal="right"/>
    </xf>
    <xf borderId="11" fillId="0" fontId="1" numFmtId="9" xfId="0" applyAlignment="1" applyBorder="1" applyFont="1" applyNumberFormat="1">
      <alignment horizontal="right"/>
    </xf>
    <xf borderId="12" fillId="0" fontId="4" numFmtId="0" xfId="0" applyBorder="1" applyFont="1"/>
    <xf borderId="13" fillId="0" fontId="4" numFmtId="164" xfId="0" applyAlignment="1" applyBorder="1" applyFont="1" applyNumberFormat="1">
      <alignment horizontal="right"/>
    </xf>
    <xf borderId="0" fillId="0" fontId="4" numFmtId="9" xfId="0" applyAlignment="1" applyFont="1" applyNumberFormat="1">
      <alignment horizontal="right"/>
    </xf>
    <xf borderId="13" fillId="0" fontId="4" numFmtId="9" xfId="0" applyAlignment="1" applyBorder="1" applyFont="1" applyNumberFormat="1">
      <alignment horizontal="right"/>
    </xf>
    <xf borderId="17" fillId="0" fontId="4" numFmtId="0" xfId="0" applyBorder="1" applyFont="1"/>
    <xf borderId="18" fillId="0" fontId="4" numFmtId="0" xfId="0" applyBorder="1" applyFont="1"/>
    <xf borderId="18" fillId="0" fontId="4" numFmtId="164" xfId="0" applyAlignment="1" applyBorder="1" applyFont="1" applyNumberFormat="1">
      <alignment horizontal="right"/>
    </xf>
    <xf borderId="19" fillId="0" fontId="4" numFmtId="164" xfId="0" applyAlignment="1" applyBorder="1" applyFont="1" applyNumberFormat="1">
      <alignment horizontal="right"/>
    </xf>
    <xf borderId="10" fillId="0" fontId="4" numFmtId="0" xfId="0" applyBorder="1" applyFont="1"/>
    <xf borderId="10" fillId="0" fontId="4" numFmtId="164" xfId="0" applyAlignment="1" applyBorder="1" applyFont="1" applyNumberFormat="1">
      <alignment horizontal="right"/>
    </xf>
    <xf borderId="11" fillId="0" fontId="4" numFmtId="164" xfId="0" applyAlignment="1" applyBorder="1" applyFont="1" applyNumberFormat="1">
      <alignment horizontal="right"/>
    </xf>
    <xf borderId="12" fillId="0" fontId="4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0" fillId="0" fontId="4" numFmtId="169" xfId="0" applyAlignment="1" applyFont="1" applyNumberFormat="1">
      <alignment horizontal="right"/>
    </xf>
    <xf borderId="0" fillId="0" fontId="4" numFmtId="169" xfId="0" applyFont="1" applyNumberFormat="1"/>
    <xf borderId="0" fillId="0" fontId="4" numFmtId="170" xfId="0" applyFont="1" applyNumberFormat="1"/>
    <xf borderId="13" fillId="0" fontId="4" numFmtId="169" xfId="0" applyBorder="1" applyFont="1" applyNumberFormat="1"/>
    <xf borderId="13" fillId="0" fontId="4" numFmtId="0" xfId="0" applyBorder="1" applyFont="1"/>
    <xf borderId="12" fillId="0" fontId="4" numFmtId="165" xfId="0" applyBorder="1" applyFont="1" applyNumberFormat="1"/>
    <xf borderId="13" fillId="0" fontId="4" numFmtId="165" xfId="0" applyAlignment="1" applyBorder="1" applyFont="1" applyNumberFormat="1">
      <alignment horizontal="right"/>
    </xf>
    <xf borderId="0" fillId="0" fontId="4" numFmtId="171" xfId="0" applyAlignment="1" applyFont="1" applyNumberFormat="1">
      <alignment horizontal="right"/>
    </xf>
    <xf borderId="13" fillId="0" fontId="4" numFmtId="171" xfId="0" applyAlignment="1" applyBorder="1" applyFont="1" applyNumberFormat="1">
      <alignment horizontal="right"/>
    </xf>
    <xf borderId="0" fillId="0" fontId="2" numFmtId="166" xfId="0" applyAlignment="1" applyFont="1" applyNumberFormat="1">
      <alignment horizontal="right"/>
    </xf>
    <xf borderId="13" fillId="0" fontId="2" numFmtId="166" xfId="0" applyAlignment="1" applyBorder="1" applyFont="1" applyNumberFormat="1">
      <alignment horizontal="right"/>
    </xf>
    <xf borderId="14" fillId="0" fontId="4" numFmtId="165" xfId="0" applyBorder="1" applyFont="1" applyNumberFormat="1"/>
    <xf borderId="15" fillId="0" fontId="2" numFmtId="0" xfId="0" applyAlignment="1" applyBorder="1" applyFont="1">
      <alignment horizontal="right"/>
    </xf>
    <xf borderId="16" fillId="0" fontId="2" numFmtId="0" xfId="0" applyAlignment="1" applyBorder="1" applyFont="1">
      <alignment horizontal="right"/>
    </xf>
    <xf borderId="1" fillId="2" fontId="1" numFmtId="166" xfId="0" applyAlignment="1" applyBorder="1" applyFont="1" applyNumberFormat="1">
      <alignment horizontal="right"/>
    </xf>
    <xf borderId="8" fillId="2" fontId="1" numFmtId="166" xfId="0" applyAlignment="1" applyBorder="1" applyFont="1" applyNumberFormat="1">
      <alignment horizontal="right"/>
    </xf>
    <xf borderId="10" fillId="0" fontId="2" numFmtId="0" xfId="0" applyAlignment="1" applyBorder="1" applyFont="1">
      <alignment horizontal="right"/>
    </xf>
    <xf borderId="11" fillId="0" fontId="2" numFmtId="0" xfId="0" applyAlignment="1" applyBorder="1" applyFont="1">
      <alignment horizontal="right"/>
    </xf>
    <xf borderId="13" fillId="0" fontId="2" numFmtId="10" xfId="0" applyAlignment="1" applyBorder="1" applyFont="1" applyNumberFormat="1">
      <alignment horizontal="right"/>
    </xf>
    <xf borderId="18" fillId="0" fontId="4" numFmtId="10" xfId="0" applyAlignment="1" applyBorder="1" applyFont="1" applyNumberFormat="1">
      <alignment horizontal="right"/>
    </xf>
    <xf borderId="18" fillId="0" fontId="4" numFmtId="172" xfId="0" applyAlignment="1" applyBorder="1" applyFont="1" applyNumberFormat="1">
      <alignment horizontal="right"/>
    </xf>
    <xf borderId="19" fillId="0" fontId="4" numFmtId="10" xfId="0" applyAlignment="1" applyBorder="1" applyFont="1" applyNumberFormat="1">
      <alignment horizontal="right"/>
    </xf>
    <xf borderId="12" fillId="0" fontId="3" numFmtId="0" xfId="0" applyBorder="1" applyFont="1"/>
    <xf borderId="13" fillId="0" fontId="3" numFmtId="0" xfId="0" applyBorder="1" applyFont="1"/>
    <xf borderId="12" fillId="0" fontId="4" numFmtId="10" xfId="0" applyBorder="1" applyFont="1" applyNumberFormat="1"/>
    <xf borderId="0" fillId="0" fontId="5" numFmtId="10" xfId="0" applyFont="1" applyNumberFormat="1"/>
    <xf borderId="13" fillId="0" fontId="5" numFmtId="10" xfId="0" applyBorder="1" applyFont="1" applyNumberFormat="1"/>
    <xf borderId="0" fillId="0" fontId="5" numFmtId="165" xfId="0" applyFont="1" applyNumberFormat="1"/>
    <xf borderId="13" fillId="0" fontId="5" numFmtId="165" xfId="0" applyBorder="1" applyFont="1" applyNumberFormat="1"/>
    <xf borderId="17" fillId="4" fontId="4" numFmtId="0" xfId="0" applyBorder="1" applyFill="1" applyFont="1"/>
    <xf borderId="20" fillId="4" fontId="4" numFmtId="0" xfId="0" applyBorder="1" applyFont="1"/>
    <xf borderId="20" fillId="4" fontId="4" numFmtId="173" xfId="0" applyAlignment="1" applyBorder="1" applyFont="1" applyNumberFormat="1">
      <alignment horizontal="right"/>
    </xf>
    <xf borderId="21" fillId="4" fontId="4" numFmtId="173" xfId="0" applyAlignment="1" applyBorder="1" applyFont="1" applyNumberFormat="1">
      <alignment horizontal="right"/>
    </xf>
    <xf borderId="0" fillId="0" fontId="3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6.71"/>
    <col customWidth="1" min="3" max="3" width="17.14"/>
    <col customWidth="1" min="4" max="5" width="8.71"/>
    <col customWidth="1" min="6" max="6" width="12.29"/>
    <col customWidth="1" min="7" max="7" width="11.29"/>
    <col customWidth="1" min="8" max="8" width="10.57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523060.0</v>
      </c>
      <c r="C2" s="4">
        <v>141356.0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6" t="s">
        <v>4</v>
      </c>
      <c r="B3" s="4">
        <v>299480.0</v>
      </c>
      <c r="C3" s="4">
        <v>104401.0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 t="s">
        <v>5</v>
      </c>
      <c r="B4" s="8">
        <f t="shared" ref="B4:C4" si="1">B2-B3</f>
        <v>223580</v>
      </c>
      <c r="C4" s="8">
        <f t="shared" si="1"/>
        <v>36955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6" t="s">
        <v>6</v>
      </c>
      <c r="B5" s="4">
        <v>0.0</v>
      </c>
      <c r="C5" s="4">
        <v>67.0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6" t="s">
        <v>7</v>
      </c>
      <c r="B6" s="4">
        <v>105420.0</v>
      </c>
      <c r="C6" s="4">
        <v>16482.0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7" t="s">
        <v>8</v>
      </c>
      <c r="B7" s="8">
        <f t="shared" ref="B7:C7" si="2">B4-B6-B5</f>
        <v>118160</v>
      </c>
      <c r="C7" s="8">
        <f t="shared" si="2"/>
        <v>20406</v>
      </c>
      <c r="D7" s="9"/>
      <c r="E7" s="9"/>
      <c r="F7" s="9"/>
      <c r="G7" s="9"/>
      <c r="H7" s="5"/>
      <c r="I7" s="5"/>
      <c r="J7" s="5"/>
      <c r="K7" s="5"/>
      <c r="L7" s="5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6" t="s">
        <v>9</v>
      </c>
      <c r="B8" s="4">
        <v>10910.0</v>
      </c>
      <c r="C8" s="4">
        <v>2003.0</v>
      </c>
      <c r="D8" s="5"/>
      <c r="E8" s="5"/>
      <c r="F8" s="10"/>
      <c r="G8" s="10"/>
      <c r="H8" s="11"/>
      <c r="I8" s="11"/>
      <c r="J8" s="11"/>
      <c r="K8" s="11"/>
      <c r="L8" s="11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7" t="s">
        <v>10</v>
      </c>
      <c r="B9" s="8">
        <f t="shared" ref="B9:C9" si="3">B7-B8</f>
        <v>107250</v>
      </c>
      <c r="C9" s="8">
        <f t="shared" si="3"/>
        <v>18403</v>
      </c>
      <c r="D9" s="5"/>
      <c r="E9" s="5"/>
      <c r="F9" s="5"/>
      <c r="G9" s="5"/>
      <c r="H9" s="11"/>
      <c r="I9" s="11"/>
      <c r="J9" s="11"/>
      <c r="K9" s="11"/>
      <c r="L9" s="11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6" t="s">
        <v>11</v>
      </c>
      <c r="B10" s="4">
        <v>820.0</v>
      </c>
      <c r="C10" s="4">
        <v>1443.0</v>
      </c>
      <c r="D10" s="5"/>
      <c r="E10" s="5"/>
      <c r="F10" s="5"/>
      <c r="G10" s="5"/>
      <c r="H10" s="11"/>
      <c r="I10" s="11"/>
      <c r="J10" s="11"/>
      <c r="K10" s="11"/>
      <c r="L10" s="1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6" t="s">
        <v>12</v>
      </c>
      <c r="B11" s="4">
        <v>3930.0</v>
      </c>
      <c r="C11" s="4">
        <v>3594.0</v>
      </c>
      <c r="D11" s="5"/>
      <c r="E11" s="5"/>
      <c r="F11" s="5"/>
      <c r="G11" s="5"/>
      <c r="H11" s="11"/>
      <c r="I11" s="11"/>
      <c r="J11" s="11"/>
      <c r="K11" s="11"/>
      <c r="L11" s="11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7" t="s">
        <v>13</v>
      </c>
      <c r="B12" s="8">
        <f t="shared" ref="B12:C12" si="4">B9-B10+B11</f>
        <v>110360</v>
      </c>
      <c r="C12" s="8">
        <f t="shared" si="4"/>
        <v>20554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6" t="s">
        <v>14</v>
      </c>
      <c r="B13" s="12">
        <f t="shared" ref="B13:C13" si="5">B12*B17</f>
        <v>27590</v>
      </c>
      <c r="C13" s="12">
        <f t="shared" si="5"/>
        <v>5138.5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7" t="s">
        <v>15</v>
      </c>
      <c r="B14" s="8">
        <f t="shared" ref="B14:C14" si="6">B12-B13</f>
        <v>82770</v>
      </c>
      <c r="C14" s="8">
        <f t="shared" si="6"/>
        <v>15415.5</v>
      </c>
      <c r="G14" s="10"/>
      <c r="H14" s="10"/>
    </row>
    <row r="15" ht="14.25" customHeight="1">
      <c r="A15" s="6"/>
      <c r="B15" s="12"/>
      <c r="C15" s="12"/>
      <c r="G15" s="10"/>
      <c r="H15" s="10"/>
    </row>
    <row r="16" ht="14.25" customHeight="1">
      <c r="A16" s="6" t="s">
        <v>16</v>
      </c>
      <c r="B16" s="4">
        <v>2.35E9</v>
      </c>
      <c r="C16" s="4">
        <v>2.40859375E8</v>
      </c>
    </row>
    <row r="17" ht="14.25" customHeight="1">
      <c r="A17" s="6" t="s">
        <v>17</v>
      </c>
      <c r="B17" s="13">
        <v>0.25</v>
      </c>
      <c r="C17" s="13">
        <v>0.25</v>
      </c>
    </row>
    <row r="18" ht="14.25" customHeight="1">
      <c r="A18" s="6" t="s">
        <v>18</v>
      </c>
      <c r="B18" s="4">
        <v>2578.2</v>
      </c>
      <c r="C18" s="14">
        <v>4606.2</v>
      </c>
    </row>
    <row r="19" ht="14.25" customHeight="1">
      <c r="A19" s="3" t="s">
        <v>19</v>
      </c>
      <c r="B19" s="12">
        <f>B18*B16</f>
        <v>6058770000000</v>
      </c>
      <c r="C19" s="12">
        <f>C18*C14</f>
        <v>71006876.1</v>
      </c>
      <c r="I19" s="15"/>
    </row>
    <row r="20" ht="14.25" customHeight="1">
      <c r="A20" s="6" t="s">
        <v>20</v>
      </c>
      <c r="B20" s="16">
        <v>0.05</v>
      </c>
      <c r="C20" s="17"/>
    </row>
    <row r="21" ht="14.25" customHeight="1">
      <c r="A21" s="6" t="s">
        <v>21</v>
      </c>
      <c r="B21" s="16">
        <v>0.08</v>
      </c>
      <c r="C21" s="17"/>
    </row>
    <row r="22" ht="14.25" customHeight="1"/>
    <row r="23" ht="14.25" customHeight="1">
      <c r="A23" s="1" t="s">
        <v>22</v>
      </c>
      <c r="B23" s="18"/>
      <c r="C23" s="19" t="s">
        <v>23</v>
      </c>
    </row>
    <row r="24" ht="14.25" customHeight="1">
      <c r="A24" s="6" t="s">
        <v>24</v>
      </c>
      <c r="B24" s="6"/>
      <c r="C24" s="20">
        <v>0.2</v>
      </c>
    </row>
    <row r="25" ht="14.25" customHeight="1">
      <c r="A25" s="6" t="s">
        <v>25</v>
      </c>
      <c r="B25" s="6"/>
      <c r="C25" s="20">
        <v>0.5</v>
      </c>
    </row>
    <row r="26" ht="14.25" customHeight="1">
      <c r="A26" s="6" t="s">
        <v>26</v>
      </c>
      <c r="B26" s="6"/>
      <c r="C26" s="20">
        <v>0.3</v>
      </c>
    </row>
    <row r="27" ht="14.25" customHeight="1">
      <c r="A27" s="6"/>
      <c r="B27" s="6"/>
      <c r="C27" s="6"/>
    </row>
    <row r="28" ht="14.25" hidden="1" customHeight="1">
      <c r="A28" s="18" t="s">
        <v>27</v>
      </c>
      <c r="B28" s="18" t="s">
        <v>28</v>
      </c>
      <c r="C28" s="18" t="s">
        <v>29</v>
      </c>
    </row>
    <row r="29" ht="14.25" hidden="1" customHeight="1">
      <c r="A29" s="6" t="s">
        <v>24</v>
      </c>
      <c r="B29" s="20">
        <v>0.05</v>
      </c>
      <c r="C29" s="21">
        <f>B29*(1-B17)</f>
        <v>0.0375</v>
      </c>
      <c r="D29" s="21"/>
      <c r="G29" s="22" t="s">
        <v>30</v>
      </c>
    </row>
    <row r="30" ht="14.25" hidden="1" customHeight="1">
      <c r="A30" s="6" t="s">
        <v>25</v>
      </c>
      <c r="B30" s="23">
        <v>0.0</v>
      </c>
      <c r="C30" s="21">
        <f>B30*(1-B17)</f>
        <v>0</v>
      </c>
      <c r="D30" s="21"/>
      <c r="G30" s="22" t="s">
        <v>31</v>
      </c>
    </row>
    <row r="31" ht="14.25" hidden="1" customHeight="1">
      <c r="A31" s="6" t="s">
        <v>26</v>
      </c>
      <c r="B31" s="24"/>
      <c r="C31" s="25">
        <f>B14/B19</f>
        <v>0.00000001366118866</v>
      </c>
      <c r="D31" s="21"/>
    </row>
    <row r="32" ht="14.25" customHeight="1">
      <c r="A32" s="6"/>
      <c r="C32" s="2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30.71"/>
    <col customWidth="1" min="2" max="2" width="4.71"/>
    <col customWidth="1" min="3" max="3" width="20.57"/>
    <col customWidth="1" min="4" max="4" width="20.0"/>
    <col customWidth="1" min="5" max="5" width="19.57"/>
    <col customWidth="1" min="6" max="6" width="20.14"/>
    <col customWidth="1" min="7" max="7" width="18.86"/>
    <col customWidth="1" min="8" max="26" width="8.71"/>
  </cols>
  <sheetData>
    <row r="1" ht="14.25" customHeight="1">
      <c r="A1" s="26" t="s">
        <v>0</v>
      </c>
      <c r="B1" s="27"/>
      <c r="C1" s="28" t="s">
        <v>32</v>
      </c>
      <c r="D1" s="29"/>
      <c r="E1" s="29"/>
      <c r="F1" s="29"/>
      <c r="G1" s="30"/>
    </row>
    <row r="2" ht="14.25" customHeight="1">
      <c r="A2" s="31" t="str">
        <f>'Quick &amp; dirty rule'!A2</f>
        <v>Cases</v>
      </c>
      <c r="B2" s="1"/>
      <c r="C2" s="32">
        <f>'Quick &amp; dirty rule'!C2</f>
        <v>0.15</v>
      </c>
      <c r="D2" s="32">
        <f>'Quick &amp; dirty rule'!D2</f>
        <v>0.2</v>
      </c>
      <c r="E2" s="32">
        <f>'Quick &amp; dirty rule'!E2</f>
        <v>0.25</v>
      </c>
      <c r="F2" s="32">
        <f>'Quick &amp; dirty rule'!F2</f>
        <v>0.3</v>
      </c>
      <c r="G2" s="33">
        <f>'Quick &amp; dirty rule'!G2</f>
        <v>0.35</v>
      </c>
    </row>
    <row r="3" ht="14.25" customHeight="1">
      <c r="A3" s="34" t="s">
        <v>33</v>
      </c>
      <c r="B3" s="35"/>
      <c r="C3" s="36">
        <f>Assumption!$B$18</f>
        <v>2578.2</v>
      </c>
      <c r="D3" s="36">
        <f>Assumption!$B$18</f>
        <v>2578.2</v>
      </c>
      <c r="E3" s="36">
        <f>Assumption!$B$18</f>
        <v>2578.2</v>
      </c>
      <c r="F3" s="36">
        <f>Assumption!$B$18</f>
        <v>2578.2</v>
      </c>
      <c r="G3" s="37">
        <f>Assumption!$B$18</f>
        <v>2578.2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38" t="s">
        <v>34</v>
      </c>
      <c r="B4" s="6"/>
      <c r="C4" s="39">
        <f>Assumption!$C$18*(1+C2)</f>
        <v>5297.13</v>
      </c>
      <c r="D4" s="39">
        <f>Assumption!$C$18*(1+D2)</f>
        <v>5527.44</v>
      </c>
      <c r="E4" s="39">
        <f>Assumption!$C$18*(1+E2)</f>
        <v>5757.75</v>
      </c>
      <c r="F4" s="39">
        <f>Assumption!$C$18*(1+F2)</f>
        <v>5988.06</v>
      </c>
      <c r="G4" s="40">
        <f>Assumption!$C$18*(1+G2)</f>
        <v>6218.37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38"/>
      <c r="B5" s="6"/>
      <c r="C5" s="17"/>
      <c r="D5" s="17"/>
      <c r="E5" s="17"/>
      <c r="F5" s="17"/>
      <c r="G5" s="4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42" t="s">
        <v>35</v>
      </c>
      <c r="B6" s="6"/>
      <c r="C6" s="12">
        <f>C4*Assumption!$C$16/1000000</f>
        <v>1275863.421</v>
      </c>
      <c r="D6" s="12">
        <f>D4*Assumption!$C$16/1000000</f>
        <v>1331335.744</v>
      </c>
      <c r="E6" s="12">
        <f>E4*Assumption!$C$16/1000000</f>
        <v>1386808.066</v>
      </c>
      <c r="F6" s="12">
        <f>F4*Assumption!$C$16/1000000</f>
        <v>1442280.389</v>
      </c>
      <c r="G6" s="12">
        <f>G4*Assumption!$C$16/1000000</f>
        <v>1497752.712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38"/>
      <c r="B7" s="6"/>
      <c r="C7" s="12"/>
      <c r="D7" s="12"/>
      <c r="E7" s="12"/>
      <c r="F7" s="12"/>
      <c r="G7" s="4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42" t="s">
        <v>36</v>
      </c>
      <c r="B8" s="6"/>
      <c r="C8" s="12">
        <f>C$6*Assumption!$C24</f>
        <v>255172.6842</v>
      </c>
      <c r="D8" s="12">
        <f>D$6*Assumption!$C24</f>
        <v>266267.1488</v>
      </c>
      <c r="E8" s="12">
        <f>E$6*Assumption!$C24</f>
        <v>277361.6133</v>
      </c>
      <c r="F8" s="12">
        <f>F$6*Assumption!$C24</f>
        <v>288456.0778</v>
      </c>
      <c r="G8" s="43">
        <f>G$6*Assumption!$C24</f>
        <v>299550.5423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42" t="s">
        <v>37</v>
      </c>
      <c r="B9" s="6"/>
      <c r="C9" s="12">
        <f>C$6*Assumption!$C25</f>
        <v>637931.7105</v>
      </c>
      <c r="D9" s="12">
        <f>D$6*Assumption!$C25</f>
        <v>665667.8719</v>
      </c>
      <c r="E9" s="12">
        <f>E$6*Assumption!$C25</f>
        <v>693404.0332</v>
      </c>
      <c r="F9" s="12">
        <f>F$6*Assumption!$C25</f>
        <v>721140.1945</v>
      </c>
      <c r="G9" s="43">
        <f>G$6*Assumption!$C25</f>
        <v>748876.3559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38" t="s">
        <v>38</v>
      </c>
      <c r="B10" s="6"/>
      <c r="C10" s="12">
        <f>C$6*Assumption!$C26</f>
        <v>382759.0263</v>
      </c>
      <c r="D10" s="12">
        <f>D$6*Assumption!$C26</f>
        <v>399400.7231</v>
      </c>
      <c r="E10" s="12">
        <f>E$6*Assumption!$C26</f>
        <v>416042.4199</v>
      </c>
      <c r="F10" s="12">
        <f>F$6*Assumption!$C26</f>
        <v>432684.1167</v>
      </c>
      <c r="G10" s="43">
        <f>G$6*Assumption!$C26</f>
        <v>449325.8135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44" t="s">
        <v>39</v>
      </c>
      <c r="B11" s="45"/>
      <c r="C11" s="46">
        <f t="shared" ref="C11:G11" si="1">C10/C3</f>
        <v>148.4597884</v>
      </c>
      <c r="D11" s="46">
        <f t="shared" si="1"/>
        <v>154.9145618</v>
      </c>
      <c r="E11" s="46">
        <f t="shared" si="1"/>
        <v>161.3693352</v>
      </c>
      <c r="F11" s="46">
        <f t="shared" si="1"/>
        <v>167.8241086</v>
      </c>
      <c r="G11" s="47">
        <f t="shared" si="1"/>
        <v>174.278882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48"/>
      <c r="B12" s="48"/>
      <c r="C12" s="49"/>
      <c r="D12" s="49"/>
      <c r="E12" s="49"/>
      <c r="F12" s="49"/>
      <c r="G12" s="49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0" t="s">
        <v>40</v>
      </c>
      <c r="B13" s="35"/>
      <c r="C13" s="51">
        <f>Assumption!$B$14</f>
        <v>82770</v>
      </c>
      <c r="D13" s="51">
        <f>Assumption!$B$14</f>
        <v>82770</v>
      </c>
      <c r="E13" s="51">
        <f>Assumption!$B$14</f>
        <v>82770</v>
      </c>
      <c r="F13" s="51">
        <f>Assumption!$B$14</f>
        <v>82770</v>
      </c>
      <c r="G13" s="52">
        <f>Assumption!$B$14</f>
        <v>82770</v>
      </c>
    </row>
    <row r="14" ht="14.25" customHeight="1">
      <c r="A14" s="38" t="s">
        <v>41</v>
      </c>
      <c r="B14" s="6"/>
      <c r="C14" s="12">
        <f>Assumption!$B$16</f>
        <v>2350000000</v>
      </c>
      <c r="D14" s="12">
        <f>Assumption!$B$16</f>
        <v>2350000000</v>
      </c>
      <c r="E14" s="12">
        <f>Assumption!$B$16</f>
        <v>2350000000</v>
      </c>
      <c r="F14" s="12">
        <f>Assumption!$B$16</f>
        <v>2350000000</v>
      </c>
      <c r="G14" s="43">
        <f>Assumption!$B$16</f>
        <v>2350000000</v>
      </c>
    </row>
    <row r="15" ht="14.25" customHeight="1">
      <c r="A15" s="53" t="s">
        <v>42</v>
      </c>
      <c r="B15" s="54"/>
      <c r="C15" s="55">
        <f t="shared" ref="C15:G15" si="2">(C13/C14)*1000000</f>
        <v>35.2212766</v>
      </c>
      <c r="D15" s="55">
        <f t="shared" si="2"/>
        <v>35.2212766</v>
      </c>
      <c r="E15" s="55">
        <f t="shared" si="2"/>
        <v>35.2212766</v>
      </c>
      <c r="F15" s="55">
        <f t="shared" si="2"/>
        <v>35.2212766</v>
      </c>
      <c r="G15" s="55">
        <f t="shared" si="2"/>
        <v>35.2212766</v>
      </c>
    </row>
    <row r="16" ht="14.25" customHeight="1">
      <c r="A16" s="7"/>
      <c r="B16" s="7"/>
      <c r="C16" s="56"/>
      <c r="D16" s="56"/>
      <c r="E16" s="56"/>
      <c r="F16" s="56"/>
      <c r="G16" s="56"/>
      <c r="H16" s="5"/>
    </row>
    <row r="17" ht="14.25" customHeight="1">
      <c r="A17" s="57"/>
      <c r="B17" s="57"/>
      <c r="C17" s="49"/>
      <c r="D17" s="49"/>
      <c r="E17" s="49"/>
      <c r="F17" s="49"/>
      <c r="G17" s="49"/>
      <c r="H17" s="5"/>
    </row>
    <row r="18" ht="14.25" customHeight="1">
      <c r="A18" s="50" t="s">
        <v>43</v>
      </c>
      <c r="B18" s="58"/>
      <c r="C18" s="59"/>
      <c r="D18" s="59"/>
      <c r="E18" s="59"/>
      <c r="F18" s="59"/>
      <c r="G18" s="60"/>
    </row>
    <row r="19" ht="14.25" customHeight="1">
      <c r="A19" s="42" t="s">
        <v>44</v>
      </c>
      <c r="B19" s="6"/>
      <c r="C19" s="12">
        <f>SUM(Assumption!$B2,Assumption!$C2)</f>
        <v>664416</v>
      </c>
      <c r="D19" s="12">
        <f>SUM(Assumption!$B2,Assumption!$C2)</f>
        <v>664416</v>
      </c>
      <c r="E19" s="12">
        <f>SUM(Assumption!$B2,Assumption!$C2)</f>
        <v>664416</v>
      </c>
      <c r="F19" s="12">
        <f>SUM(Assumption!$B2,Assumption!$C2)</f>
        <v>664416</v>
      </c>
      <c r="G19" s="43">
        <f>SUM(Assumption!$B2,Assumption!$C2)</f>
        <v>664416</v>
      </c>
    </row>
    <row r="20" ht="14.25" customHeight="1">
      <c r="A20" s="38" t="s">
        <v>4</v>
      </c>
      <c r="B20" s="6"/>
      <c r="C20" s="12">
        <f>SUM(Assumption!$B3,Assumption!$C3)</f>
        <v>403881</v>
      </c>
      <c r="D20" s="12">
        <f>SUM(Assumption!$B3,Assumption!$C3)</f>
        <v>403881</v>
      </c>
      <c r="E20" s="12">
        <f>SUM(Assumption!$B3,Assumption!$C3)</f>
        <v>403881</v>
      </c>
      <c r="F20" s="12">
        <f>SUM(Assumption!$B3,Assumption!$C3)</f>
        <v>403881</v>
      </c>
      <c r="G20" s="43">
        <f>SUM(Assumption!$B3,Assumption!$C3)</f>
        <v>403881</v>
      </c>
    </row>
    <row r="21" ht="14.25" customHeight="1">
      <c r="A21" s="61" t="s">
        <v>5</v>
      </c>
      <c r="B21" s="7"/>
      <c r="C21" s="8">
        <f t="shared" ref="C21:G21" si="3">C19-C20</f>
        <v>260535</v>
      </c>
      <c r="D21" s="8">
        <f t="shared" si="3"/>
        <v>260535</v>
      </c>
      <c r="E21" s="8">
        <f t="shared" si="3"/>
        <v>260535</v>
      </c>
      <c r="F21" s="8">
        <f t="shared" si="3"/>
        <v>260535</v>
      </c>
      <c r="G21" s="62">
        <f t="shared" si="3"/>
        <v>260535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38" t="s">
        <v>6</v>
      </c>
      <c r="B22" s="6"/>
      <c r="C22" s="63"/>
      <c r="D22" s="63"/>
      <c r="E22" s="63"/>
      <c r="F22" s="63"/>
      <c r="G22" s="64"/>
    </row>
    <row r="23" ht="14.25" customHeight="1">
      <c r="A23" s="38" t="s">
        <v>7</v>
      </c>
      <c r="B23" s="6"/>
      <c r="C23" s="12">
        <f>SUM(Assumption!$B6,Assumption!$C6)</f>
        <v>121902</v>
      </c>
      <c r="D23" s="12">
        <f>SUM(Assumption!$B6,Assumption!$C6)</f>
        <v>121902</v>
      </c>
      <c r="E23" s="12">
        <f>SUM(Assumption!$B6,Assumption!$C6)</f>
        <v>121902</v>
      </c>
      <c r="F23" s="12">
        <f>SUM(Assumption!$B6,Assumption!$C6)</f>
        <v>121902</v>
      </c>
      <c r="G23" s="43">
        <f>SUM(Assumption!$B6,Assumption!$C6)</f>
        <v>121902</v>
      </c>
    </row>
    <row r="24" ht="14.25" customHeight="1">
      <c r="A24" s="61" t="s">
        <v>8</v>
      </c>
      <c r="B24" s="7"/>
      <c r="C24" s="8">
        <f t="shared" ref="C24:G24" si="4">C21-C23</f>
        <v>138633</v>
      </c>
      <c r="D24" s="8">
        <f t="shared" si="4"/>
        <v>138633</v>
      </c>
      <c r="E24" s="8">
        <f t="shared" si="4"/>
        <v>138633</v>
      </c>
      <c r="F24" s="8">
        <f t="shared" si="4"/>
        <v>138633</v>
      </c>
      <c r="G24" s="62">
        <f t="shared" si="4"/>
        <v>138633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38" t="s">
        <v>9</v>
      </c>
      <c r="B25" s="6"/>
      <c r="C25" s="12">
        <f>SUM(Assumption!$B8,Assumption!$C8)</f>
        <v>12913</v>
      </c>
      <c r="D25" s="12">
        <f>SUM(Assumption!$B8,Assumption!$C8)</f>
        <v>12913</v>
      </c>
      <c r="E25" s="12">
        <f>SUM(Assumption!$B8,Assumption!$C8)</f>
        <v>12913</v>
      </c>
      <c r="F25" s="12">
        <f>SUM(Assumption!$B8,Assumption!$C8)</f>
        <v>12913</v>
      </c>
      <c r="G25" s="43">
        <f>SUM(Assumption!$B8,Assumption!$C8)</f>
        <v>12913</v>
      </c>
    </row>
    <row r="26" ht="14.25" customHeight="1">
      <c r="A26" s="61" t="s">
        <v>10</v>
      </c>
      <c r="B26" s="7"/>
      <c r="C26" s="8">
        <f t="shared" ref="C26:G26" si="5">C24-C25</f>
        <v>125720</v>
      </c>
      <c r="D26" s="8">
        <f t="shared" si="5"/>
        <v>125720</v>
      </c>
      <c r="E26" s="8">
        <f t="shared" si="5"/>
        <v>125720</v>
      </c>
      <c r="F26" s="8">
        <f t="shared" si="5"/>
        <v>125720</v>
      </c>
      <c r="G26" s="62">
        <f t="shared" si="5"/>
        <v>125720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38" t="s">
        <v>45</v>
      </c>
      <c r="B27" s="6"/>
      <c r="C27" s="12">
        <f>C9*Assumption!$B$30</f>
        <v>0</v>
      </c>
      <c r="D27" s="12">
        <f>D9*Assumption!$B$30</f>
        <v>0</v>
      </c>
      <c r="E27" s="12">
        <f>E9*Assumption!$B$30</f>
        <v>0</v>
      </c>
      <c r="F27" s="12">
        <f>F9*Assumption!$B$30</f>
        <v>0</v>
      </c>
      <c r="G27" s="43">
        <f>G9*Assumption!$B$30</f>
        <v>0</v>
      </c>
    </row>
    <row r="28" ht="14.25" customHeight="1">
      <c r="A28" s="38" t="s">
        <v>46</v>
      </c>
      <c r="B28" s="6"/>
      <c r="C28" s="12">
        <f>C8*Assumption!$B$29</f>
        <v>12758.63421</v>
      </c>
      <c r="D28" s="12">
        <f>D8*Assumption!$B$29</f>
        <v>13313.35744</v>
      </c>
      <c r="E28" s="12">
        <f>E8*Assumption!$B$29</f>
        <v>13868.08066</v>
      </c>
      <c r="F28" s="12">
        <f>F8*Assumption!$B$29</f>
        <v>14422.80389</v>
      </c>
      <c r="G28" s="43">
        <f>G8*Assumption!$B$29</f>
        <v>14977.52712</v>
      </c>
    </row>
    <row r="29" ht="14.25" customHeight="1">
      <c r="A29" s="38"/>
      <c r="B29" s="6"/>
      <c r="C29" s="63"/>
      <c r="D29" s="63"/>
      <c r="E29" s="63"/>
      <c r="F29" s="63"/>
      <c r="G29" s="64"/>
    </row>
    <row r="30" ht="14.25" customHeight="1">
      <c r="A30" s="61" t="s">
        <v>47</v>
      </c>
      <c r="B30" s="7"/>
      <c r="C30" s="8">
        <f t="shared" ref="C30:G30" si="6">C26-C27-C28</f>
        <v>112961.3658</v>
      </c>
      <c r="D30" s="8">
        <f t="shared" si="6"/>
        <v>112406.6426</v>
      </c>
      <c r="E30" s="8">
        <f t="shared" si="6"/>
        <v>111851.9193</v>
      </c>
      <c r="F30" s="8">
        <f t="shared" si="6"/>
        <v>111297.1961</v>
      </c>
      <c r="G30" s="62">
        <f t="shared" si="6"/>
        <v>110742.4729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38" t="s">
        <v>14</v>
      </c>
      <c r="B31" s="6"/>
      <c r="C31" s="12">
        <f>C30*Assumption!$B$17</f>
        <v>28240.34145</v>
      </c>
      <c r="D31" s="12">
        <f>D30*Assumption!$B$17</f>
        <v>28101.66064</v>
      </c>
      <c r="E31" s="12">
        <f>E30*Assumption!$B$17</f>
        <v>27962.97983</v>
      </c>
      <c r="F31" s="12">
        <f>F30*Assumption!$B$17</f>
        <v>27824.29903</v>
      </c>
      <c r="G31" s="43">
        <f>G30*Assumption!$B$17</f>
        <v>27685.61822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65" t="s">
        <v>15</v>
      </c>
      <c r="B32" s="66"/>
      <c r="C32" s="67">
        <f t="shared" ref="C32:G32" si="7">C30-C31</f>
        <v>84721.02434</v>
      </c>
      <c r="D32" s="67">
        <f t="shared" si="7"/>
        <v>84304.98192</v>
      </c>
      <c r="E32" s="67">
        <f t="shared" si="7"/>
        <v>83888.9395</v>
      </c>
      <c r="F32" s="67">
        <f t="shared" si="7"/>
        <v>83472.89708</v>
      </c>
      <c r="G32" s="68">
        <f t="shared" si="7"/>
        <v>83056.85466</v>
      </c>
    </row>
    <row r="33" ht="14.25" customHeight="1">
      <c r="A33" s="50"/>
      <c r="B33" s="69"/>
      <c r="C33" s="70"/>
      <c r="D33" s="70"/>
      <c r="E33" s="70"/>
      <c r="F33" s="70"/>
      <c r="G33" s="71"/>
    </row>
    <row r="34" ht="14.25" customHeight="1">
      <c r="A34" s="72" t="s">
        <v>48</v>
      </c>
      <c r="B34" s="7"/>
      <c r="C34" s="8">
        <f t="shared" ref="C34:G34" si="8">C14+C11</f>
        <v>2350000148</v>
      </c>
      <c r="D34" s="8">
        <f t="shared" si="8"/>
        <v>2350000155</v>
      </c>
      <c r="E34" s="8">
        <f t="shared" si="8"/>
        <v>2350000161</v>
      </c>
      <c r="F34" s="8">
        <f t="shared" si="8"/>
        <v>2350000168</v>
      </c>
      <c r="G34" s="62">
        <f t="shared" si="8"/>
        <v>2350000174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73"/>
      <c r="B35" s="6"/>
      <c r="C35" s="8"/>
      <c r="D35" s="8"/>
      <c r="E35" s="8"/>
      <c r="F35" s="8"/>
      <c r="G35" s="62"/>
    </row>
    <row r="36" ht="14.25" customHeight="1">
      <c r="A36" s="72" t="s">
        <v>49</v>
      </c>
      <c r="B36" s="7"/>
      <c r="C36" s="74">
        <f t="shared" ref="C36:G36" si="9">(C32/C34)*1000000</f>
        <v>36.05149744</v>
      </c>
      <c r="D36" s="74">
        <f t="shared" si="9"/>
        <v>35.87445803</v>
      </c>
      <c r="E36" s="74">
        <f t="shared" si="9"/>
        <v>35.69741861</v>
      </c>
      <c r="F36" s="74">
        <f t="shared" si="9"/>
        <v>35.5203792</v>
      </c>
      <c r="G36" s="74">
        <f t="shared" si="9"/>
        <v>35.34333979</v>
      </c>
    </row>
    <row r="37" ht="14.25" customHeight="1">
      <c r="A37" s="61" t="str">
        <f>A15</f>
        <v>EPS of acquirer standalone</v>
      </c>
      <c r="B37" s="7"/>
      <c r="C37" s="75">
        <f t="shared" ref="C37:G37" si="10">C15</f>
        <v>35.2212766</v>
      </c>
      <c r="D37" s="76">
        <f t="shared" si="10"/>
        <v>35.2212766</v>
      </c>
      <c r="E37" s="75">
        <f t="shared" si="10"/>
        <v>35.2212766</v>
      </c>
      <c r="F37" s="75">
        <f t="shared" si="10"/>
        <v>35.2212766</v>
      </c>
      <c r="G37" s="77">
        <f t="shared" si="10"/>
        <v>35.2212766</v>
      </c>
    </row>
    <row r="38" ht="14.25" customHeight="1">
      <c r="A38" s="61"/>
      <c r="B38" s="7"/>
      <c r="C38" s="7"/>
      <c r="D38" s="7"/>
      <c r="E38" s="7"/>
      <c r="F38" s="7"/>
      <c r="G38" s="78"/>
    </row>
    <row r="39" ht="14.25" customHeight="1">
      <c r="A39" s="79" t="s">
        <v>50</v>
      </c>
      <c r="B39" s="7"/>
      <c r="C39" s="56" t="str">
        <f t="shared" ref="C39:G39" si="11">IF(C36&gt;C37,"Accretive",IF(C36=C37,"Neutral","Dilutive"))</f>
        <v>Accretive</v>
      </c>
      <c r="D39" s="56" t="str">
        <f t="shared" si="11"/>
        <v>Accretive</v>
      </c>
      <c r="E39" s="56" t="str">
        <f t="shared" si="11"/>
        <v>Accretive</v>
      </c>
      <c r="F39" s="56" t="str">
        <f t="shared" si="11"/>
        <v>Accretive</v>
      </c>
      <c r="G39" s="80" t="str">
        <f t="shared" si="11"/>
        <v>Accretive</v>
      </c>
    </row>
    <row r="40" ht="14.25" customHeight="1">
      <c r="A40" s="79" t="s">
        <v>51</v>
      </c>
      <c r="B40" s="7"/>
      <c r="C40" s="81">
        <f t="shared" ref="C40:G40" si="12">C36-C37</f>
        <v>0.8302208466</v>
      </c>
      <c r="D40" s="81">
        <f t="shared" si="12"/>
        <v>0.6531814317</v>
      </c>
      <c r="E40" s="81">
        <f t="shared" si="12"/>
        <v>0.4761420177</v>
      </c>
      <c r="F40" s="81">
        <f t="shared" si="12"/>
        <v>0.2991026046</v>
      </c>
      <c r="G40" s="82">
        <f t="shared" si="12"/>
        <v>0.1220631926</v>
      </c>
    </row>
    <row r="41" ht="14.25" customHeight="1">
      <c r="A41" s="79" t="s">
        <v>52</v>
      </c>
      <c r="B41" s="6"/>
      <c r="C41" s="83">
        <f t="shared" ref="C41:G41" si="13">C40/C37</f>
        <v>0.0235715717</v>
      </c>
      <c r="D41" s="83">
        <f t="shared" si="13"/>
        <v>0.01854508112</v>
      </c>
      <c r="E41" s="83">
        <f t="shared" si="13"/>
        <v>0.01351859057</v>
      </c>
      <c r="F41" s="83">
        <f t="shared" si="13"/>
        <v>0.008492100047</v>
      </c>
      <c r="G41" s="84">
        <f t="shared" si="13"/>
        <v>0.003465609551</v>
      </c>
    </row>
    <row r="42" ht="14.25" customHeight="1">
      <c r="A42" s="85"/>
      <c r="B42" s="45"/>
      <c r="C42" s="86"/>
      <c r="D42" s="86"/>
      <c r="E42" s="86"/>
      <c r="F42" s="86"/>
      <c r="G42" s="87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G1"/>
  </mergeCells>
  <printOptions/>
  <pageMargins bottom="0.75" footer="0.0" header="0.0" left="0.25" right="0.25" top="0.75"/>
  <pageSetup paperSize="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showGridLines="0" workbookViewId="0"/>
  </sheetViews>
  <sheetFormatPr customHeight="1" defaultColWidth="14.43" defaultRowHeight="15.0"/>
  <cols>
    <col customWidth="1" min="1" max="1" width="30.86"/>
    <col customWidth="1" min="2" max="2" width="8.71"/>
    <col customWidth="1" min="3" max="7" width="15.57"/>
    <col customWidth="1" min="8" max="26" width="8.71"/>
  </cols>
  <sheetData>
    <row r="1" ht="14.25" customHeight="1">
      <c r="A1" s="26" t="s">
        <v>0</v>
      </c>
      <c r="B1" s="27"/>
      <c r="C1" s="28" t="s">
        <v>32</v>
      </c>
      <c r="D1" s="29"/>
      <c r="E1" s="29"/>
      <c r="F1" s="29"/>
      <c r="G1" s="30"/>
    </row>
    <row r="2" ht="14.25" customHeight="1">
      <c r="A2" s="31" t="s">
        <v>53</v>
      </c>
      <c r="B2" s="18"/>
      <c r="C2" s="32">
        <v>0.15</v>
      </c>
      <c r="D2" s="88">
        <f t="shared" ref="D2:G2" si="1">C2+0.05</f>
        <v>0.2</v>
      </c>
      <c r="E2" s="88">
        <f t="shared" si="1"/>
        <v>0.25</v>
      </c>
      <c r="F2" s="88">
        <f t="shared" si="1"/>
        <v>0.3</v>
      </c>
      <c r="G2" s="89">
        <f t="shared" si="1"/>
        <v>0.35</v>
      </c>
    </row>
    <row r="3" ht="14.25" customHeight="1">
      <c r="A3" s="50" t="s">
        <v>54</v>
      </c>
      <c r="B3" s="35"/>
      <c r="C3" s="90"/>
      <c r="D3" s="90"/>
      <c r="E3" s="90"/>
      <c r="F3" s="90"/>
      <c r="G3" s="91"/>
    </row>
    <row r="4" ht="14.25" customHeight="1">
      <c r="A4" s="38" t="str">
        <f>Assumption!A29</f>
        <v>Cash </v>
      </c>
      <c r="B4" s="6"/>
      <c r="C4" s="16">
        <f>Assumption!$C$29</f>
        <v>0.0375</v>
      </c>
      <c r="D4" s="16">
        <f>Assumption!$C$29</f>
        <v>0.0375</v>
      </c>
      <c r="E4" s="16">
        <f>Assumption!$C$29</f>
        <v>0.0375</v>
      </c>
      <c r="F4" s="16">
        <f>Assumption!$C$29</f>
        <v>0.0375</v>
      </c>
      <c r="G4" s="92">
        <f>Assumption!$C$29</f>
        <v>0.0375</v>
      </c>
    </row>
    <row r="5" ht="14.25" customHeight="1">
      <c r="A5" s="38" t="str">
        <f>Assumption!A30</f>
        <v>Debt </v>
      </c>
      <c r="B5" s="6"/>
      <c r="C5" s="16">
        <f>Assumption!$C$30</f>
        <v>0</v>
      </c>
      <c r="D5" s="16">
        <f>Assumption!$C$30</f>
        <v>0</v>
      </c>
      <c r="E5" s="16">
        <f>Assumption!$C$30</f>
        <v>0</v>
      </c>
      <c r="F5" s="16">
        <f>Assumption!$C$30</f>
        <v>0</v>
      </c>
      <c r="G5" s="92">
        <f>Assumption!$C$30</f>
        <v>0</v>
      </c>
    </row>
    <row r="6" ht="14.25" customHeight="1">
      <c r="A6" s="38" t="s">
        <v>55</v>
      </c>
      <c r="B6" s="6"/>
      <c r="C6" s="16">
        <f>Assumption!$C$31</f>
        <v>0.00000001366118866</v>
      </c>
      <c r="D6" s="16">
        <f>Assumption!$C$31</f>
        <v>0.00000001366118866</v>
      </c>
      <c r="E6" s="16">
        <f>Assumption!$C$31</f>
        <v>0.00000001366118866</v>
      </c>
      <c r="F6" s="16">
        <f>Assumption!$C$31</f>
        <v>0.00000001366118866</v>
      </c>
      <c r="G6" s="92">
        <f>Assumption!$C$31</f>
        <v>0.00000001366118866</v>
      </c>
    </row>
    <row r="7" ht="14.25" customHeight="1">
      <c r="A7" s="65" t="s">
        <v>56</v>
      </c>
      <c r="B7" s="66"/>
      <c r="C7" s="93">
        <f>(C4*Assumption!$C$24)+('Quick &amp; dirty rule'!C5*Assumption!$C$25)+('Quick &amp; dirty rule'!C6*Assumption!$C$26)</f>
        <v>0.007500004098</v>
      </c>
      <c r="D7" s="94">
        <f>(D4*Assumption!$C$24)+('Quick &amp; dirty rule'!D5*Assumption!$C$25)+('Quick &amp; dirty rule'!D6*Assumption!$C$26)</f>
        <v>0.007500004098</v>
      </c>
      <c r="E7" s="93">
        <f>(E4*Assumption!$C$24)+('Quick &amp; dirty rule'!E5*Assumption!$C$25)+('Quick &amp; dirty rule'!E6*Assumption!$C$26)</f>
        <v>0.007500004098</v>
      </c>
      <c r="F7" s="93">
        <f>(F4*Assumption!$C$24)+('Quick &amp; dirty rule'!F5*Assumption!$C$25)+('Quick &amp; dirty rule'!F6*Assumption!$C$26)</f>
        <v>0.007500004098</v>
      </c>
      <c r="G7" s="95">
        <f>(G4*Assumption!$C$24)+('Quick &amp; dirty rule'!G5*Assumption!$C$25)+('Quick &amp; dirty rule'!G6*Assumption!$C$26)</f>
        <v>0.007500004098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96"/>
      <c r="B8" s="5"/>
      <c r="C8" s="5"/>
      <c r="D8" s="5"/>
      <c r="E8" s="5"/>
      <c r="F8" s="5"/>
      <c r="G8" s="97"/>
    </row>
    <row r="9" ht="14.25" customHeight="1">
      <c r="A9" s="98" t="s">
        <v>57</v>
      </c>
      <c r="B9" s="99"/>
      <c r="C9" s="99">
        <f>Assumption!$C$14/'Merger model'!C6</f>
        <v>0.01208240611</v>
      </c>
      <c r="D9" s="99">
        <f>Assumption!$C$14/'Merger model'!D6</f>
        <v>0.01157897253</v>
      </c>
      <c r="E9" s="99">
        <f>Assumption!$C$14/'Merger model'!E6</f>
        <v>0.01111581363</v>
      </c>
      <c r="F9" s="99">
        <f>Assumption!$C$14/'Merger model'!F6</f>
        <v>0.01068828233</v>
      </c>
      <c r="G9" s="100">
        <f>Assumption!$C$14/'Merger model'!G6</f>
        <v>0.01029242002</v>
      </c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</row>
    <row r="10" ht="14.25" customHeight="1">
      <c r="A10" s="38"/>
      <c r="B10" s="101"/>
      <c r="C10" s="101"/>
      <c r="D10" s="101"/>
      <c r="E10" s="101"/>
      <c r="F10" s="101"/>
      <c r="G10" s="102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ht="14.25" customHeight="1">
      <c r="A11" s="103" t="s">
        <v>58</v>
      </c>
      <c r="B11" s="104"/>
      <c r="C11" s="105" t="str">
        <f t="shared" ref="C11:G11" si="2">IF(C9&gt;C7,"Accretive","Dilutive")</f>
        <v>Accretive</v>
      </c>
      <c r="D11" s="105" t="str">
        <f t="shared" si="2"/>
        <v>Accretive</v>
      </c>
      <c r="E11" s="105" t="str">
        <f t="shared" si="2"/>
        <v>Accretive</v>
      </c>
      <c r="F11" s="105" t="str">
        <f t="shared" si="2"/>
        <v>Accretive</v>
      </c>
      <c r="G11" s="106" t="str">
        <f t="shared" si="2"/>
        <v>Accretive</v>
      </c>
    </row>
    <row r="12" ht="14.25" customHeight="1"/>
    <row r="13" ht="14.25" customHeight="1">
      <c r="A13" s="22" t="s">
        <v>59</v>
      </c>
      <c r="C13" s="107" t="str">
        <f>'Merger model'!C39</f>
        <v>Accretive</v>
      </c>
      <c r="D13" s="107" t="str">
        <f>'Merger model'!D39</f>
        <v>Accretive</v>
      </c>
      <c r="E13" s="107" t="str">
        <f>'Merger model'!E39</f>
        <v>Accretive</v>
      </c>
      <c r="F13" s="107" t="str">
        <f>'Merger model'!F39</f>
        <v>Accretive</v>
      </c>
      <c r="G13" s="107" t="str">
        <f>'Merger model'!G39</f>
        <v>Accretive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C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2021-12-27T09:34:29Z</dcterms:created>
  <dc:creator>Yash Jain</dc:creator>
</cp:coreProperties>
</file>