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4" activeTab="5"/>
  </bookViews>
  <sheets>
    <sheet name="Sheet1" sheetId="1" state="hidden" r:id="rId1"/>
    <sheet name="Sheet2" sheetId="2" r:id="rId2"/>
    <sheet name="Sheet3" sheetId="3" r:id="rId3"/>
    <sheet name="Budget" sheetId="4" r:id="rId4"/>
    <sheet name="New Tax Regime (FY24-25)" sheetId="5" r:id="rId5"/>
    <sheet name="Old Tax Regime (FY24-25)" sheetId="6" r:id="rId6"/>
    <sheet name="New Tax Regime (FY25-26)" sheetId="7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7" l="1"/>
  <c r="G15" i="7"/>
  <c r="H15" i="7"/>
  <c r="G14" i="7"/>
  <c r="G13" i="7"/>
  <c r="G12" i="7"/>
  <c r="G11" i="7"/>
  <c r="G10" i="7"/>
  <c r="G7" i="7"/>
  <c r="G20" i="6"/>
  <c r="G22" i="6" s="1"/>
  <c r="G28" i="6" s="1"/>
  <c r="H28" i="6" s="1"/>
  <c r="Q9" i="6"/>
  <c r="Q8" i="6"/>
  <c r="H10" i="7" l="1"/>
  <c r="H12" i="7"/>
  <c r="H14" i="7"/>
  <c r="H11" i="7"/>
  <c r="H13" i="7"/>
  <c r="G26" i="6"/>
  <c r="G25" i="6"/>
  <c r="G27" i="6"/>
  <c r="H27" i="6" s="1"/>
  <c r="H25" i="6"/>
  <c r="H26" i="6"/>
  <c r="G7" i="5"/>
  <c r="G13" i="5" s="1"/>
  <c r="H13" i="5" s="1"/>
  <c r="C29" i="4"/>
  <c r="Y1" i="4"/>
  <c r="Y23" i="4" s="1"/>
  <c r="W1" i="4"/>
  <c r="W23" i="4" s="1"/>
  <c r="U1" i="4"/>
  <c r="U23" i="4" s="1"/>
  <c r="S1" i="4"/>
  <c r="S23" i="4" s="1"/>
  <c r="Q1" i="4"/>
  <c r="Q23" i="4" s="1"/>
  <c r="O1" i="4"/>
  <c r="O23" i="4" s="1"/>
  <c r="M1" i="4"/>
  <c r="M23" i="4" s="1"/>
  <c r="K1" i="4"/>
  <c r="K23" i="4" s="1"/>
  <c r="I1" i="4"/>
  <c r="I23" i="4" s="1"/>
  <c r="G1" i="4"/>
  <c r="G23" i="4" s="1"/>
  <c r="E23" i="4"/>
  <c r="C23" i="4"/>
  <c r="E1" i="4"/>
  <c r="C1" i="4"/>
  <c r="C17" i="4"/>
  <c r="C16" i="4"/>
  <c r="C21" i="4" s="1"/>
  <c r="P14" i="4"/>
  <c r="D14" i="4"/>
  <c r="X5" i="4"/>
  <c r="X21" i="4" s="1"/>
  <c r="V5" i="4"/>
  <c r="V21" i="4" s="1"/>
  <c r="T5" i="4"/>
  <c r="T21" i="4" s="1"/>
  <c r="R5" i="4"/>
  <c r="R21" i="4" s="1"/>
  <c r="P5" i="4"/>
  <c r="N5" i="4"/>
  <c r="N21" i="4" s="1"/>
  <c r="L5" i="4"/>
  <c r="L21" i="4" s="1"/>
  <c r="J5" i="4"/>
  <c r="J21" i="4" s="1"/>
  <c r="H5" i="4"/>
  <c r="H21" i="4" s="1"/>
  <c r="F5" i="4"/>
  <c r="F21" i="4" s="1"/>
  <c r="D5" i="4"/>
  <c r="B5" i="4"/>
  <c r="B21" i="4" s="1"/>
  <c r="J20" i="3"/>
  <c r="C5" i="3"/>
  <c r="C17" i="3"/>
  <c r="C19" i="3"/>
  <c r="C11" i="3"/>
  <c r="C6" i="3"/>
  <c r="C10" i="3"/>
  <c r="C18" i="3"/>
  <c r="C12" i="3"/>
  <c r="C22" i="3"/>
  <c r="C7" i="3"/>
  <c r="C8" i="3"/>
  <c r="C9" i="3"/>
  <c r="C15" i="3"/>
  <c r="H18" i="7" l="1"/>
  <c r="H32" i="6"/>
  <c r="G15" i="5"/>
  <c r="H15" i="5" s="1"/>
  <c r="G14" i="5"/>
  <c r="H14" i="5" s="1"/>
  <c r="G10" i="5"/>
  <c r="H10" i="5" s="1"/>
  <c r="G11" i="5"/>
  <c r="H11" i="5" s="1"/>
  <c r="G12" i="5"/>
  <c r="H12" i="5" s="1"/>
  <c r="D21" i="4"/>
  <c r="P21" i="4"/>
  <c r="C16" i="3"/>
  <c r="B15" i="3"/>
  <c r="B16" i="3"/>
  <c r="B11" i="3"/>
  <c r="B9" i="3"/>
  <c r="B7" i="3"/>
  <c r="B6" i="3"/>
  <c r="B5" i="3"/>
  <c r="H20" i="7" l="1"/>
  <c r="H22" i="7" s="1"/>
  <c r="H34" i="6"/>
  <c r="H36" i="6" s="1"/>
  <c r="H17" i="5"/>
  <c r="H19" i="5" s="1"/>
  <c r="H21" i="5" s="1"/>
  <c r="F21" i="2"/>
  <c r="J37" i="2"/>
  <c r="J34" i="2"/>
  <c r="C29" i="2"/>
  <c r="F3" i="2"/>
  <c r="M17" i="2"/>
  <c r="L17" i="2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J17" i="2"/>
  <c r="E17" i="2"/>
  <c r="U35" i="2" s="1"/>
  <c r="O33" i="2"/>
  <c r="O32" i="2"/>
  <c r="O31" i="2"/>
  <c r="O30" i="2"/>
  <c r="C26" i="2"/>
  <c r="J31" i="2"/>
  <c r="J30" i="2"/>
  <c r="O17" i="2" l="1"/>
  <c r="N34" i="2"/>
  <c r="O34" i="2" s="1"/>
  <c r="O35" i="2" s="1"/>
  <c r="O37" i="2" s="1"/>
  <c r="O38" i="2" s="1"/>
  <c r="V34" i="2"/>
  <c r="V33" i="2"/>
  <c r="V32" i="2"/>
  <c r="V31" i="2"/>
  <c r="V30" i="2"/>
  <c r="F6" i="2"/>
  <c r="N27" i="1"/>
  <c r="C17" i="2"/>
  <c r="O28" i="1"/>
  <c r="O26" i="1"/>
  <c r="O25" i="1"/>
  <c r="O24" i="1"/>
  <c r="O27" i="1"/>
  <c r="L24" i="1"/>
  <c r="L28" i="1"/>
  <c r="K27" i="1"/>
  <c r="L27" i="1" s="1"/>
  <c r="L26" i="1"/>
  <c r="L25" i="1"/>
  <c r="D34" i="1"/>
  <c r="H30" i="1"/>
  <c r="D30" i="1"/>
  <c r="H26" i="1"/>
  <c r="D26" i="1"/>
  <c r="H21" i="1"/>
  <c r="H22" i="1" s="1"/>
  <c r="D22" i="1"/>
  <c r="D21" i="1"/>
  <c r="J17" i="1"/>
  <c r="D17" i="1"/>
  <c r="H17" i="1"/>
  <c r="V35" i="2" l="1"/>
  <c r="V36" i="2" s="1"/>
  <c r="V37" i="2" s="1"/>
  <c r="V38" i="2" s="1"/>
  <c r="I32" i="2"/>
  <c r="J32" i="2" s="1"/>
  <c r="J36" i="2" s="1"/>
  <c r="F8" i="2" l="1"/>
  <c r="F9" i="2" s="1"/>
  <c r="F11" i="2" s="1"/>
  <c r="F13" i="2" s="1"/>
</calcChain>
</file>

<file path=xl/sharedStrings.xml><?xml version="1.0" encoding="utf-8"?>
<sst xmlns="http://schemas.openxmlformats.org/spreadsheetml/2006/main" count="262" uniqueCount="152">
  <si>
    <t>Gross</t>
  </si>
  <si>
    <t>Std Deduction</t>
  </si>
  <si>
    <t>Prof Tax</t>
  </si>
  <si>
    <t>Net Income</t>
  </si>
  <si>
    <t>Home Loan</t>
  </si>
  <si>
    <t>Deduction Saving</t>
  </si>
  <si>
    <t xml:space="preserve">Sr Citizen </t>
  </si>
  <si>
    <t>Slab</t>
  </si>
  <si>
    <t>Tax</t>
  </si>
  <si>
    <t>80C</t>
  </si>
  <si>
    <t>80D</t>
  </si>
  <si>
    <t>Taxasable Income</t>
  </si>
  <si>
    <t>PF</t>
  </si>
  <si>
    <t>Income Tax</t>
  </si>
  <si>
    <t>Net Pay</t>
  </si>
  <si>
    <t>Month</t>
  </si>
  <si>
    <t>Gross Pay</t>
  </si>
  <si>
    <t>Sr#</t>
  </si>
  <si>
    <t>OLS Tax Regime</t>
  </si>
  <si>
    <t>Chandrashekhar Ghayal (OLD and new Regime)</t>
  </si>
  <si>
    <t>0 to 4 L</t>
  </si>
  <si>
    <t>4 to 8L</t>
  </si>
  <si>
    <t>8 to 12L</t>
  </si>
  <si>
    <t>12 to 16L</t>
  </si>
  <si>
    <t>16 to 20L</t>
  </si>
  <si>
    <t>20 to 24L</t>
  </si>
  <si>
    <t>above24L</t>
  </si>
  <si>
    <t>Cess</t>
  </si>
  <si>
    <t>Total Tax</t>
  </si>
  <si>
    <t>0 to 2.5 L</t>
  </si>
  <si>
    <t>5 to 10L</t>
  </si>
  <si>
    <t>Above 10L</t>
  </si>
  <si>
    <t>2.5 to 5L</t>
  </si>
  <si>
    <t>New Tax Regime next year</t>
  </si>
  <si>
    <t>New Tax Regime current year</t>
  </si>
  <si>
    <t>0 to 3L</t>
  </si>
  <si>
    <t>3  to 6L</t>
  </si>
  <si>
    <t>6  to 9L</t>
  </si>
  <si>
    <t>9  to 12L</t>
  </si>
  <si>
    <t>12  to 15L</t>
  </si>
  <si>
    <t>15L Above</t>
  </si>
  <si>
    <t>Income Tax Calculation for year FY 2024-25 (AY 2025-26)</t>
  </si>
  <si>
    <t xml:space="preserve">Actual Tax Deducted </t>
  </si>
  <si>
    <t>CTC</t>
  </si>
  <si>
    <t>Month Net Pay</t>
  </si>
  <si>
    <t>PT</t>
  </si>
  <si>
    <t>Total Deduction</t>
  </si>
  <si>
    <t>EPF</t>
  </si>
  <si>
    <t>Taxasable Income 
For New Regime</t>
  </si>
  <si>
    <t>For OLD Regime</t>
  </si>
  <si>
    <t>HDFC</t>
  </si>
  <si>
    <t>Chandrashekhar Ghayal</t>
  </si>
  <si>
    <t>Maintenance</t>
  </si>
  <si>
    <t>Light Bill</t>
  </si>
  <si>
    <t>Dada Fee</t>
  </si>
  <si>
    <t>Sarthak Fee</t>
  </si>
  <si>
    <t>Home</t>
  </si>
  <si>
    <t>Petrol</t>
  </si>
  <si>
    <t>CAR maintenance</t>
  </si>
  <si>
    <t>CAR Insurance</t>
  </si>
  <si>
    <t>Mediclaim</t>
  </si>
  <si>
    <t>LIC</t>
  </si>
  <si>
    <t>MF</t>
  </si>
  <si>
    <t>Details</t>
  </si>
  <si>
    <t>Fixed payment yearly</t>
  </si>
  <si>
    <t>Other</t>
  </si>
  <si>
    <t>Income</t>
  </si>
  <si>
    <t>Medical</t>
  </si>
  <si>
    <t>Mobile</t>
  </si>
  <si>
    <t>WIFI</t>
  </si>
  <si>
    <t>Vijay</t>
  </si>
  <si>
    <t>GAS</t>
  </si>
  <si>
    <t>Total</t>
  </si>
  <si>
    <t>Budget</t>
  </si>
  <si>
    <t>Actual</t>
  </si>
  <si>
    <t>Dmart</t>
  </si>
  <si>
    <t>Gehu</t>
  </si>
  <si>
    <t>Girni</t>
  </si>
  <si>
    <t>Ice Cream</t>
  </si>
  <si>
    <t>ATM</t>
  </si>
  <si>
    <t>Any Indian citizen irespective of Age</t>
  </si>
  <si>
    <t>Total Income(Excluding Standard Deduction)</t>
  </si>
  <si>
    <t>a</t>
  </si>
  <si>
    <t>a-50000</t>
  </si>
  <si>
    <t>Net Taxasable Income</t>
  </si>
  <si>
    <t>Income Tax Slab</t>
  </si>
  <si>
    <t>b</t>
  </si>
  <si>
    <t>If b= less than equal to 300000</t>
  </si>
  <si>
    <t>Tax Rate</t>
  </si>
  <si>
    <t>If b= 300001 to 600000</t>
  </si>
  <si>
    <t>If b= 600001 to 900000</t>
  </si>
  <si>
    <t>If b= 900001 to 1200000</t>
  </si>
  <si>
    <t>If b= 1200001 to 1500000</t>
  </si>
  <si>
    <t>If b &gt; 1500000</t>
  </si>
  <si>
    <t>c</t>
  </si>
  <si>
    <t>d</t>
  </si>
  <si>
    <t>e</t>
  </si>
  <si>
    <t>f</t>
  </si>
  <si>
    <t>g</t>
  </si>
  <si>
    <t>h</t>
  </si>
  <si>
    <t>i</t>
  </si>
  <si>
    <t>C+d+e+f+g+h</t>
  </si>
  <si>
    <t>j</t>
  </si>
  <si>
    <t>i*4%</t>
  </si>
  <si>
    <t>k</t>
  </si>
  <si>
    <t>Net Tax Payable</t>
  </si>
  <si>
    <t>(i+j)</t>
  </si>
  <si>
    <t>Taxasable value</t>
  </si>
  <si>
    <t>Any Indian citizen having age less than 60 Years</t>
  </si>
  <si>
    <t>HRA Calulation</t>
  </si>
  <si>
    <t>Basic Salary</t>
  </si>
  <si>
    <t>Value</t>
  </si>
  <si>
    <t>Rent Paid</t>
  </si>
  <si>
    <t>HRA Deduction</t>
  </si>
  <si>
    <t>Which ever is less</t>
  </si>
  <si>
    <t>Standard Deduction 50000 Rs</t>
  </si>
  <si>
    <t>HRA (Rent) as per HRA calculation</t>
  </si>
  <si>
    <t>Interest on Home Loan NMT 2 Lacks</t>
  </si>
  <si>
    <t>Deduction Under Section 80C (NMT 1.5 Lacks)</t>
  </si>
  <si>
    <t>Deduction Under Section 80D (NMT 0.5 Lacks)</t>
  </si>
  <si>
    <t>Deduction Under Section 80DD (NMT 1.25 Lacks)</t>
  </si>
  <si>
    <t>Deduction Under Section 80DB (NMT 0.8 Lacks)</t>
  </si>
  <si>
    <t>Deduction Under Section 80E (No Limit)</t>
  </si>
  <si>
    <t>Deduction Under Section 80EEA (NMT 1.5 LAcks)</t>
  </si>
  <si>
    <t>Deduction Under Section 80EEB (NMT 1.5 LAcks)</t>
  </si>
  <si>
    <t>Deduction Under Section 80G (No Limit)</t>
  </si>
  <si>
    <t>Deduction Under Section 80GG (NMT0.6 Lacks)</t>
  </si>
  <si>
    <t>Deduction Under Section 80U (NMT 1.25 Lacks)</t>
  </si>
  <si>
    <t>l</t>
  </si>
  <si>
    <t>m</t>
  </si>
  <si>
    <t>n</t>
  </si>
  <si>
    <t>o</t>
  </si>
  <si>
    <t>p</t>
  </si>
  <si>
    <t>Total Income(Excluding all applicable Deduction)</t>
  </si>
  <si>
    <t>Avbove 10 Lacks</t>
  </si>
  <si>
    <t xml:space="preserve"> less than equal to 2.5 Lacks</t>
  </si>
  <si>
    <t>250001 to 500000</t>
  </si>
  <si>
    <t xml:space="preserve"> 500001 to 1000000</t>
  </si>
  <si>
    <t>q</t>
  </si>
  <si>
    <t>r</t>
  </si>
  <si>
    <t>s</t>
  </si>
  <si>
    <t>t</t>
  </si>
  <si>
    <t>u</t>
  </si>
  <si>
    <t>o+p+q+r</t>
  </si>
  <si>
    <t>a-75000</t>
  </si>
  <si>
    <t>Upto 4 Lacks</t>
  </si>
  <si>
    <t>400001 to 800000</t>
  </si>
  <si>
    <t>800001 to 1200000</t>
  </si>
  <si>
    <t>1200001 to 1600000</t>
  </si>
  <si>
    <t>1600001 to 2000000</t>
  </si>
  <si>
    <t>2000001 to 2400000</t>
  </si>
  <si>
    <t>24 Lacks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</si>
</sst>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17" fontId="0" fillId="0" borderId="0" xfId="0" applyNumberFormat="1"/>
    <xf numFmtId="0" fontId="1" fillId="0" borderId="0" xfId="0" applyFont="1"/>
    <xf numFmtId="9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5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1" applyFont="1"/>
    <xf numFmtId="164" fontId="1" fillId="0" borderId="0" xfId="1" applyFont="1"/>
    <xf numFmtId="164" fontId="1" fillId="0" borderId="1" xfId="1" applyFont="1" applyBorder="1"/>
    <xf numFmtId="164" fontId="0" fillId="0" borderId="1" xfId="1" applyFont="1" applyBorder="1"/>
    <xf numFmtId="0" fontId="0" fillId="0" borderId="1" xfId="0" applyBorder="1"/>
    <xf numFmtId="0" fontId="1" fillId="0" borderId="1" xfId="0" applyFont="1" applyBorder="1"/>
    <xf numFmtId="164" fontId="0" fillId="2" borderId="1" xfId="1" applyFont="1" applyFill="1" applyBorder="1"/>
    <xf numFmtId="164" fontId="1" fillId="2" borderId="1" xfId="1" applyFont="1" applyFill="1" applyBorder="1"/>
    <xf numFmtId="17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34"/>
  <sheetViews>
    <sheetView topLeftCell="A3" workbookViewId="0">
      <selection activeCell="O28" sqref="O28"/>
    </sheetView>
  </sheetViews>
  <sheetFormatPr defaultRowHeight="15" x14ac:dyDescent="0.25"/>
  <sheetData>
    <row r="4" spans="3:8" x14ac:dyDescent="0.25">
      <c r="D4" t="s">
        <v>0</v>
      </c>
    </row>
    <row r="5" spans="3:8" x14ac:dyDescent="0.25">
      <c r="C5" s="1">
        <v>45383</v>
      </c>
      <c r="D5">
        <v>227863</v>
      </c>
      <c r="G5" s="1">
        <v>45017</v>
      </c>
      <c r="H5">
        <v>219100</v>
      </c>
    </row>
    <row r="6" spans="3:8" x14ac:dyDescent="0.25">
      <c r="C6" s="1">
        <v>45413</v>
      </c>
      <c r="D6">
        <v>227863</v>
      </c>
      <c r="G6" s="1">
        <v>45047</v>
      </c>
      <c r="H6">
        <v>219100</v>
      </c>
    </row>
    <row r="7" spans="3:8" x14ac:dyDescent="0.25">
      <c r="C7" s="1">
        <v>45444</v>
      </c>
      <c r="D7">
        <v>439049</v>
      </c>
      <c r="G7" s="1">
        <v>45078</v>
      </c>
      <c r="H7">
        <v>430286</v>
      </c>
    </row>
    <row r="8" spans="3:8" x14ac:dyDescent="0.25">
      <c r="C8" s="1">
        <v>45474</v>
      </c>
      <c r="D8">
        <v>273435</v>
      </c>
      <c r="G8" s="1">
        <v>45108</v>
      </c>
      <c r="H8">
        <v>219100</v>
      </c>
    </row>
    <row r="9" spans="3:8" x14ac:dyDescent="0.25">
      <c r="C9" s="1">
        <v>45505</v>
      </c>
      <c r="D9">
        <v>239256</v>
      </c>
      <c r="G9" s="1">
        <v>45139</v>
      </c>
      <c r="H9">
        <v>251892</v>
      </c>
    </row>
    <row r="10" spans="3:8" x14ac:dyDescent="0.25">
      <c r="C10" s="1">
        <v>45536</v>
      </c>
      <c r="D10">
        <v>239256</v>
      </c>
      <c r="G10" s="1">
        <v>45170</v>
      </c>
      <c r="H10">
        <v>220268</v>
      </c>
    </row>
    <row r="11" spans="3:8" x14ac:dyDescent="0.25">
      <c r="C11" s="1">
        <v>45566</v>
      </c>
      <c r="D11">
        <v>239256</v>
      </c>
      <c r="G11" s="1">
        <v>45200</v>
      </c>
      <c r="H11">
        <v>227863</v>
      </c>
    </row>
    <row r="12" spans="3:8" x14ac:dyDescent="0.25">
      <c r="C12" s="1">
        <v>45597</v>
      </c>
      <c r="D12">
        <v>239256</v>
      </c>
      <c r="G12" s="1">
        <v>45231</v>
      </c>
      <c r="H12">
        <v>212672</v>
      </c>
    </row>
    <row r="13" spans="3:8" x14ac:dyDescent="0.25">
      <c r="C13" s="1">
        <v>45627</v>
      </c>
      <c r="D13">
        <v>235398</v>
      </c>
      <c r="G13" s="1">
        <v>45261</v>
      </c>
      <c r="H13">
        <v>202136</v>
      </c>
    </row>
    <row r="14" spans="3:8" x14ac:dyDescent="0.25">
      <c r="C14" s="1">
        <v>45658</v>
      </c>
      <c r="D14">
        <v>239256</v>
      </c>
      <c r="G14" s="1">
        <v>45292</v>
      </c>
      <c r="H14">
        <v>220512</v>
      </c>
    </row>
    <row r="15" spans="3:8" x14ac:dyDescent="0.25">
      <c r="C15" s="1">
        <v>45689</v>
      </c>
      <c r="D15">
        <v>239256</v>
      </c>
      <c r="G15" s="1">
        <v>45323</v>
      </c>
      <c r="H15">
        <v>227863</v>
      </c>
    </row>
    <row r="16" spans="3:8" x14ac:dyDescent="0.25">
      <c r="C16" s="1">
        <v>45717</v>
      </c>
      <c r="D16">
        <v>239256</v>
      </c>
      <c r="G16" s="1">
        <v>45352</v>
      </c>
      <c r="H16">
        <v>227863</v>
      </c>
    </row>
    <row r="17" spans="3:15" x14ac:dyDescent="0.25">
      <c r="D17" s="2">
        <f>SUM(D5:D16)</f>
        <v>3078400</v>
      </c>
      <c r="H17" s="2">
        <f>SUM(H5:H16)</f>
        <v>2878655</v>
      </c>
      <c r="J17">
        <f>+D17-H17</f>
        <v>199745</v>
      </c>
    </row>
    <row r="19" spans="3:15" x14ac:dyDescent="0.25">
      <c r="C19" t="s">
        <v>1</v>
      </c>
      <c r="D19">
        <v>50000</v>
      </c>
      <c r="G19" t="s">
        <v>1</v>
      </c>
      <c r="H19">
        <v>50000</v>
      </c>
    </row>
    <row r="20" spans="3:15" x14ac:dyDescent="0.25">
      <c r="C20" t="s">
        <v>2</v>
      </c>
      <c r="D20">
        <v>2500</v>
      </c>
      <c r="G20" t="s">
        <v>2</v>
      </c>
      <c r="H20">
        <v>2500</v>
      </c>
    </row>
    <row r="21" spans="3:15" x14ac:dyDescent="0.25">
      <c r="D21" s="2">
        <f>+D19+D20</f>
        <v>52500</v>
      </c>
      <c r="H21" s="2">
        <f>+H19+H20</f>
        <v>52500</v>
      </c>
    </row>
    <row r="22" spans="3:15" x14ac:dyDescent="0.25">
      <c r="C22" t="s">
        <v>3</v>
      </c>
      <c r="D22" s="2">
        <f>+D17-D21</f>
        <v>3025900</v>
      </c>
      <c r="G22" t="s">
        <v>3</v>
      </c>
      <c r="H22" s="2">
        <f>+H17-H21</f>
        <v>2826155</v>
      </c>
    </row>
    <row r="23" spans="3:15" x14ac:dyDescent="0.25">
      <c r="K23" t="s">
        <v>7</v>
      </c>
      <c r="L23" t="s">
        <v>8</v>
      </c>
    </row>
    <row r="24" spans="3:15" x14ac:dyDescent="0.25">
      <c r="C24" t="s">
        <v>4</v>
      </c>
      <c r="D24">
        <v>200000</v>
      </c>
      <c r="G24" t="s">
        <v>4</v>
      </c>
      <c r="H24">
        <v>200000</v>
      </c>
      <c r="K24">
        <v>50000</v>
      </c>
      <c r="L24">
        <f>+K24*5%</f>
        <v>2500</v>
      </c>
      <c r="N24">
        <v>50000</v>
      </c>
      <c r="O24">
        <f>+N24*5%</f>
        <v>2500</v>
      </c>
    </row>
    <row r="25" spans="3:15" x14ac:dyDescent="0.25">
      <c r="K25">
        <v>200000</v>
      </c>
      <c r="L25">
        <f>+K25*5%</f>
        <v>10000</v>
      </c>
      <c r="N25">
        <v>200000</v>
      </c>
      <c r="O25">
        <f>+N25*5%</f>
        <v>10000</v>
      </c>
    </row>
    <row r="26" spans="3:15" x14ac:dyDescent="0.25">
      <c r="D26">
        <f>+D22-D24</f>
        <v>2825900</v>
      </c>
      <c r="H26" s="2">
        <f>+H22-H24</f>
        <v>2626155</v>
      </c>
      <c r="K26">
        <v>500000</v>
      </c>
      <c r="L26">
        <f>+K26*20%</f>
        <v>100000</v>
      </c>
      <c r="N26">
        <v>500000</v>
      </c>
      <c r="O26">
        <f>+N26*20%</f>
        <v>100000</v>
      </c>
    </row>
    <row r="27" spans="3:15" x14ac:dyDescent="0.25">
      <c r="K27">
        <f>+H30-1000000</f>
        <v>1401215</v>
      </c>
      <c r="L27">
        <f>+K27*30%</f>
        <v>420364.5</v>
      </c>
      <c r="N27">
        <f>+D34-1000000</f>
        <v>1540960</v>
      </c>
      <c r="O27">
        <f>+N27*30%</f>
        <v>462288</v>
      </c>
    </row>
    <row r="28" spans="3:15" x14ac:dyDescent="0.25">
      <c r="C28" t="s">
        <v>5</v>
      </c>
      <c r="D28">
        <v>224940</v>
      </c>
      <c r="G28" t="s">
        <v>5</v>
      </c>
      <c r="H28">
        <v>224940</v>
      </c>
      <c r="L28">
        <f>SUM(L23:L27)</f>
        <v>532864.5</v>
      </c>
      <c r="O28" s="2">
        <f>SUM(O23:O27)</f>
        <v>574788</v>
      </c>
    </row>
    <row r="30" spans="3:15" x14ac:dyDescent="0.25">
      <c r="D30" s="2">
        <f>+D26-D28</f>
        <v>2600960</v>
      </c>
      <c r="H30" s="2">
        <f>+H26-H28</f>
        <v>2401215</v>
      </c>
    </row>
    <row r="32" spans="3:15" x14ac:dyDescent="0.25">
      <c r="C32" t="s">
        <v>6</v>
      </c>
      <c r="D32">
        <v>60000</v>
      </c>
      <c r="H32">
        <v>532865</v>
      </c>
    </row>
    <row r="34" spans="4:4" x14ac:dyDescent="0.25">
      <c r="D34">
        <f>+D30-D32</f>
        <v>2540960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B1" workbookViewId="0">
      <selection activeCell="L15" sqref="L15"/>
    </sheetView>
  </sheetViews>
  <sheetFormatPr defaultRowHeight="15" x14ac:dyDescent="0.25"/>
  <cols>
    <col min="2" max="2" width="17.5703125" customWidth="1"/>
    <col min="3" max="3" width="16.42578125" bestFit="1" customWidth="1"/>
    <col min="5" max="5" width="16.85546875" bestFit="1" customWidth="1"/>
    <col min="9" max="9" width="11.5703125" bestFit="1" customWidth="1"/>
    <col min="10" max="10" width="19.7109375" bestFit="1" customWidth="1"/>
    <col min="14" max="14" width="15.140625" bestFit="1" customWidth="1"/>
    <col min="20" max="20" width="12.5703125" bestFit="1" customWidth="1"/>
  </cols>
  <sheetData>
    <row r="1" spans="1:15" x14ac:dyDescent="0.25">
      <c r="A1" s="2" t="s">
        <v>41</v>
      </c>
      <c r="O1">
        <v>1914358</v>
      </c>
    </row>
    <row r="2" spans="1:15" x14ac:dyDescent="0.25">
      <c r="A2" s="2" t="s">
        <v>19</v>
      </c>
    </row>
    <row r="3" spans="1:15" x14ac:dyDescent="0.25">
      <c r="A3" s="2"/>
      <c r="E3" s="2" t="s">
        <v>43</v>
      </c>
      <c r="F3" s="8">
        <f>+F6+C17</f>
        <v>3250660</v>
      </c>
    </row>
    <row r="4" spans="1:15" x14ac:dyDescent="0.25">
      <c r="A4" s="2" t="s">
        <v>17</v>
      </c>
      <c r="B4" s="2" t="s">
        <v>15</v>
      </c>
      <c r="C4" s="2" t="s">
        <v>16</v>
      </c>
      <c r="G4" s="7"/>
      <c r="I4" s="2" t="s">
        <v>15</v>
      </c>
      <c r="J4" s="2" t="s">
        <v>42</v>
      </c>
      <c r="L4" s="2" t="s">
        <v>12</v>
      </c>
      <c r="M4" s="2" t="s">
        <v>45</v>
      </c>
      <c r="N4" s="2" t="s">
        <v>46</v>
      </c>
      <c r="O4" s="2" t="s">
        <v>14</v>
      </c>
    </row>
    <row r="5" spans="1:15" x14ac:dyDescent="0.25">
      <c r="A5">
        <v>1</v>
      </c>
      <c r="B5" s="1">
        <v>45383</v>
      </c>
      <c r="C5">
        <v>227863</v>
      </c>
      <c r="I5" s="1">
        <v>45383</v>
      </c>
      <c r="J5">
        <v>42431</v>
      </c>
      <c r="L5">
        <v>13672</v>
      </c>
      <c r="M5">
        <v>200</v>
      </c>
      <c r="N5">
        <f>+J5+L5+M5</f>
        <v>56303</v>
      </c>
      <c r="O5">
        <f>+C5-N5</f>
        <v>171560</v>
      </c>
    </row>
    <row r="6" spans="1:15" x14ac:dyDescent="0.25">
      <c r="A6">
        <v>2</v>
      </c>
      <c r="B6" s="1">
        <v>45413</v>
      </c>
      <c r="C6">
        <v>227863</v>
      </c>
      <c r="E6" t="s">
        <v>12</v>
      </c>
      <c r="F6" s="7">
        <f>14355*12</f>
        <v>172260</v>
      </c>
      <c r="I6" s="1">
        <v>45413</v>
      </c>
      <c r="J6">
        <v>42431</v>
      </c>
      <c r="L6">
        <v>13672</v>
      </c>
      <c r="M6">
        <v>200</v>
      </c>
      <c r="N6">
        <f t="shared" ref="N6:N14" si="0">+J6+L6+M6</f>
        <v>56303</v>
      </c>
      <c r="O6">
        <f t="shared" ref="O6:O14" si="1">+C6-N6</f>
        <v>171560</v>
      </c>
    </row>
    <row r="7" spans="1:15" x14ac:dyDescent="0.25">
      <c r="A7">
        <v>3</v>
      </c>
      <c r="B7" s="1">
        <v>45444</v>
      </c>
      <c r="C7">
        <v>439049</v>
      </c>
      <c r="E7" t="s">
        <v>2</v>
      </c>
      <c r="F7" s="7">
        <v>2500</v>
      </c>
      <c r="I7" s="1">
        <v>45444</v>
      </c>
      <c r="J7">
        <v>123919</v>
      </c>
      <c r="L7">
        <v>13672</v>
      </c>
      <c r="M7">
        <v>200</v>
      </c>
      <c r="N7">
        <f t="shared" si="0"/>
        <v>137791</v>
      </c>
      <c r="O7">
        <f t="shared" si="1"/>
        <v>301258</v>
      </c>
    </row>
    <row r="8" spans="1:15" x14ac:dyDescent="0.25">
      <c r="A8">
        <v>4</v>
      </c>
      <c r="B8" s="1">
        <v>45474</v>
      </c>
      <c r="C8">
        <v>273435</v>
      </c>
      <c r="E8" t="s">
        <v>13</v>
      </c>
      <c r="F8" s="7">
        <f>J37</f>
        <v>616480.80000000005</v>
      </c>
      <c r="I8" s="1">
        <v>45474</v>
      </c>
      <c r="J8">
        <v>50484</v>
      </c>
      <c r="L8">
        <v>14355</v>
      </c>
      <c r="M8">
        <v>200</v>
      </c>
      <c r="N8">
        <f t="shared" si="0"/>
        <v>65039</v>
      </c>
      <c r="O8">
        <f t="shared" si="1"/>
        <v>208396</v>
      </c>
    </row>
    <row r="9" spans="1:15" x14ac:dyDescent="0.25">
      <c r="A9">
        <v>5</v>
      </c>
      <c r="B9" s="1">
        <v>45505</v>
      </c>
      <c r="C9">
        <v>239256</v>
      </c>
      <c r="F9" s="8">
        <f>SUM(F6:F8)</f>
        <v>791240.8</v>
      </c>
      <c r="I9" s="1">
        <v>45505</v>
      </c>
      <c r="J9">
        <v>46756</v>
      </c>
      <c r="L9">
        <v>14355</v>
      </c>
      <c r="M9">
        <v>200</v>
      </c>
      <c r="N9">
        <f t="shared" si="0"/>
        <v>61311</v>
      </c>
      <c r="O9">
        <f t="shared" si="1"/>
        <v>177945</v>
      </c>
    </row>
    <row r="10" spans="1:15" x14ac:dyDescent="0.25">
      <c r="A10">
        <v>6</v>
      </c>
      <c r="B10" s="1">
        <v>45536</v>
      </c>
      <c r="C10">
        <v>239256</v>
      </c>
      <c r="F10" s="7"/>
      <c r="I10" s="1">
        <v>45536</v>
      </c>
      <c r="J10">
        <v>46756</v>
      </c>
      <c r="L10">
        <v>14355</v>
      </c>
      <c r="M10">
        <v>200</v>
      </c>
      <c r="N10">
        <f t="shared" si="0"/>
        <v>61311</v>
      </c>
      <c r="O10">
        <f t="shared" si="1"/>
        <v>177945</v>
      </c>
    </row>
    <row r="11" spans="1:15" x14ac:dyDescent="0.25">
      <c r="A11">
        <v>7</v>
      </c>
      <c r="B11" s="1">
        <v>45566</v>
      </c>
      <c r="C11">
        <v>239256</v>
      </c>
      <c r="E11" t="s">
        <v>14</v>
      </c>
      <c r="F11" s="8">
        <f>+C17-F9</f>
        <v>2287159.2000000002</v>
      </c>
      <c r="I11" s="1">
        <v>45566</v>
      </c>
      <c r="J11">
        <v>46756</v>
      </c>
      <c r="L11">
        <v>14355</v>
      </c>
      <c r="M11">
        <v>200</v>
      </c>
      <c r="N11">
        <f t="shared" si="0"/>
        <v>61311</v>
      </c>
      <c r="O11">
        <f t="shared" si="1"/>
        <v>177945</v>
      </c>
    </row>
    <row r="12" spans="1:15" x14ac:dyDescent="0.25">
      <c r="A12">
        <v>8</v>
      </c>
      <c r="B12" s="1">
        <v>45597</v>
      </c>
      <c r="C12">
        <v>239256</v>
      </c>
      <c r="F12" s="7"/>
      <c r="I12" s="1">
        <v>45597</v>
      </c>
      <c r="J12">
        <v>46756</v>
      </c>
      <c r="L12">
        <v>14355</v>
      </c>
      <c r="M12">
        <v>200</v>
      </c>
      <c r="N12">
        <f t="shared" si="0"/>
        <v>61311</v>
      </c>
      <c r="O12">
        <f t="shared" si="1"/>
        <v>177945</v>
      </c>
    </row>
    <row r="13" spans="1:15" x14ac:dyDescent="0.25">
      <c r="A13">
        <v>9</v>
      </c>
      <c r="B13" s="1">
        <v>45627</v>
      </c>
      <c r="C13">
        <v>235398</v>
      </c>
      <c r="E13" t="s">
        <v>44</v>
      </c>
      <c r="F13" s="8">
        <f>+F11/12</f>
        <v>190596.6</v>
      </c>
      <c r="I13" s="1">
        <v>45627</v>
      </c>
      <c r="J13">
        <v>46756</v>
      </c>
      <c r="L13">
        <v>14124</v>
      </c>
      <c r="M13">
        <v>200</v>
      </c>
      <c r="N13">
        <f t="shared" si="0"/>
        <v>61080</v>
      </c>
      <c r="O13">
        <f t="shared" si="1"/>
        <v>174318</v>
      </c>
    </row>
    <row r="14" spans="1:15" x14ac:dyDescent="0.25">
      <c r="A14">
        <v>10</v>
      </c>
      <c r="B14" s="1">
        <v>45658</v>
      </c>
      <c r="C14">
        <v>239256</v>
      </c>
      <c r="F14" s="7"/>
      <c r="I14" s="1">
        <v>45658</v>
      </c>
      <c r="J14">
        <v>46835</v>
      </c>
      <c r="L14">
        <v>14355</v>
      </c>
      <c r="M14">
        <v>200</v>
      </c>
      <c r="N14">
        <f t="shared" si="0"/>
        <v>61390</v>
      </c>
      <c r="O14">
        <f t="shared" si="1"/>
        <v>177866</v>
      </c>
    </row>
    <row r="15" spans="1:15" x14ac:dyDescent="0.25">
      <c r="A15">
        <v>11</v>
      </c>
      <c r="B15" s="1">
        <v>45689</v>
      </c>
      <c r="C15">
        <v>239256</v>
      </c>
      <c r="I15" s="9">
        <v>45689</v>
      </c>
      <c r="J15" s="2">
        <v>38300</v>
      </c>
      <c r="K15" s="2"/>
      <c r="L15" s="2">
        <v>14355</v>
      </c>
      <c r="M15" s="2">
        <v>200</v>
      </c>
      <c r="N15" s="2">
        <f t="shared" ref="N15:N16" si="2">+J15+L15+M15</f>
        <v>52855</v>
      </c>
      <c r="O15" s="2">
        <f t="shared" ref="O15:O16" si="3">+C15-N15</f>
        <v>186401</v>
      </c>
    </row>
    <row r="16" spans="1:15" ht="30" x14ac:dyDescent="0.25">
      <c r="A16">
        <v>12</v>
      </c>
      <c r="B16" s="1">
        <v>45717</v>
      </c>
      <c r="C16">
        <v>239256</v>
      </c>
      <c r="E16" s="10" t="s">
        <v>48</v>
      </c>
      <c r="I16" s="9">
        <v>45717</v>
      </c>
      <c r="J16" s="2">
        <v>38301</v>
      </c>
      <c r="K16" s="2"/>
      <c r="L16" s="2">
        <v>14355</v>
      </c>
      <c r="M16" s="2">
        <v>200</v>
      </c>
      <c r="N16" s="2">
        <f t="shared" si="2"/>
        <v>52856</v>
      </c>
      <c r="O16" s="2">
        <f t="shared" si="3"/>
        <v>186400</v>
      </c>
    </row>
    <row r="17" spans="1:22" x14ac:dyDescent="0.25">
      <c r="C17" s="2">
        <f>SUM(C5:C16)</f>
        <v>3078400</v>
      </c>
      <c r="E17" s="2">
        <f>+C17-77500</f>
        <v>3000900</v>
      </c>
      <c r="J17" s="2">
        <f>SUM(J5:J16)</f>
        <v>616481</v>
      </c>
      <c r="L17" s="2">
        <f>SUM(L5:L16)</f>
        <v>169980</v>
      </c>
      <c r="M17" s="2">
        <f>SUM(M5:M16)</f>
        <v>2400</v>
      </c>
      <c r="O17" s="2">
        <f>SUM(O5:O16)</f>
        <v>2289539</v>
      </c>
    </row>
    <row r="18" spans="1:22" x14ac:dyDescent="0.25">
      <c r="J18" s="7"/>
    </row>
    <row r="19" spans="1:22" x14ac:dyDescent="0.25">
      <c r="A19">
        <v>1</v>
      </c>
      <c r="B19" t="s">
        <v>1</v>
      </c>
      <c r="C19">
        <v>50000</v>
      </c>
      <c r="S19" s="2"/>
    </row>
    <row r="20" spans="1:22" x14ac:dyDescent="0.25">
      <c r="A20">
        <v>2</v>
      </c>
      <c r="B20" t="s">
        <v>2</v>
      </c>
      <c r="C20">
        <v>2500</v>
      </c>
    </row>
    <row r="21" spans="1:22" x14ac:dyDescent="0.25">
      <c r="A21">
        <v>3</v>
      </c>
      <c r="B21" t="s">
        <v>4</v>
      </c>
      <c r="C21">
        <v>200000</v>
      </c>
      <c r="F21">
        <f>+F3*5%</f>
        <v>162533</v>
      </c>
      <c r="I21" s="3"/>
      <c r="J21" s="8"/>
      <c r="T21" s="3"/>
    </row>
    <row r="22" spans="1:22" x14ac:dyDescent="0.25">
      <c r="A22">
        <v>4</v>
      </c>
      <c r="B22" t="s">
        <v>9</v>
      </c>
      <c r="C22">
        <v>150000</v>
      </c>
      <c r="I22" s="3"/>
      <c r="T22" s="3"/>
    </row>
    <row r="23" spans="1:22" x14ac:dyDescent="0.25">
      <c r="A23">
        <v>5</v>
      </c>
      <c r="B23" t="s">
        <v>10</v>
      </c>
      <c r="C23">
        <v>25000</v>
      </c>
      <c r="I23" s="3"/>
      <c r="T23" s="3"/>
    </row>
    <row r="24" spans="1:22" x14ac:dyDescent="0.25">
      <c r="A24">
        <v>6</v>
      </c>
      <c r="B24" t="s">
        <v>6</v>
      </c>
      <c r="C24">
        <v>50000</v>
      </c>
      <c r="I24" s="3"/>
      <c r="T24" s="3"/>
    </row>
    <row r="25" spans="1:22" x14ac:dyDescent="0.25">
      <c r="A25">
        <v>7</v>
      </c>
      <c r="B25" t="s">
        <v>47</v>
      </c>
      <c r="I25" s="3"/>
      <c r="T25" s="3"/>
    </row>
    <row r="26" spans="1:22" x14ac:dyDescent="0.25">
      <c r="B26" s="2" t="s">
        <v>46</v>
      </c>
      <c r="C26" s="2">
        <f>SUM(C19:C24)</f>
        <v>477500</v>
      </c>
      <c r="T26" s="3"/>
    </row>
    <row r="27" spans="1:22" x14ac:dyDescent="0.25">
      <c r="G27" s="2" t="s">
        <v>18</v>
      </c>
      <c r="L27" s="2" t="s">
        <v>34</v>
      </c>
      <c r="S27" s="2" t="s">
        <v>33</v>
      </c>
      <c r="T27" s="4"/>
    </row>
    <row r="29" spans="1:22" x14ac:dyDescent="0.25">
      <c r="B29" s="2" t="s">
        <v>11</v>
      </c>
      <c r="C29" s="2">
        <f>+C17-C26</f>
        <v>2600900</v>
      </c>
      <c r="G29" t="s">
        <v>29</v>
      </c>
      <c r="H29">
        <v>0</v>
      </c>
      <c r="I29" s="4">
        <v>250000</v>
      </c>
      <c r="J29">
        <v>0</v>
      </c>
      <c r="L29" t="s">
        <v>35</v>
      </c>
      <c r="M29">
        <v>0</v>
      </c>
      <c r="N29">
        <v>300000</v>
      </c>
      <c r="O29">
        <v>0</v>
      </c>
      <c r="S29" t="s">
        <v>20</v>
      </c>
      <c r="T29" s="4">
        <v>0</v>
      </c>
      <c r="U29">
        <v>400000</v>
      </c>
      <c r="V29">
        <v>0</v>
      </c>
    </row>
    <row r="30" spans="1:22" x14ac:dyDescent="0.25">
      <c r="B30" s="2" t="s">
        <v>49</v>
      </c>
      <c r="G30" t="s">
        <v>32</v>
      </c>
      <c r="H30" s="3">
        <v>0.05</v>
      </c>
      <c r="I30" s="4">
        <v>250000</v>
      </c>
      <c r="J30">
        <f>+I30*5%</f>
        <v>12500</v>
      </c>
      <c r="L30" t="s">
        <v>36</v>
      </c>
      <c r="M30" s="3">
        <v>0.05</v>
      </c>
      <c r="N30">
        <v>300000</v>
      </c>
      <c r="O30">
        <f>+N30*5%</f>
        <v>15000</v>
      </c>
      <c r="S30" t="s">
        <v>21</v>
      </c>
      <c r="T30" s="3">
        <v>0.05</v>
      </c>
      <c r="U30">
        <v>400000</v>
      </c>
      <c r="V30">
        <f>+U30*5%</f>
        <v>20000</v>
      </c>
    </row>
    <row r="31" spans="1:22" x14ac:dyDescent="0.25">
      <c r="G31" t="s">
        <v>30</v>
      </c>
      <c r="H31" s="3">
        <v>0.2</v>
      </c>
      <c r="I31" s="5">
        <v>500000</v>
      </c>
      <c r="J31">
        <f>+I31*20%</f>
        <v>100000</v>
      </c>
      <c r="L31" t="s">
        <v>37</v>
      </c>
      <c r="M31" s="3">
        <v>0.1</v>
      </c>
      <c r="N31">
        <v>300000</v>
      </c>
      <c r="O31">
        <f>+N31*10%</f>
        <v>30000</v>
      </c>
      <c r="S31" t="s">
        <v>22</v>
      </c>
      <c r="T31" s="3">
        <v>0.1</v>
      </c>
      <c r="U31">
        <v>400000</v>
      </c>
      <c r="V31">
        <f>+U31*10%</f>
        <v>40000</v>
      </c>
    </row>
    <row r="32" spans="1:22" x14ac:dyDescent="0.25">
      <c r="G32" t="s">
        <v>31</v>
      </c>
      <c r="H32" s="3">
        <v>0.3</v>
      </c>
      <c r="I32" s="5">
        <f>+C29-1000000</f>
        <v>1600900</v>
      </c>
      <c r="J32">
        <f>+I32*30%</f>
        <v>480270</v>
      </c>
      <c r="L32" t="s">
        <v>38</v>
      </c>
      <c r="M32" s="3">
        <v>0.15</v>
      </c>
      <c r="N32">
        <v>300000</v>
      </c>
      <c r="O32">
        <f>+N32*15%</f>
        <v>45000</v>
      </c>
      <c r="S32" t="s">
        <v>23</v>
      </c>
      <c r="T32" s="3">
        <v>0.15</v>
      </c>
      <c r="U32">
        <v>400000</v>
      </c>
      <c r="V32">
        <f>+U32*15%</f>
        <v>60000</v>
      </c>
    </row>
    <row r="33" spans="8:25" x14ac:dyDescent="0.25">
      <c r="H33" s="3"/>
      <c r="I33" s="6"/>
      <c r="L33" t="s">
        <v>39</v>
      </c>
      <c r="M33" s="3">
        <v>0.2</v>
      </c>
      <c r="N33">
        <v>300000</v>
      </c>
      <c r="O33">
        <f>+N33*20%</f>
        <v>60000</v>
      </c>
      <c r="S33" t="s">
        <v>24</v>
      </c>
      <c r="T33" s="3">
        <v>0.2</v>
      </c>
      <c r="U33">
        <v>400000</v>
      </c>
      <c r="V33">
        <f>+U33*20%</f>
        <v>80000</v>
      </c>
    </row>
    <row r="34" spans="8:25" x14ac:dyDescent="0.25">
      <c r="I34" s="2" t="s">
        <v>8</v>
      </c>
      <c r="J34" s="2">
        <f>SUM(J29:J33)</f>
        <v>592770</v>
      </c>
      <c r="L34" t="s">
        <v>40</v>
      </c>
      <c r="M34" s="3">
        <v>0.3</v>
      </c>
      <c r="N34">
        <f>+E17-1500000</f>
        <v>1500900</v>
      </c>
      <c r="O34">
        <f>+N34*30%</f>
        <v>450270</v>
      </c>
      <c r="S34" t="s">
        <v>25</v>
      </c>
      <c r="T34" s="3">
        <v>0.25</v>
      </c>
      <c r="U34">
        <v>400000</v>
      </c>
      <c r="V34">
        <f>+U34*25%</f>
        <v>100000</v>
      </c>
    </row>
    <row r="35" spans="8:25" x14ac:dyDescent="0.25">
      <c r="I35" s="2"/>
      <c r="O35" s="2">
        <f>SUM(O29:O34)</f>
        <v>600270</v>
      </c>
      <c r="S35" t="s">
        <v>26</v>
      </c>
      <c r="T35" s="3">
        <v>0.3</v>
      </c>
      <c r="U35">
        <f>+E17-2400000</f>
        <v>600900</v>
      </c>
      <c r="V35">
        <f>+U35*30%</f>
        <v>180270</v>
      </c>
    </row>
    <row r="36" spans="8:25" x14ac:dyDescent="0.25">
      <c r="I36" s="2" t="s">
        <v>27</v>
      </c>
      <c r="J36" s="7">
        <f>+J34*4%</f>
        <v>23710.799999999999</v>
      </c>
      <c r="U36" s="2" t="s">
        <v>8</v>
      </c>
      <c r="V36" s="8">
        <f>SUM(V29:V35)</f>
        <v>480270</v>
      </c>
    </row>
    <row r="37" spans="8:25" x14ac:dyDescent="0.25">
      <c r="I37" s="2" t="s">
        <v>28</v>
      </c>
      <c r="J37" s="8">
        <f>+J34+J36</f>
        <v>616480.80000000005</v>
      </c>
      <c r="O37" s="7">
        <f>+O35*4%</f>
        <v>24010.799999999999</v>
      </c>
      <c r="U37" s="2" t="s">
        <v>27</v>
      </c>
      <c r="V37" s="7">
        <f>+V36*4%</f>
        <v>19210.8</v>
      </c>
      <c r="X37" s="8"/>
      <c r="Y37" s="2"/>
    </row>
    <row r="38" spans="8:25" x14ac:dyDescent="0.25">
      <c r="O38" s="8">
        <f>+O35+O37</f>
        <v>624280.80000000005</v>
      </c>
      <c r="U38" s="2" t="s">
        <v>28</v>
      </c>
      <c r="V38" s="8">
        <f>+V36+V37</f>
        <v>499480.8</v>
      </c>
    </row>
    <row r="39" spans="8:25" x14ac:dyDescent="0.25">
      <c r="O39" s="7"/>
    </row>
    <row r="40" spans="8:25" x14ac:dyDescent="0.25">
      <c r="O40" s="7"/>
      <c r="V40" s="7"/>
    </row>
    <row r="41" spans="8:25" x14ac:dyDescent="0.25">
      <c r="J41" s="7"/>
    </row>
    <row r="42" spans="8:25" x14ac:dyDescent="0.25">
      <c r="J42" s="7"/>
      <c r="T42" s="2"/>
    </row>
    <row r="43" spans="8:25" x14ac:dyDescent="0.25">
      <c r="J43" s="7"/>
    </row>
    <row r="44" spans="8:25" x14ac:dyDescent="0.25">
      <c r="J4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C16" sqref="C16"/>
    </sheetView>
  </sheetViews>
  <sheetFormatPr defaultRowHeight="15" x14ac:dyDescent="0.25"/>
  <cols>
    <col min="1" max="1" width="22.28515625" bestFit="1" customWidth="1"/>
    <col min="2" max="2" width="20.28515625" bestFit="1" customWidth="1"/>
  </cols>
  <sheetData>
    <row r="1" spans="1:14" x14ac:dyDescent="0.25">
      <c r="A1" s="2"/>
      <c r="B1" t="s">
        <v>66</v>
      </c>
      <c r="C1">
        <v>2376853</v>
      </c>
      <c r="E1" s="2"/>
    </row>
    <row r="2" spans="1:14" x14ac:dyDescent="0.25">
      <c r="A2" s="2" t="s">
        <v>51</v>
      </c>
      <c r="D2">
        <v>2421080.4900000002</v>
      </c>
    </row>
    <row r="3" spans="1:14" s="2" customFormat="1" x14ac:dyDescent="0.25">
      <c r="D3" s="2">
        <v>2389924.5099999998</v>
      </c>
      <c r="M3" s="9">
        <v>45352</v>
      </c>
      <c r="N3" s="2">
        <v>191328</v>
      </c>
    </row>
    <row r="4" spans="1:14" s="2" customFormat="1" x14ac:dyDescent="0.25">
      <c r="A4" s="2" t="s">
        <v>63</v>
      </c>
      <c r="B4" s="2" t="s">
        <v>64</v>
      </c>
      <c r="C4" s="9"/>
      <c r="D4" s="9"/>
      <c r="E4" s="9"/>
      <c r="F4" s="9"/>
      <c r="M4" s="9">
        <v>45383</v>
      </c>
      <c r="N4" s="2">
        <v>171560</v>
      </c>
    </row>
    <row r="5" spans="1:14" x14ac:dyDescent="0.25">
      <c r="A5" t="s">
        <v>50</v>
      </c>
      <c r="B5">
        <f>53060*12</f>
        <v>636720</v>
      </c>
      <c r="C5">
        <f>53060+53060+53060+53060+53060+53060+53060+53060+53060+53060+53060</f>
        <v>583660</v>
      </c>
      <c r="M5" s="9">
        <v>45413</v>
      </c>
      <c r="N5" s="2">
        <v>171560</v>
      </c>
    </row>
    <row r="6" spans="1:14" x14ac:dyDescent="0.25">
      <c r="A6" t="s">
        <v>52</v>
      </c>
      <c r="B6">
        <f>4889*12</f>
        <v>58668</v>
      </c>
      <c r="C6">
        <f>2475+2475+3028+2475+1400+1514+2475+1514+600+2475+600+1514+2475+1514+700+2475+700+11714+2475+3454+2475+2475+2100+1714+2475+1714+700</f>
        <v>61705</v>
      </c>
      <c r="M6" s="9">
        <v>45444</v>
      </c>
      <c r="N6" s="2">
        <v>301258</v>
      </c>
    </row>
    <row r="7" spans="1:14" x14ac:dyDescent="0.25">
      <c r="A7" t="s">
        <v>53</v>
      </c>
      <c r="B7">
        <f>2000*12</f>
        <v>24000</v>
      </c>
      <c r="C7">
        <f>2930+3340+640+430+2620+2240+1970+2690+1420+800+1750</f>
        <v>20830</v>
      </c>
      <c r="M7" s="9">
        <v>45474</v>
      </c>
      <c r="N7" s="2">
        <v>208396</v>
      </c>
    </row>
    <row r="8" spans="1:14" x14ac:dyDescent="0.25">
      <c r="A8" t="s">
        <v>54</v>
      </c>
      <c r="B8">
        <v>380000</v>
      </c>
      <c r="C8">
        <f>190000+190000+3500+190000</f>
        <v>573500</v>
      </c>
      <c r="M8" s="9">
        <v>45505</v>
      </c>
      <c r="N8" s="2">
        <v>177945</v>
      </c>
    </row>
    <row r="9" spans="1:14" x14ac:dyDescent="0.25">
      <c r="A9" t="s">
        <v>55</v>
      </c>
      <c r="B9">
        <f>25000+20000</f>
        <v>45000</v>
      </c>
      <c r="C9">
        <f>20000+20000+25000+20000+25000</f>
        <v>110000</v>
      </c>
      <c r="M9" s="9">
        <v>45536</v>
      </c>
      <c r="N9" s="2">
        <v>177945</v>
      </c>
    </row>
    <row r="10" spans="1:14" x14ac:dyDescent="0.25">
      <c r="A10" t="s">
        <v>56</v>
      </c>
      <c r="B10">
        <v>240000</v>
      </c>
      <c r="C10">
        <f>10000+20000+10000+5000+10000+30000+5000+10000+10000+20000+10000+20000+35000+15000</f>
        <v>210000</v>
      </c>
      <c r="M10" s="9">
        <v>45566</v>
      </c>
      <c r="N10" s="2">
        <v>177945</v>
      </c>
    </row>
    <row r="11" spans="1:14" x14ac:dyDescent="0.25">
      <c r="A11" t="s">
        <v>57</v>
      </c>
      <c r="B11">
        <f>6000*12</f>
        <v>72000</v>
      </c>
      <c r="C11">
        <f>1500+2000+2000+18+2000+1500+2000+2000+2000+2000+1509.44+1000+2000+2000+1000+1500+1500+2000+1012.98+2000+2000+4000+2000+2000+2000+2000</f>
        <v>46540.42</v>
      </c>
      <c r="M11" s="9">
        <v>45597</v>
      </c>
      <c r="N11" s="2">
        <v>177945</v>
      </c>
    </row>
    <row r="12" spans="1:14" x14ac:dyDescent="0.25">
      <c r="A12" t="s">
        <v>58</v>
      </c>
      <c r="B12">
        <v>10000</v>
      </c>
      <c r="C12">
        <f>5882+12146+8932</f>
        <v>26960</v>
      </c>
      <c r="M12" s="9">
        <v>45627</v>
      </c>
      <c r="N12" s="2">
        <v>174318</v>
      </c>
    </row>
    <row r="13" spans="1:14" x14ac:dyDescent="0.25">
      <c r="A13" t="s">
        <v>59</v>
      </c>
      <c r="B13">
        <v>17000</v>
      </c>
      <c r="M13" s="9">
        <v>45658</v>
      </c>
      <c r="N13" s="2">
        <v>177866</v>
      </c>
    </row>
    <row r="14" spans="1:14" x14ac:dyDescent="0.25">
      <c r="A14" t="s">
        <v>60</v>
      </c>
      <c r="B14">
        <v>45000</v>
      </c>
      <c r="C14">
        <v>40788</v>
      </c>
      <c r="M14" s="9"/>
    </row>
    <row r="15" spans="1:14" x14ac:dyDescent="0.25">
      <c r="A15" t="s">
        <v>61</v>
      </c>
      <c r="B15">
        <f>11402+117000+6115+6115+7600</f>
        <v>148232</v>
      </c>
      <c r="C15">
        <f>11402+121103.13</f>
        <v>132505.13</v>
      </c>
      <c r="M15" s="9"/>
      <c r="N15" s="2">
        <v>2687</v>
      </c>
    </row>
    <row r="16" spans="1:14" x14ac:dyDescent="0.25">
      <c r="A16" t="s">
        <v>62</v>
      </c>
      <c r="B16">
        <f>10000*12</f>
        <v>120000</v>
      </c>
      <c r="C16">
        <f>10000+10000</f>
        <v>20000</v>
      </c>
      <c r="M16" s="9"/>
      <c r="N16" s="2">
        <v>3150</v>
      </c>
    </row>
    <row r="17" spans="1:14" x14ac:dyDescent="0.25">
      <c r="A17" t="s">
        <v>65</v>
      </c>
      <c r="B17">
        <v>60000</v>
      </c>
      <c r="C17">
        <f>557+2000+1009.44+1950+2000+19448+2000+11.8+13670+14500+4950+180+4838+2299+1489+733+1807.8+2000+230.32+2000+2000+5000+2000+10000+4500+2000+849+16000+2211+900+10000+2000+2350+708+6785.5+540+11.8+1050+3435+5000+1421+7000+1914+2000+450+819+2000+2000+230+2000+1200+5000+2700+4793+2826+5000+1500+1643+1890+5000+910+3800+10000+5000+2039+2000+2000+2798+1649+1500+2000+2295+27558+4000+562+4495+2000+5000+11.8+250+1364+2500+4000+5180.5+1040</f>
        <v>300351.96000000002</v>
      </c>
      <c r="M17" s="9"/>
      <c r="N17" s="2">
        <v>100</v>
      </c>
    </row>
    <row r="18" spans="1:14" x14ac:dyDescent="0.25">
      <c r="A18" t="s">
        <v>67</v>
      </c>
      <c r="C18">
        <f>500+990+839+720+990+1480+310+3800+1145+650+1339+720+2000+1350+750+2000+847+2100+727+2660+1300+700+769+650+1090+110000+550+100+1850+1040+1463+1460+1382</f>
        <v>148271</v>
      </c>
      <c r="N18" s="2">
        <v>1594</v>
      </c>
    </row>
    <row r="19" spans="1:14" x14ac:dyDescent="0.25">
      <c r="A19" t="s">
        <v>68</v>
      </c>
      <c r="C19">
        <f>299+299+349+299+349+299+399+399+299+349</f>
        <v>3340</v>
      </c>
      <c r="N19" s="2">
        <v>1090</v>
      </c>
    </row>
    <row r="20" spans="1:14" x14ac:dyDescent="0.25">
      <c r="A20" t="s">
        <v>69</v>
      </c>
      <c r="C20">
        <v>4300</v>
      </c>
      <c r="J20">
        <f>350000-268000</f>
        <v>82000</v>
      </c>
      <c r="N20" s="2">
        <v>10000</v>
      </c>
    </row>
    <row r="21" spans="1:14" x14ac:dyDescent="0.25">
      <c r="A21" t="s">
        <v>70</v>
      </c>
      <c r="C21">
        <v>100000</v>
      </c>
      <c r="N21" s="2">
        <v>60420</v>
      </c>
    </row>
    <row r="22" spans="1:14" x14ac:dyDescent="0.25">
      <c r="A22" t="s">
        <v>71</v>
      </c>
      <c r="C22">
        <f>6385+788</f>
        <v>7173</v>
      </c>
      <c r="N22" s="2">
        <v>2311</v>
      </c>
    </row>
    <row r="23" spans="1:14" x14ac:dyDescent="0.25">
      <c r="N23" s="2">
        <v>155182</v>
      </c>
    </row>
    <row r="24" spans="1:14" x14ac:dyDescent="0.25">
      <c r="N24" s="2">
        <v>2000</v>
      </c>
    </row>
    <row r="25" spans="1:14" x14ac:dyDescent="0.25">
      <c r="N25" s="2">
        <v>10160</v>
      </c>
    </row>
    <row r="26" spans="1:14" x14ac:dyDescent="0.25">
      <c r="N26" s="2">
        <v>2255</v>
      </c>
    </row>
    <row r="27" spans="1:14" x14ac:dyDescent="0.25">
      <c r="N27" s="2">
        <v>10000</v>
      </c>
    </row>
    <row r="28" spans="1:14" x14ac:dyDescent="0.25">
      <c r="N28" s="2">
        <v>7838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F11" sqref="F11"/>
    </sheetView>
  </sheetViews>
  <sheetFormatPr defaultRowHeight="15" x14ac:dyDescent="0.25"/>
  <cols>
    <col min="1" max="1" width="16.7109375" bestFit="1" customWidth="1"/>
    <col min="2" max="2" width="12" style="11" bestFit="1" customWidth="1"/>
    <col min="3" max="11" width="12" style="11" customWidth="1"/>
    <col min="12" max="13" width="13.7109375" style="11" customWidth="1"/>
    <col min="14" max="15" width="12" style="11" customWidth="1"/>
    <col min="16" max="17" width="13.7109375" style="11" customWidth="1"/>
    <col min="18" max="23" width="12" style="11" customWidth="1"/>
    <col min="24" max="24" width="13.7109375" style="11" customWidth="1"/>
    <col min="25" max="25" width="11.5703125" bestFit="1" customWidth="1"/>
  </cols>
  <sheetData>
    <row r="1" spans="1:25" x14ac:dyDescent="0.25">
      <c r="C1" s="12">
        <f>217084+88850.5</f>
        <v>305934.5</v>
      </c>
      <c r="E1" s="12">
        <f>C23</f>
        <v>215464</v>
      </c>
      <c r="G1" s="12">
        <f>E23</f>
        <v>215464</v>
      </c>
      <c r="I1" s="12">
        <f>G23</f>
        <v>215464</v>
      </c>
      <c r="K1" s="12">
        <f>I23</f>
        <v>215464</v>
      </c>
      <c r="M1" s="12">
        <f>K23</f>
        <v>215464</v>
      </c>
      <c r="O1" s="12">
        <f>M23</f>
        <v>215464</v>
      </c>
      <c r="Q1" s="12">
        <f>O23</f>
        <v>215464</v>
      </c>
      <c r="S1" s="12">
        <f>Q23</f>
        <v>215464</v>
      </c>
      <c r="U1" s="12">
        <f>S23</f>
        <v>215464</v>
      </c>
      <c r="W1" s="12">
        <f>U23</f>
        <v>215464</v>
      </c>
      <c r="Y1" s="12">
        <f>W23</f>
        <v>215464</v>
      </c>
    </row>
    <row r="2" spans="1:25" x14ac:dyDescent="0.25">
      <c r="A2" s="16" t="s">
        <v>63</v>
      </c>
      <c r="B2" s="13" t="s">
        <v>73</v>
      </c>
      <c r="C2" s="13" t="s">
        <v>74</v>
      </c>
      <c r="D2" s="13" t="s">
        <v>73</v>
      </c>
      <c r="E2" s="13" t="s">
        <v>74</v>
      </c>
      <c r="F2" s="13" t="s">
        <v>73</v>
      </c>
      <c r="G2" s="13" t="s">
        <v>74</v>
      </c>
      <c r="H2" s="13" t="s">
        <v>73</v>
      </c>
      <c r="I2" s="13" t="s">
        <v>74</v>
      </c>
      <c r="J2" s="13" t="s">
        <v>73</v>
      </c>
      <c r="K2" s="13" t="s">
        <v>74</v>
      </c>
      <c r="L2" s="13" t="s">
        <v>73</v>
      </c>
      <c r="M2" s="13" t="s">
        <v>74</v>
      </c>
      <c r="N2" s="13" t="s">
        <v>73</v>
      </c>
      <c r="O2" s="13" t="s">
        <v>74</v>
      </c>
      <c r="P2" s="13" t="s">
        <v>73</v>
      </c>
      <c r="Q2" s="13" t="s">
        <v>74</v>
      </c>
      <c r="R2" s="13" t="s">
        <v>73</v>
      </c>
      <c r="S2" s="13" t="s">
        <v>74</v>
      </c>
      <c r="T2" s="13" t="s">
        <v>73</v>
      </c>
      <c r="U2" s="13" t="s">
        <v>74</v>
      </c>
      <c r="V2" s="13" t="s">
        <v>73</v>
      </c>
      <c r="W2" s="13" t="s">
        <v>74</v>
      </c>
      <c r="X2" s="13" t="s">
        <v>73</v>
      </c>
      <c r="Y2" s="13" t="s">
        <v>74</v>
      </c>
    </row>
    <row r="3" spans="1:25" s="2" customFormat="1" x14ac:dyDescent="0.25">
      <c r="A3" s="16" t="s">
        <v>15</v>
      </c>
      <c r="B3" s="19">
        <v>45689</v>
      </c>
      <c r="C3" s="19"/>
      <c r="D3" s="20">
        <v>45717</v>
      </c>
      <c r="E3" s="21"/>
      <c r="F3" s="20">
        <v>45748</v>
      </c>
      <c r="G3" s="21"/>
      <c r="H3" s="20">
        <v>45778</v>
      </c>
      <c r="I3" s="21"/>
      <c r="J3" s="20">
        <v>45809</v>
      </c>
      <c r="K3" s="21"/>
      <c r="L3" s="20">
        <v>45839</v>
      </c>
      <c r="M3" s="21"/>
      <c r="N3" s="20">
        <v>45870</v>
      </c>
      <c r="O3" s="21"/>
      <c r="P3" s="20">
        <v>45901</v>
      </c>
      <c r="Q3" s="21"/>
      <c r="R3" s="20">
        <v>45931</v>
      </c>
      <c r="S3" s="21"/>
      <c r="T3" s="20">
        <v>45962</v>
      </c>
      <c r="U3" s="21"/>
      <c r="V3" s="20">
        <v>45992</v>
      </c>
      <c r="W3" s="21"/>
      <c r="X3" s="19">
        <v>46023</v>
      </c>
      <c r="Y3" s="19"/>
    </row>
    <row r="4" spans="1:25" x14ac:dyDescent="0.25">
      <c r="A4" s="15" t="s">
        <v>50</v>
      </c>
      <c r="B4" s="17">
        <v>53060</v>
      </c>
      <c r="C4" s="14">
        <v>53060</v>
      </c>
      <c r="D4" s="17">
        <v>53060</v>
      </c>
      <c r="E4" s="14"/>
      <c r="F4" s="17">
        <v>53060</v>
      </c>
      <c r="G4" s="14"/>
      <c r="H4" s="17">
        <v>53060</v>
      </c>
      <c r="I4" s="14"/>
      <c r="J4" s="17">
        <v>53060</v>
      </c>
      <c r="K4" s="14"/>
      <c r="L4" s="17">
        <v>53060</v>
      </c>
      <c r="M4" s="14"/>
      <c r="N4" s="17">
        <v>53060</v>
      </c>
      <c r="O4" s="14"/>
      <c r="P4" s="17">
        <v>53060</v>
      </c>
      <c r="Q4" s="14"/>
      <c r="R4" s="17">
        <v>53060</v>
      </c>
      <c r="S4" s="14"/>
      <c r="T4" s="17">
        <v>53060</v>
      </c>
      <c r="U4" s="14"/>
      <c r="V4" s="17">
        <v>53060</v>
      </c>
      <c r="W4" s="14"/>
      <c r="X4" s="17">
        <v>53060</v>
      </c>
      <c r="Y4" s="15"/>
    </row>
    <row r="5" spans="1:25" x14ac:dyDescent="0.25">
      <c r="A5" s="15" t="s">
        <v>52</v>
      </c>
      <c r="B5" s="17">
        <f>1714+700+2475</f>
        <v>4889</v>
      </c>
      <c r="C5" s="14">
        <v>4889</v>
      </c>
      <c r="D5" s="17">
        <f t="shared" ref="D5:X5" si="0">1714+700+2475</f>
        <v>4889</v>
      </c>
      <c r="E5" s="14"/>
      <c r="F5" s="17">
        <f t="shared" si="0"/>
        <v>4889</v>
      </c>
      <c r="G5" s="14"/>
      <c r="H5" s="17">
        <f t="shared" si="0"/>
        <v>4889</v>
      </c>
      <c r="I5" s="14"/>
      <c r="J5" s="17">
        <f t="shared" si="0"/>
        <v>4889</v>
      </c>
      <c r="K5" s="14"/>
      <c r="L5" s="17">
        <f t="shared" si="0"/>
        <v>4889</v>
      </c>
      <c r="M5" s="14"/>
      <c r="N5" s="17">
        <f t="shared" si="0"/>
        <v>4889</v>
      </c>
      <c r="O5" s="14"/>
      <c r="P5" s="17">
        <f t="shared" si="0"/>
        <v>4889</v>
      </c>
      <c r="Q5" s="14"/>
      <c r="R5" s="17">
        <f t="shared" si="0"/>
        <v>4889</v>
      </c>
      <c r="S5" s="14"/>
      <c r="T5" s="17">
        <f t="shared" si="0"/>
        <v>4889</v>
      </c>
      <c r="U5" s="14"/>
      <c r="V5" s="17">
        <f t="shared" si="0"/>
        <v>4889</v>
      </c>
      <c r="W5" s="14"/>
      <c r="X5" s="17">
        <f t="shared" si="0"/>
        <v>4889</v>
      </c>
      <c r="Y5" s="15"/>
    </row>
    <row r="6" spans="1:25" x14ac:dyDescent="0.25">
      <c r="A6" s="15" t="s">
        <v>53</v>
      </c>
      <c r="B6" s="17">
        <v>2500</v>
      </c>
      <c r="C6" s="14">
        <v>1950</v>
      </c>
      <c r="D6" s="17">
        <v>2500</v>
      </c>
      <c r="E6" s="14"/>
      <c r="F6" s="17">
        <v>2500</v>
      </c>
      <c r="G6" s="14"/>
      <c r="H6" s="17">
        <v>2500</v>
      </c>
      <c r="I6" s="14"/>
      <c r="J6" s="17">
        <v>2500</v>
      </c>
      <c r="K6" s="14"/>
      <c r="L6" s="17">
        <v>2500</v>
      </c>
      <c r="M6" s="14"/>
      <c r="N6" s="17">
        <v>2500</v>
      </c>
      <c r="O6" s="14"/>
      <c r="P6" s="17">
        <v>2500</v>
      </c>
      <c r="Q6" s="14"/>
      <c r="R6" s="17">
        <v>2500</v>
      </c>
      <c r="S6" s="14"/>
      <c r="T6" s="17">
        <v>2500</v>
      </c>
      <c r="U6" s="14"/>
      <c r="V6" s="17">
        <v>2500</v>
      </c>
      <c r="W6" s="14"/>
      <c r="X6" s="17">
        <v>2500</v>
      </c>
      <c r="Y6" s="15"/>
    </row>
    <row r="7" spans="1:25" x14ac:dyDescent="0.25">
      <c r="A7" s="15" t="s">
        <v>54</v>
      </c>
      <c r="B7" s="17">
        <v>0</v>
      </c>
      <c r="C7" s="14">
        <v>0</v>
      </c>
      <c r="D7" s="17">
        <v>0</v>
      </c>
      <c r="E7" s="14"/>
      <c r="F7" s="17">
        <v>0</v>
      </c>
      <c r="G7" s="14"/>
      <c r="H7" s="17">
        <v>0</v>
      </c>
      <c r="I7" s="14"/>
      <c r="J7" s="17">
        <v>0</v>
      </c>
      <c r="K7" s="14"/>
      <c r="L7" s="17">
        <v>190000</v>
      </c>
      <c r="M7" s="14"/>
      <c r="N7" s="17">
        <v>0</v>
      </c>
      <c r="O7" s="14"/>
      <c r="P7" s="17">
        <v>0</v>
      </c>
      <c r="Q7" s="14"/>
      <c r="R7" s="17">
        <v>0</v>
      </c>
      <c r="S7" s="14"/>
      <c r="T7" s="17">
        <v>0</v>
      </c>
      <c r="U7" s="14"/>
      <c r="V7" s="17">
        <v>0</v>
      </c>
      <c r="W7" s="14"/>
      <c r="X7" s="17">
        <v>190000</v>
      </c>
      <c r="Y7" s="15"/>
    </row>
    <row r="8" spans="1:25" x14ac:dyDescent="0.25">
      <c r="A8" s="15" t="s">
        <v>55</v>
      </c>
      <c r="B8" s="17">
        <v>25000</v>
      </c>
      <c r="C8" s="14">
        <v>0</v>
      </c>
      <c r="D8" s="17">
        <v>20000</v>
      </c>
      <c r="E8" s="14"/>
      <c r="F8" s="17">
        <v>0</v>
      </c>
      <c r="G8" s="14"/>
      <c r="H8" s="17">
        <v>0</v>
      </c>
      <c r="I8" s="14"/>
      <c r="J8" s="17">
        <v>0</v>
      </c>
      <c r="K8" s="14"/>
      <c r="L8" s="17">
        <v>0</v>
      </c>
      <c r="M8" s="14"/>
      <c r="N8" s="17">
        <v>0</v>
      </c>
      <c r="O8" s="14"/>
      <c r="P8" s="17">
        <v>0</v>
      </c>
      <c r="Q8" s="14"/>
      <c r="R8" s="17">
        <v>0</v>
      </c>
      <c r="S8" s="14"/>
      <c r="T8" s="17">
        <v>0</v>
      </c>
      <c r="U8" s="14"/>
      <c r="V8" s="17">
        <v>0</v>
      </c>
      <c r="W8" s="14"/>
      <c r="X8" s="17">
        <v>0</v>
      </c>
      <c r="Y8" s="15"/>
    </row>
    <row r="9" spans="1:25" x14ac:dyDescent="0.25">
      <c r="A9" s="15" t="s">
        <v>56</v>
      </c>
      <c r="B9" s="17">
        <v>20000</v>
      </c>
      <c r="C9" s="14">
        <v>15000</v>
      </c>
      <c r="D9" s="17">
        <v>20000</v>
      </c>
      <c r="E9" s="14"/>
      <c r="F9" s="17">
        <v>20000</v>
      </c>
      <c r="G9" s="14"/>
      <c r="H9" s="17">
        <v>20000</v>
      </c>
      <c r="I9" s="14"/>
      <c r="J9" s="17">
        <v>20000</v>
      </c>
      <c r="K9" s="14"/>
      <c r="L9" s="17">
        <v>20000</v>
      </c>
      <c r="M9" s="14"/>
      <c r="N9" s="17">
        <v>20000</v>
      </c>
      <c r="O9" s="14"/>
      <c r="P9" s="17">
        <v>20000</v>
      </c>
      <c r="Q9" s="14"/>
      <c r="R9" s="17">
        <v>20000</v>
      </c>
      <c r="S9" s="14"/>
      <c r="T9" s="17">
        <v>20000</v>
      </c>
      <c r="U9" s="14"/>
      <c r="V9" s="17">
        <v>20000</v>
      </c>
      <c r="W9" s="14"/>
      <c r="X9" s="17">
        <v>20000</v>
      </c>
      <c r="Y9" s="15"/>
    </row>
    <row r="10" spans="1:25" x14ac:dyDescent="0.25">
      <c r="A10" s="15" t="s">
        <v>57</v>
      </c>
      <c r="B10" s="17">
        <v>6000</v>
      </c>
      <c r="C10" s="14">
        <v>2000</v>
      </c>
      <c r="D10" s="17">
        <v>6000</v>
      </c>
      <c r="E10" s="14"/>
      <c r="F10" s="17">
        <v>6000</v>
      </c>
      <c r="G10" s="14"/>
      <c r="H10" s="17">
        <v>6000</v>
      </c>
      <c r="I10" s="14"/>
      <c r="J10" s="17">
        <v>6000</v>
      </c>
      <c r="K10" s="14"/>
      <c r="L10" s="17">
        <v>6000</v>
      </c>
      <c r="M10" s="14"/>
      <c r="N10" s="17">
        <v>6000</v>
      </c>
      <c r="O10" s="14"/>
      <c r="P10" s="17">
        <v>6000</v>
      </c>
      <c r="Q10" s="14"/>
      <c r="R10" s="17">
        <v>6000</v>
      </c>
      <c r="S10" s="14"/>
      <c r="T10" s="17">
        <v>6000</v>
      </c>
      <c r="U10" s="14"/>
      <c r="V10" s="17">
        <v>6000</v>
      </c>
      <c r="W10" s="14"/>
      <c r="X10" s="17">
        <v>6000</v>
      </c>
      <c r="Y10" s="15"/>
    </row>
    <row r="11" spans="1:25" x14ac:dyDescent="0.25">
      <c r="A11" s="15" t="s">
        <v>58</v>
      </c>
      <c r="B11" s="17">
        <v>0</v>
      </c>
      <c r="C11" s="14">
        <v>0</v>
      </c>
      <c r="D11" s="17">
        <v>0</v>
      </c>
      <c r="E11" s="14"/>
      <c r="F11" s="17">
        <v>0</v>
      </c>
      <c r="G11" s="14"/>
      <c r="H11" s="17">
        <v>0</v>
      </c>
      <c r="I11" s="14"/>
      <c r="J11" s="17">
        <v>0</v>
      </c>
      <c r="K11" s="14"/>
      <c r="L11" s="17">
        <v>0</v>
      </c>
      <c r="M11" s="14"/>
      <c r="N11" s="17">
        <v>0</v>
      </c>
      <c r="O11" s="14"/>
      <c r="P11" s="17">
        <v>0</v>
      </c>
      <c r="Q11" s="14"/>
      <c r="R11" s="17">
        <v>0</v>
      </c>
      <c r="S11" s="14"/>
      <c r="T11" s="17">
        <v>0</v>
      </c>
      <c r="U11" s="14"/>
      <c r="V11" s="17">
        <v>0</v>
      </c>
      <c r="W11" s="14"/>
      <c r="X11" s="17">
        <v>10000</v>
      </c>
      <c r="Y11" s="15"/>
    </row>
    <row r="12" spans="1:25" x14ac:dyDescent="0.25">
      <c r="A12" s="15" t="s">
        <v>59</v>
      </c>
      <c r="B12" s="17">
        <v>0</v>
      </c>
      <c r="C12" s="14">
        <v>0</v>
      </c>
      <c r="D12" s="17">
        <v>0</v>
      </c>
      <c r="E12" s="14"/>
      <c r="F12" s="17">
        <v>0</v>
      </c>
      <c r="G12" s="14"/>
      <c r="H12" s="17">
        <v>0</v>
      </c>
      <c r="I12" s="14"/>
      <c r="J12" s="17">
        <v>0</v>
      </c>
      <c r="K12" s="14"/>
      <c r="L12" s="17">
        <v>0</v>
      </c>
      <c r="M12" s="14"/>
      <c r="N12" s="17">
        <v>0</v>
      </c>
      <c r="O12" s="14"/>
      <c r="P12" s="17">
        <v>0</v>
      </c>
      <c r="Q12" s="14"/>
      <c r="R12" s="17">
        <v>13000</v>
      </c>
      <c r="S12" s="14"/>
      <c r="T12" s="17">
        <v>0</v>
      </c>
      <c r="U12" s="14"/>
      <c r="V12" s="17">
        <v>0</v>
      </c>
      <c r="W12" s="14"/>
      <c r="X12" s="17">
        <v>0</v>
      </c>
      <c r="Y12" s="15"/>
    </row>
    <row r="13" spans="1:25" x14ac:dyDescent="0.25">
      <c r="A13" s="15" t="s">
        <v>60</v>
      </c>
      <c r="B13" s="17">
        <v>0</v>
      </c>
      <c r="C13" s="14">
        <v>0</v>
      </c>
      <c r="D13" s="17">
        <v>0</v>
      </c>
      <c r="E13" s="14"/>
      <c r="F13" s="17">
        <v>0</v>
      </c>
      <c r="G13" s="14"/>
      <c r="H13" s="17">
        <v>0</v>
      </c>
      <c r="I13" s="14"/>
      <c r="J13" s="17">
        <v>0</v>
      </c>
      <c r="K13" s="14"/>
      <c r="L13" s="17">
        <v>0</v>
      </c>
      <c r="M13" s="14"/>
      <c r="N13" s="17">
        <v>0</v>
      </c>
      <c r="O13" s="14"/>
      <c r="P13" s="17">
        <v>0</v>
      </c>
      <c r="Q13" s="14"/>
      <c r="R13" s="17">
        <v>0</v>
      </c>
      <c r="S13" s="14"/>
      <c r="T13" s="17">
        <v>0</v>
      </c>
      <c r="U13" s="14"/>
      <c r="V13" s="17">
        <v>40788</v>
      </c>
      <c r="W13" s="14"/>
      <c r="X13" s="17">
        <v>0</v>
      </c>
      <c r="Y13" s="15"/>
    </row>
    <row r="14" spans="1:25" x14ac:dyDescent="0.25">
      <c r="A14" s="15" t="s">
        <v>61</v>
      </c>
      <c r="B14" s="17">
        <v>0</v>
      </c>
      <c r="C14" s="14">
        <v>0</v>
      </c>
      <c r="D14" s="17">
        <f>11402+3824</f>
        <v>15226</v>
      </c>
      <c r="E14" s="14"/>
      <c r="F14" s="17">
        <v>0</v>
      </c>
      <c r="G14" s="14"/>
      <c r="H14" s="17">
        <v>0</v>
      </c>
      <c r="I14" s="14"/>
      <c r="J14" s="17">
        <v>0</v>
      </c>
      <c r="K14" s="14"/>
      <c r="L14" s="17">
        <v>0</v>
      </c>
      <c r="M14" s="14"/>
      <c r="N14" s="17">
        <v>0</v>
      </c>
      <c r="O14" s="14"/>
      <c r="P14" s="17">
        <f>117366+11402+3824</f>
        <v>132592</v>
      </c>
      <c r="Q14" s="14"/>
      <c r="R14" s="17">
        <v>0</v>
      </c>
      <c r="S14" s="14"/>
      <c r="T14" s="17">
        <v>0</v>
      </c>
      <c r="U14" s="14"/>
      <c r="V14" s="17">
        <v>0</v>
      </c>
      <c r="W14" s="14"/>
      <c r="X14" s="17">
        <v>0</v>
      </c>
      <c r="Y14" s="15"/>
    </row>
    <row r="15" spans="1:25" x14ac:dyDescent="0.25">
      <c r="A15" s="15" t="s">
        <v>62</v>
      </c>
      <c r="B15" s="17">
        <v>0</v>
      </c>
      <c r="C15" s="14">
        <v>0</v>
      </c>
      <c r="D15" s="17">
        <v>10000</v>
      </c>
      <c r="E15" s="14"/>
      <c r="F15" s="17">
        <v>10000</v>
      </c>
      <c r="G15" s="14"/>
      <c r="H15" s="17">
        <v>10000</v>
      </c>
      <c r="I15" s="14"/>
      <c r="J15" s="17">
        <v>10000</v>
      </c>
      <c r="K15" s="14"/>
      <c r="L15" s="17">
        <v>10000</v>
      </c>
      <c r="M15" s="14"/>
      <c r="N15" s="17">
        <v>10000</v>
      </c>
      <c r="O15" s="14"/>
      <c r="P15" s="17">
        <v>10000</v>
      </c>
      <c r="Q15" s="14"/>
      <c r="R15" s="17">
        <v>10000</v>
      </c>
      <c r="S15" s="14"/>
      <c r="T15" s="17">
        <v>10000</v>
      </c>
      <c r="U15" s="14"/>
      <c r="V15" s="17">
        <v>10000</v>
      </c>
      <c r="W15" s="14"/>
      <c r="X15" s="17">
        <v>10000</v>
      </c>
      <c r="Y15" s="15"/>
    </row>
    <row r="16" spans="1:25" x14ac:dyDescent="0.25">
      <c r="A16" s="15" t="s">
        <v>65</v>
      </c>
      <c r="B16" s="17">
        <v>6500</v>
      </c>
      <c r="C16" s="13">
        <f>4000+5180.5+1040+500</f>
        <v>10720.5</v>
      </c>
      <c r="D16" s="17">
        <v>6500</v>
      </c>
      <c r="E16" s="14"/>
      <c r="F16" s="17">
        <v>6500</v>
      </c>
      <c r="G16" s="14"/>
      <c r="H16" s="17">
        <v>6500</v>
      </c>
      <c r="I16" s="14"/>
      <c r="J16" s="17">
        <v>6500</v>
      </c>
      <c r="K16" s="14"/>
      <c r="L16" s="17">
        <v>6500</v>
      </c>
      <c r="M16" s="14"/>
      <c r="N16" s="17">
        <v>6500</v>
      </c>
      <c r="O16" s="14"/>
      <c r="P16" s="17">
        <v>6500</v>
      </c>
      <c r="Q16" s="14"/>
      <c r="R16" s="17">
        <v>6500</v>
      </c>
      <c r="S16" s="14"/>
      <c r="T16" s="17">
        <v>6500</v>
      </c>
      <c r="U16" s="14"/>
      <c r="V16" s="17">
        <v>6500</v>
      </c>
      <c r="W16" s="14"/>
      <c r="X16" s="17">
        <v>6500</v>
      </c>
      <c r="Y16" s="15"/>
    </row>
    <row r="17" spans="1:25" x14ac:dyDescent="0.25">
      <c r="A17" s="15" t="s">
        <v>67</v>
      </c>
      <c r="B17" s="17">
        <v>3500</v>
      </c>
      <c r="C17" s="14">
        <f>1382+1120</f>
        <v>2502</v>
      </c>
      <c r="D17" s="17">
        <v>3500</v>
      </c>
      <c r="E17" s="14"/>
      <c r="F17" s="17">
        <v>3500</v>
      </c>
      <c r="G17" s="14"/>
      <c r="H17" s="17">
        <v>3500</v>
      </c>
      <c r="I17" s="14"/>
      <c r="J17" s="17">
        <v>3500</v>
      </c>
      <c r="K17" s="14"/>
      <c r="L17" s="17">
        <v>3500</v>
      </c>
      <c r="M17" s="14"/>
      <c r="N17" s="17">
        <v>3500</v>
      </c>
      <c r="O17" s="14"/>
      <c r="P17" s="17">
        <v>3500</v>
      </c>
      <c r="Q17" s="14"/>
      <c r="R17" s="17">
        <v>3500</v>
      </c>
      <c r="S17" s="14"/>
      <c r="T17" s="17">
        <v>3500</v>
      </c>
      <c r="U17" s="14"/>
      <c r="V17" s="17">
        <v>3500</v>
      </c>
      <c r="W17" s="14"/>
      <c r="X17" s="17">
        <v>3500</v>
      </c>
      <c r="Y17" s="15"/>
    </row>
    <row r="18" spans="1:25" x14ac:dyDescent="0.25">
      <c r="A18" s="15" t="s">
        <v>68</v>
      </c>
      <c r="B18" s="17">
        <v>350</v>
      </c>
      <c r="C18" s="14">
        <v>349</v>
      </c>
      <c r="D18" s="17">
        <v>300</v>
      </c>
      <c r="E18" s="14"/>
      <c r="F18" s="17">
        <v>300</v>
      </c>
      <c r="G18" s="14"/>
      <c r="H18" s="17">
        <v>300</v>
      </c>
      <c r="I18" s="14"/>
      <c r="J18" s="17">
        <v>300</v>
      </c>
      <c r="K18" s="14"/>
      <c r="L18" s="17">
        <v>300</v>
      </c>
      <c r="M18" s="14"/>
      <c r="N18" s="17">
        <v>300</v>
      </c>
      <c r="O18" s="14"/>
      <c r="P18" s="17">
        <v>300</v>
      </c>
      <c r="Q18" s="14"/>
      <c r="R18" s="17">
        <v>300</v>
      </c>
      <c r="S18" s="14"/>
      <c r="T18" s="17">
        <v>300</v>
      </c>
      <c r="U18" s="14"/>
      <c r="V18" s="17">
        <v>300</v>
      </c>
      <c r="W18" s="14"/>
      <c r="X18" s="17">
        <v>300</v>
      </c>
      <c r="Y18" s="15"/>
    </row>
    <row r="19" spans="1:25" x14ac:dyDescent="0.25">
      <c r="A19" s="15" t="s">
        <v>69</v>
      </c>
      <c r="B19" s="17">
        <v>0</v>
      </c>
      <c r="C19" s="14">
        <v>0</v>
      </c>
      <c r="D19" s="17">
        <v>0</v>
      </c>
      <c r="E19" s="14"/>
      <c r="F19" s="17">
        <v>0</v>
      </c>
      <c r="G19" s="14"/>
      <c r="H19" s="17">
        <v>4500</v>
      </c>
      <c r="I19" s="14"/>
      <c r="J19" s="17">
        <v>0</v>
      </c>
      <c r="K19" s="14"/>
      <c r="L19" s="17">
        <v>0</v>
      </c>
      <c r="M19" s="14"/>
      <c r="N19" s="17">
        <v>0</v>
      </c>
      <c r="O19" s="14"/>
      <c r="P19" s="17">
        <v>0</v>
      </c>
      <c r="Q19" s="14"/>
      <c r="R19" s="17">
        <v>0</v>
      </c>
      <c r="S19" s="14"/>
      <c r="T19" s="17">
        <v>0</v>
      </c>
      <c r="U19" s="14"/>
      <c r="V19" s="17">
        <v>0</v>
      </c>
      <c r="W19" s="14"/>
      <c r="X19" s="17">
        <v>0</v>
      </c>
      <c r="Y19" s="15"/>
    </row>
    <row r="20" spans="1:25" x14ac:dyDescent="0.25">
      <c r="A20" s="15" t="s">
        <v>71</v>
      </c>
      <c r="B20" s="17">
        <v>0</v>
      </c>
      <c r="C20" s="14">
        <v>0</v>
      </c>
      <c r="D20" s="17">
        <v>800</v>
      </c>
      <c r="E20" s="14"/>
      <c r="F20" s="17">
        <v>0</v>
      </c>
      <c r="G20" s="14"/>
      <c r="H20" s="17">
        <v>800</v>
      </c>
      <c r="I20" s="14"/>
      <c r="J20" s="17">
        <v>0</v>
      </c>
      <c r="K20" s="14"/>
      <c r="L20" s="17">
        <v>800</v>
      </c>
      <c r="M20" s="14"/>
      <c r="N20" s="17">
        <v>0</v>
      </c>
      <c r="O20" s="14"/>
      <c r="P20" s="17">
        <v>800</v>
      </c>
      <c r="Q20" s="14"/>
      <c r="R20" s="17">
        <v>0</v>
      </c>
      <c r="S20" s="14"/>
      <c r="T20" s="17">
        <v>800</v>
      </c>
      <c r="U20" s="14"/>
      <c r="V20" s="17">
        <v>0</v>
      </c>
      <c r="W20" s="14"/>
      <c r="X20" s="17">
        <v>800</v>
      </c>
      <c r="Y20" s="15"/>
    </row>
    <row r="21" spans="1:25" x14ac:dyDescent="0.25">
      <c r="A21" s="16" t="s">
        <v>72</v>
      </c>
      <c r="B21" s="18">
        <f>SUM(B4:B20)</f>
        <v>121799</v>
      </c>
      <c r="C21" s="13">
        <f>SUM(C4:C20)</f>
        <v>90470.5</v>
      </c>
      <c r="D21" s="18">
        <f>SUM(D4:D20)</f>
        <v>142775</v>
      </c>
      <c r="E21" s="13"/>
      <c r="F21" s="18">
        <f>SUM(F4:F20)</f>
        <v>106749</v>
      </c>
      <c r="G21" s="13"/>
      <c r="H21" s="18">
        <f t="shared" ref="H21:X21" si="1">SUM(H4:H20)</f>
        <v>112049</v>
      </c>
      <c r="I21" s="13"/>
      <c r="J21" s="18">
        <f t="shared" si="1"/>
        <v>106749</v>
      </c>
      <c r="K21" s="13"/>
      <c r="L21" s="18">
        <f t="shared" si="1"/>
        <v>297549</v>
      </c>
      <c r="M21" s="13"/>
      <c r="N21" s="18">
        <f t="shared" si="1"/>
        <v>106749</v>
      </c>
      <c r="O21" s="13"/>
      <c r="P21" s="18">
        <f t="shared" si="1"/>
        <v>240141</v>
      </c>
      <c r="Q21" s="13"/>
      <c r="R21" s="18">
        <f t="shared" si="1"/>
        <v>119749</v>
      </c>
      <c r="S21" s="13"/>
      <c r="T21" s="18">
        <f t="shared" si="1"/>
        <v>107549</v>
      </c>
      <c r="U21" s="13"/>
      <c r="V21" s="18">
        <f t="shared" si="1"/>
        <v>147537</v>
      </c>
      <c r="W21" s="13"/>
      <c r="X21" s="18">
        <f t="shared" si="1"/>
        <v>307549</v>
      </c>
      <c r="Y21" s="15"/>
    </row>
    <row r="23" spans="1:25" x14ac:dyDescent="0.25">
      <c r="C23" s="12">
        <f>+C1-C21</f>
        <v>215464</v>
      </c>
      <c r="E23" s="12">
        <f>+E1-E21</f>
        <v>215464</v>
      </c>
      <c r="G23" s="12">
        <f>+G1-G21</f>
        <v>215464</v>
      </c>
      <c r="I23" s="12">
        <f>+I1-I21</f>
        <v>215464</v>
      </c>
      <c r="K23" s="12">
        <f>+K1-K21</f>
        <v>215464</v>
      </c>
      <c r="M23" s="12">
        <f>+M1-M21</f>
        <v>215464</v>
      </c>
      <c r="O23" s="12">
        <f>+O1-O21</f>
        <v>215464</v>
      </c>
      <c r="Q23" s="12">
        <f>+Q1-Q21</f>
        <v>215464</v>
      </c>
      <c r="S23" s="12">
        <f>+S1-S21</f>
        <v>215464</v>
      </c>
      <c r="U23" s="12">
        <f>+U1-U21</f>
        <v>215464</v>
      </c>
      <c r="W23" s="12">
        <f>+W1-W21</f>
        <v>215464</v>
      </c>
      <c r="Y23" s="12">
        <f>+Y1-Y21</f>
        <v>215464</v>
      </c>
    </row>
    <row r="24" spans="1:25" x14ac:dyDescent="0.25">
      <c r="B24" s="12" t="s">
        <v>65</v>
      </c>
    </row>
    <row r="25" spans="1:25" x14ac:dyDescent="0.25">
      <c r="A25">
        <v>1</v>
      </c>
      <c r="B25" s="11" t="s">
        <v>75</v>
      </c>
      <c r="C25" s="11">
        <v>5180.5</v>
      </c>
    </row>
    <row r="26" spans="1:25" x14ac:dyDescent="0.25">
      <c r="A26">
        <v>2</v>
      </c>
      <c r="B26" s="11" t="s">
        <v>76</v>
      </c>
      <c r="C26" s="11">
        <v>500</v>
      </c>
    </row>
    <row r="27" spans="1:25" x14ac:dyDescent="0.25">
      <c r="A27">
        <v>3</v>
      </c>
      <c r="B27" s="11" t="s">
        <v>77</v>
      </c>
      <c r="C27" s="11">
        <v>80</v>
      </c>
    </row>
    <row r="28" spans="1:25" x14ac:dyDescent="0.25">
      <c r="A28">
        <v>3</v>
      </c>
      <c r="B28" s="11" t="s">
        <v>78</v>
      </c>
      <c r="C28" s="11">
        <v>1040</v>
      </c>
    </row>
    <row r="29" spans="1:25" x14ac:dyDescent="0.25">
      <c r="A29">
        <v>4</v>
      </c>
      <c r="B29" s="11" t="s">
        <v>79</v>
      </c>
      <c r="C29" s="11">
        <f>4000-80</f>
        <v>3920</v>
      </c>
    </row>
  </sheetData>
  <mergeCells count="12">
    <mergeCell ref="X3:Y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workbookViewId="0">
      <selection activeCell="G14" sqref="G14"/>
    </sheetView>
  </sheetViews>
  <sheetFormatPr defaultRowHeight="15" x14ac:dyDescent="0.25"/>
  <cols>
    <col min="2" max="2" width="41.140625" bestFit="1" customWidth="1"/>
    <col min="4" max="4" width="12.85546875" bestFit="1" customWidth="1"/>
    <col min="7" max="7" width="15.140625" bestFit="1" customWidth="1"/>
    <col min="9" max="9" width="10" bestFit="1" customWidth="1"/>
  </cols>
  <sheetData>
    <row r="3" spans="1:8" x14ac:dyDescent="0.25">
      <c r="F3" t="s">
        <v>80</v>
      </c>
    </row>
    <row r="6" spans="1:8" x14ac:dyDescent="0.25">
      <c r="A6" t="s">
        <v>82</v>
      </c>
      <c r="B6" t="s">
        <v>81</v>
      </c>
      <c r="G6">
        <v>1525789</v>
      </c>
    </row>
    <row r="7" spans="1:8" x14ac:dyDescent="0.25">
      <c r="A7" t="s">
        <v>86</v>
      </c>
      <c r="B7" t="s">
        <v>84</v>
      </c>
      <c r="D7" t="s">
        <v>83</v>
      </c>
      <c r="G7">
        <f>+G6-50000</f>
        <v>1475789</v>
      </c>
    </row>
    <row r="9" spans="1:8" x14ac:dyDescent="0.25">
      <c r="B9" t="s">
        <v>85</v>
      </c>
      <c r="C9" t="s">
        <v>88</v>
      </c>
      <c r="G9" t="s">
        <v>107</v>
      </c>
      <c r="H9" t="s">
        <v>8</v>
      </c>
    </row>
    <row r="10" spans="1:8" x14ac:dyDescent="0.25">
      <c r="A10" t="s">
        <v>94</v>
      </c>
      <c r="B10" t="s">
        <v>87</v>
      </c>
      <c r="C10" s="3">
        <v>0</v>
      </c>
      <c r="G10">
        <f>IF(G7-300000&gt;300000,300000,G7-300000)</f>
        <v>300000</v>
      </c>
      <c r="H10">
        <f>G10*C10</f>
        <v>0</v>
      </c>
    </row>
    <row r="11" spans="1:8" x14ac:dyDescent="0.25">
      <c r="A11" t="s">
        <v>95</v>
      </c>
      <c r="B11" t="s">
        <v>89</v>
      </c>
      <c r="C11" s="3">
        <v>0.05</v>
      </c>
      <c r="G11">
        <f>IF(G7-600000&gt;300000,300000,G7-600000)</f>
        <v>300000</v>
      </c>
      <c r="H11">
        <f>IF(G11&lt;0,0,G11*5%)</f>
        <v>15000</v>
      </c>
    </row>
    <row r="12" spans="1:8" x14ac:dyDescent="0.25">
      <c r="A12" t="s">
        <v>96</v>
      </c>
      <c r="B12" t="s">
        <v>90</v>
      </c>
      <c r="C12" s="3">
        <v>0.1</v>
      </c>
      <c r="G12">
        <f>IF(G7-900000&gt;300000,300000,G7-900000)</f>
        <v>300000</v>
      </c>
      <c r="H12">
        <f>IF(G12&lt;0,0,G12*10%)</f>
        <v>30000</v>
      </c>
    </row>
    <row r="13" spans="1:8" x14ac:dyDescent="0.25">
      <c r="A13" t="s">
        <v>97</v>
      </c>
      <c r="B13" t="s">
        <v>91</v>
      </c>
      <c r="C13" s="3">
        <v>0.15</v>
      </c>
      <c r="G13">
        <f>IF(G7-1200000&gt;300000,300000,G7-1200000)</f>
        <v>275789</v>
      </c>
      <c r="H13">
        <f>IF(G13&lt;0,0,G13*15%)</f>
        <v>41368.35</v>
      </c>
    </row>
    <row r="14" spans="1:8" x14ac:dyDescent="0.25">
      <c r="A14" t="s">
        <v>98</v>
      </c>
      <c r="B14" t="s">
        <v>92</v>
      </c>
      <c r="C14" s="3">
        <v>0.2</v>
      </c>
      <c r="G14">
        <f>IF(G7-1500000&gt;300000,300000,G7-1500000)</f>
        <v>-24211</v>
      </c>
      <c r="H14">
        <f>IF(G14&lt;0,0,G14*20%)</f>
        <v>0</v>
      </c>
    </row>
    <row r="15" spans="1:8" x14ac:dyDescent="0.25">
      <c r="A15" t="s">
        <v>99</v>
      </c>
      <c r="B15" t="s">
        <v>93</v>
      </c>
      <c r="C15" s="3">
        <v>0.3</v>
      </c>
      <c r="G15">
        <f>IF(G7-1500000&gt;G7,G7,G7-1500000)</f>
        <v>-24211</v>
      </c>
      <c r="H15">
        <f>IF(G15&lt;0,0,G15*30%)</f>
        <v>0</v>
      </c>
    </row>
    <row r="17" spans="1:8" x14ac:dyDescent="0.25">
      <c r="A17" t="s">
        <v>100</v>
      </c>
      <c r="B17" t="s">
        <v>28</v>
      </c>
      <c r="D17" t="s">
        <v>101</v>
      </c>
      <c r="H17">
        <f>SUM(H10:H15)</f>
        <v>86368.35</v>
      </c>
    </row>
    <row r="19" spans="1:8" x14ac:dyDescent="0.25">
      <c r="A19" t="s">
        <v>102</v>
      </c>
      <c r="B19" t="s">
        <v>27</v>
      </c>
      <c r="D19" t="s">
        <v>103</v>
      </c>
      <c r="H19">
        <f>+H17*4%</f>
        <v>3454.7340000000004</v>
      </c>
    </row>
    <row r="21" spans="1:8" x14ac:dyDescent="0.25">
      <c r="A21" t="s">
        <v>104</v>
      </c>
      <c r="B21" t="s">
        <v>105</v>
      </c>
      <c r="D21" t="s">
        <v>106</v>
      </c>
      <c r="H21">
        <f>+H17+H19</f>
        <v>89823.084000000003</v>
      </c>
    </row>
    <row r="23" spans="1:8" x14ac:dyDescent="0.25">
      <c r="C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8"/>
  <sheetViews>
    <sheetView tabSelected="1" workbookViewId="0">
      <selection activeCell="G28" sqref="G28"/>
    </sheetView>
  </sheetViews>
  <sheetFormatPr defaultRowHeight="15" x14ac:dyDescent="0.25"/>
  <cols>
    <col min="2" max="2" width="41.140625" bestFit="1" customWidth="1"/>
    <col min="4" max="4" width="12.85546875" bestFit="1" customWidth="1"/>
    <col min="7" max="7" width="15.140625" bestFit="1" customWidth="1"/>
    <col min="9" max="9" width="10" bestFit="1" customWidth="1"/>
    <col min="15" max="15" width="16.85546875" bestFit="1" customWidth="1"/>
    <col min="17" max="17" width="10.140625" bestFit="1" customWidth="1"/>
  </cols>
  <sheetData>
    <row r="3" spans="1:17" x14ac:dyDescent="0.25">
      <c r="F3" t="s">
        <v>108</v>
      </c>
    </row>
    <row r="5" spans="1:17" x14ac:dyDescent="0.25">
      <c r="G5" t="s">
        <v>11</v>
      </c>
    </row>
    <row r="6" spans="1:17" x14ac:dyDescent="0.25">
      <c r="A6" t="s">
        <v>82</v>
      </c>
      <c r="B6" t="s">
        <v>133</v>
      </c>
      <c r="G6">
        <v>2500000</v>
      </c>
      <c r="N6" t="s">
        <v>109</v>
      </c>
    </row>
    <row r="7" spans="1:17" x14ac:dyDescent="0.25">
      <c r="A7" t="s">
        <v>86</v>
      </c>
      <c r="B7" t="s">
        <v>115</v>
      </c>
      <c r="G7">
        <v>50000</v>
      </c>
      <c r="P7" t="s">
        <v>111</v>
      </c>
    </row>
    <row r="8" spans="1:17" x14ac:dyDescent="0.25">
      <c r="A8" t="s">
        <v>94</v>
      </c>
      <c r="B8" t="s">
        <v>116</v>
      </c>
      <c r="G8">
        <v>0</v>
      </c>
      <c r="O8" t="s">
        <v>110</v>
      </c>
      <c r="P8">
        <v>50000</v>
      </c>
      <c r="Q8" s="4">
        <f>P8*50%</f>
        <v>25000</v>
      </c>
    </row>
    <row r="9" spans="1:17" x14ac:dyDescent="0.25">
      <c r="A9" t="s">
        <v>95</v>
      </c>
      <c r="B9" t="s">
        <v>117</v>
      </c>
      <c r="G9">
        <v>200000</v>
      </c>
      <c r="O9" t="s">
        <v>112</v>
      </c>
      <c r="P9">
        <v>10000</v>
      </c>
      <c r="Q9" s="4">
        <f>P9-(P8*10%)</f>
        <v>5000</v>
      </c>
    </row>
    <row r="10" spans="1:17" x14ac:dyDescent="0.25">
      <c r="A10" t="s">
        <v>96</v>
      </c>
      <c r="B10" t="s">
        <v>118</v>
      </c>
      <c r="G10">
        <v>150000</v>
      </c>
      <c r="O10" t="s">
        <v>113</v>
      </c>
      <c r="Q10" t="s">
        <v>114</v>
      </c>
    </row>
    <row r="11" spans="1:17" x14ac:dyDescent="0.25">
      <c r="A11" t="s">
        <v>97</v>
      </c>
      <c r="B11" t="s">
        <v>119</v>
      </c>
      <c r="G11">
        <v>25000</v>
      </c>
    </row>
    <row r="12" spans="1:17" x14ac:dyDescent="0.25">
      <c r="A12" t="s">
        <v>98</v>
      </c>
      <c r="B12" t="s">
        <v>120</v>
      </c>
      <c r="G12">
        <v>0</v>
      </c>
    </row>
    <row r="13" spans="1:17" x14ac:dyDescent="0.25">
      <c r="A13" t="s">
        <v>99</v>
      </c>
      <c r="B13" t="s">
        <v>121</v>
      </c>
      <c r="G13">
        <v>0</v>
      </c>
    </row>
    <row r="14" spans="1:17" x14ac:dyDescent="0.25">
      <c r="A14" t="s">
        <v>100</v>
      </c>
      <c r="B14" t="s">
        <v>122</v>
      </c>
      <c r="G14">
        <v>0</v>
      </c>
    </row>
    <row r="15" spans="1:17" x14ac:dyDescent="0.25">
      <c r="A15" t="s">
        <v>102</v>
      </c>
      <c r="B15" t="s">
        <v>123</v>
      </c>
      <c r="G15">
        <v>0</v>
      </c>
    </row>
    <row r="16" spans="1:17" x14ac:dyDescent="0.25">
      <c r="A16" t="s">
        <v>104</v>
      </c>
      <c r="B16" t="s">
        <v>124</v>
      </c>
      <c r="G16">
        <v>0</v>
      </c>
    </row>
    <row r="17" spans="1:8" x14ac:dyDescent="0.25">
      <c r="A17" t="s">
        <v>128</v>
      </c>
      <c r="B17" t="s">
        <v>125</v>
      </c>
      <c r="G17">
        <v>0</v>
      </c>
    </row>
    <row r="18" spans="1:8" x14ac:dyDescent="0.25">
      <c r="A18" t="s">
        <v>129</v>
      </c>
      <c r="B18" t="s">
        <v>126</v>
      </c>
      <c r="G18">
        <v>0</v>
      </c>
    </row>
    <row r="19" spans="1:8" x14ac:dyDescent="0.25">
      <c r="A19" t="s">
        <v>130</v>
      </c>
      <c r="B19" t="s">
        <v>127</v>
      </c>
      <c r="G19">
        <v>0</v>
      </c>
    </row>
    <row r="20" spans="1:8" x14ac:dyDescent="0.25">
      <c r="B20" s="2" t="s">
        <v>46</v>
      </c>
      <c r="G20">
        <f>SUM(G7:G19)</f>
        <v>425000</v>
      </c>
    </row>
    <row r="21" spans="1:8" x14ac:dyDescent="0.25">
      <c r="B21" s="2"/>
    </row>
    <row r="22" spans="1:8" x14ac:dyDescent="0.25">
      <c r="B22" s="2" t="s">
        <v>84</v>
      </c>
      <c r="G22">
        <f>G6-G20</f>
        <v>2075000</v>
      </c>
    </row>
    <row r="24" spans="1:8" x14ac:dyDescent="0.25">
      <c r="B24" t="s">
        <v>85</v>
      </c>
      <c r="C24" t="s">
        <v>88</v>
      </c>
      <c r="G24" t="s">
        <v>107</v>
      </c>
      <c r="H24" t="s">
        <v>8</v>
      </c>
    </row>
    <row r="25" spans="1:8" x14ac:dyDescent="0.25">
      <c r="A25" t="s">
        <v>131</v>
      </c>
      <c r="B25" t="s">
        <v>135</v>
      </c>
      <c r="C25" s="3">
        <v>0</v>
      </c>
      <c r="G25">
        <f>IF(G22-250000&gt;250000,250000,G22-250000)</f>
        <v>250000</v>
      </c>
      <c r="H25">
        <f>G25*C25</f>
        <v>0</v>
      </c>
    </row>
    <row r="26" spans="1:8" x14ac:dyDescent="0.25">
      <c r="A26" t="s">
        <v>132</v>
      </c>
      <c r="B26" t="s">
        <v>136</v>
      </c>
      <c r="C26" s="3">
        <v>0.05</v>
      </c>
      <c r="G26">
        <f>IF(G22-550000&gt;300000,300000,G22-550000)</f>
        <v>300000</v>
      </c>
      <c r="H26">
        <f>IF(G26&lt;0,0,G26*5%)</f>
        <v>15000</v>
      </c>
    </row>
    <row r="27" spans="1:8" x14ac:dyDescent="0.25">
      <c r="A27" t="s">
        <v>138</v>
      </c>
      <c r="B27" t="s">
        <v>137</v>
      </c>
      <c r="C27" s="3">
        <v>0.2</v>
      </c>
      <c r="G27">
        <f>IF(G22-1050000&gt;500000,500000,G22-1050000)</f>
        <v>500000</v>
      </c>
      <c r="H27">
        <f>IF(G27&lt;0,0,G27*20%)</f>
        <v>100000</v>
      </c>
    </row>
    <row r="28" spans="1:8" x14ac:dyDescent="0.25">
      <c r="A28" t="s">
        <v>139</v>
      </c>
      <c r="B28" t="s">
        <v>134</v>
      </c>
      <c r="C28" s="3">
        <v>0.3</v>
      </c>
      <c r="G28">
        <f>IF(G22-1050000&gt;G22,G22,G22-1050000)</f>
        <v>1025000</v>
      </c>
      <c r="H28">
        <f>IF(G28&lt;0,0,G28*30%)</f>
        <v>307500</v>
      </c>
    </row>
    <row r="29" spans="1:8" x14ac:dyDescent="0.25">
      <c r="C29" s="3"/>
    </row>
    <row r="30" spans="1:8" x14ac:dyDescent="0.25">
      <c r="C30" s="3"/>
    </row>
    <row r="32" spans="1:8" x14ac:dyDescent="0.25">
      <c r="A32" t="s">
        <v>140</v>
      </c>
      <c r="B32" t="s">
        <v>28</v>
      </c>
      <c r="D32" t="s">
        <v>143</v>
      </c>
      <c r="H32">
        <f>SUM(H25:H30)</f>
        <v>422500</v>
      </c>
    </row>
    <row r="34" spans="1:8" x14ac:dyDescent="0.25">
      <c r="A34" t="s">
        <v>141</v>
      </c>
      <c r="B34" t="s">
        <v>27</v>
      </c>
      <c r="D34" t="s">
        <v>103</v>
      </c>
      <c r="H34">
        <f>+H32*4%</f>
        <v>16900</v>
      </c>
    </row>
    <row r="36" spans="1:8" x14ac:dyDescent="0.25">
      <c r="A36" t="s">
        <v>142</v>
      </c>
      <c r="B36" t="s">
        <v>105</v>
      </c>
      <c r="D36" t="s">
        <v>106</v>
      </c>
      <c r="H36">
        <f>+H32+H34</f>
        <v>439400</v>
      </c>
    </row>
    <row r="38" spans="1:8" x14ac:dyDescent="0.25">
      <c r="C3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workbookViewId="0">
      <selection activeCell="G11" sqref="G11"/>
    </sheetView>
  </sheetViews>
  <sheetFormatPr defaultRowHeight="15" x14ac:dyDescent="0.25"/>
  <cols>
    <col min="2" max="2" width="41.140625" bestFit="1" customWidth="1"/>
    <col min="4" max="4" width="12.85546875" bestFit="1" customWidth="1"/>
    <col min="7" max="7" width="15.140625" bestFit="1" customWidth="1"/>
    <col min="9" max="9" width="10" bestFit="1" customWidth="1"/>
  </cols>
  <sheetData>
    <row r="3" spans="1:8" x14ac:dyDescent="0.25">
      <c r="F3" t="s">
        <v>80</v>
      </c>
    </row>
    <row r="6" spans="1:8" x14ac:dyDescent="0.25">
      <c r="A6" t="s">
        <v>82</v>
      </c>
      <c r="B6" t="s">
        <v>81</v>
      </c>
      <c r="G6">
        <v>2500000</v>
      </c>
    </row>
    <row r="7" spans="1:8" x14ac:dyDescent="0.25">
      <c r="A7" t="s">
        <v>86</v>
      </c>
      <c r="B7" t="s">
        <v>84</v>
      </c>
      <c r="D7" t="s">
        <v>144</v>
      </c>
      <c r="G7">
        <f>+G6-75000</f>
        <v>2425000</v>
      </c>
    </row>
    <row r="9" spans="1:8" x14ac:dyDescent="0.25">
      <c r="B9" t="s">
        <v>85</v>
      </c>
      <c r="C9" t="s">
        <v>88</v>
      </c>
      <c r="G9" t="s">
        <v>107</v>
      </c>
      <c r="H9" t="s">
        <v>8</v>
      </c>
    </row>
    <row r="10" spans="1:8" x14ac:dyDescent="0.25">
      <c r="A10" t="s">
        <v>94</v>
      </c>
      <c r="B10" t="s">
        <v>145</v>
      </c>
      <c r="C10" s="3">
        <v>0</v>
      </c>
      <c r="G10">
        <f>IF(G7-400000&gt;400000,400000,G7-400000)</f>
        <v>400000</v>
      </c>
      <c r="H10">
        <f>G10*C10</f>
        <v>0</v>
      </c>
    </row>
    <row r="11" spans="1:8" x14ac:dyDescent="0.25">
      <c r="A11" t="s">
        <v>95</v>
      </c>
      <c r="B11" t="s">
        <v>146</v>
      </c>
      <c r="C11" s="3">
        <v>0.05</v>
      </c>
      <c r="G11">
        <f>IF(G7-800000&gt;400000,400000,G7-800000)</f>
        <v>400000</v>
      </c>
      <c r="H11">
        <f>IF(G11&lt;0,0,G11*5%)</f>
        <v>20000</v>
      </c>
    </row>
    <row r="12" spans="1:8" x14ac:dyDescent="0.25">
      <c r="A12" t="s">
        <v>96</v>
      </c>
      <c r="B12" t="s">
        <v>147</v>
      </c>
      <c r="C12" s="3">
        <v>0.1</v>
      </c>
      <c r="G12">
        <f>IF(G7-1200000&gt;400000,400000,G7-1200000)</f>
        <v>400000</v>
      </c>
      <c r="H12">
        <f>IF(G12&lt;0,0,G12*10%)</f>
        <v>40000</v>
      </c>
    </row>
    <row r="13" spans="1:8" x14ac:dyDescent="0.25">
      <c r="A13" t="s">
        <v>97</v>
      </c>
      <c r="B13" t="s">
        <v>148</v>
      </c>
      <c r="C13" s="3">
        <v>0.15</v>
      </c>
      <c r="G13">
        <f>IF(G7-1600000&gt;400000,400000,G7-1600000)</f>
        <v>400000</v>
      </c>
      <c r="H13">
        <f>IF(G13&lt;0,0,G13*15%)</f>
        <v>60000</v>
      </c>
    </row>
    <row r="14" spans="1:8" x14ac:dyDescent="0.25">
      <c r="A14" t="s">
        <v>98</v>
      </c>
      <c r="B14" t="s">
        <v>149</v>
      </c>
      <c r="C14" s="3">
        <v>0.2</v>
      </c>
      <c r="G14">
        <f>IF(G7-2000000&gt;400000,400000,G7-2000000)</f>
        <v>400000</v>
      </c>
      <c r="H14">
        <f>IF(G14&lt;0,0,G14*20%)</f>
        <v>80000</v>
      </c>
    </row>
    <row r="15" spans="1:8" x14ac:dyDescent="0.25">
      <c r="A15" t="s">
        <v>99</v>
      </c>
      <c r="B15" t="s">
        <v>150</v>
      </c>
      <c r="C15" s="3">
        <v>0.3</v>
      </c>
      <c r="G15">
        <f>IF(G7-2400000&gt;400000,400000,G7-2400000)</f>
        <v>25000</v>
      </c>
      <c r="H15">
        <f>IF(G15&lt;0,0,G15*30%)</f>
        <v>7500</v>
      </c>
    </row>
    <row r="16" spans="1:8" x14ac:dyDescent="0.25">
      <c r="B16" t="s">
        <v>151</v>
      </c>
      <c r="C16" s="3"/>
      <c r="G16">
        <f>IF(G7-2400000&gt;G7,G7,G7-2400000)</f>
        <v>25000</v>
      </c>
    </row>
    <row r="18" spans="1:8" x14ac:dyDescent="0.25">
      <c r="A18" t="s">
        <v>100</v>
      </c>
      <c r="B18" t="s">
        <v>28</v>
      </c>
      <c r="D18" t="s">
        <v>101</v>
      </c>
      <c r="H18">
        <f>SUM(H10:H15)</f>
        <v>207500</v>
      </c>
    </row>
    <row r="20" spans="1:8" x14ac:dyDescent="0.25">
      <c r="A20" t="s">
        <v>102</v>
      </c>
      <c r="B20" t="s">
        <v>27</v>
      </c>
      <c r="D20" t="s">
        <v>103</v>
      </c>
      <c r="H20">
        <f>+H18*4%</f>
        <v>8300</v>
      </c>
    </row>
    <row r="22" spans="1:8" x14ac:dyDescent="0.25">
      <c r="A22" t="s">
        <v>104</v>
      </c>
      <c r="B22" t="s">
        <v>105</v>
      </c>
      <c r="D22" t="s">
        <v>106</v>
      </c>
      <c r="H22">
        <f>+H18+H20</f>
        <v>215800</v>
      </c>
    </row>
    <row r="24" spans="1:8" x14ac:dyDescent="0.25"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Budget</vt:lpstr>
      <vt:lpstr>New Tax Regime (FY24-25)</vt:lpstr>
      <vt:lpstr>Old Tax Regime (FY24-25)</vt:lpstr>
      <vt:lpstr>New Tax Regime (FY25-26)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Ghayal</dc:creator>
  <cp:lastModifiedBy>DELL</cp:lastModifiedBy>
  <dcterms:created xsi:type="dcterms:W3CDTF">2015-06-05T18:17:20Z</dcterms:created>
  <dcterms:modified xsi:type="dcterms:W3CDTF">2025-02-26T13:22:51Z</dcterms:modified>
</cp:coreProperties>
</file>