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\Documents\"/>
    </mc:Choice>
  </mc:AlternateContent>
  <xr:revisionPtr revIDLastSave="0" documentId="8_{D61EF2D7-DF77-452B-B11B-3DDD2782AF82}" xr6:coauthVersionLast="47" xr6:coauthVersionMax="47" xr10:uidLastSave="{00000000-0000-0000-0000-000000000000}"/>
  <bookViews>
    <workbookView xWindow="9210" yWindow="1665" windowWidth="14520" windowHeight="12960" xr2:uid="{6002CFEC-39DE-4540-93EF-B46313BC7FFC}"/>
  </bookViews>
  <sheets>
    <sheet name="Top 25 Cars by Volume, by KBB" sheetId="1" r:id="rId1"/>
    <sheet name="My Carbon Ta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F22" i="2"/>
  <c r="F23" i="2" s="1"/>
  <c r="F24" i="2" s="1"/>
  <c r="G22" i="2"/>
  <c r="G23" i="2" s="1"/>
  <c r="G24" i="2" s="1"/>
  <c r="H22" i="2"/>
  <c r="H23" i="2" s="1"/>
  <c r="H24" i="2" s="1"/>
  <c r="E22" i="2"/>
  <c r="E23" i="2" s="1"/>
  <c r="AJ4" i="1"/>
  <c r="AJ5" i="1"/>
  <c r="AL5" i="1" s="1"/>
  <c r="AJ6" i="1"/>
  <c r="AL6" i="1" s="1"/>
  <c r="AJ8" i="1"/>
  <c r="AL8" i="1" s="1"/>
  <c r="AJ9" i="1"/>
  <c r="AL9" i="1" s="1"/>
  <c r="AJ10" i="1"/>
  <c r="AL10" i="1" s="1"/>
  <c r="AJ11" i="1"/>
  <c r="AJ12" i="1"/>
  <c r="AJ13" i="1"/>
  <c r="AL13" i="1" s="1"/>
  <c r="AJ15" i="1"/>
  <c r="AL15" i="1" s="1"/>
  <c r="AJ16" i="1"/>
  <c r="AL16" i="1" s="1"/>
  <c r="AJ17" i="1"/>
  <c r="AL17" i="1" s="1"/>
  <c r="AJ18" i="1"/>
  <c r="AL18" i="1" s="1"/>
  <c r="AJ19" i="1"/>
  <c r="AL19" i="1" s="1"/>
  <c r="AJ20" i="1"/>
  <c r="AL20" i="1" s="1"/>
  <c r="AJ21" i="1"/>
  <c r="AL21" i="1" s="1"/>
  <c r="AJ22" i="1"/>
  <c r="AJ23" i="1"/>
  <c r="AJ24" i="1"/>
  <c r="AJ25" i="1"/>
  <c r="AL25" i="1" s="1"/>
  <c r="AJ26" i="1"/>
  <c r="AL26" i="1" s="1"/>
  <c r="AJ27" i="1"/>
  <c r="AL27" i="1" s="1"/>
  <c r="AI4" i="1"/>
  <c r="AK4" i="1" s="1"/>
  <c r="AI5" i="1"/>
  <c r="AK5" i="1" s="1"/>
  <c r="AI6" i="1"/>
  <c r="AK6" i="1" s="1"/>
  <c r="AI8" i="1"/>
  <c r="AK8" i="1" s="1"/>
  <c r="AI9" i="1"/>
  <c r="AK9" i="1" s="1"/>
  <c r="AI10" i="1"/>
  <c r="AK10" i="1" s="1"/>
  <c r="AI11" i="1"/>
  <c r="AK11" i="1" s="1"/>
  <c r="AI12" i="1"/>
  <c r="AK12" i="1" s="1"/>
  <c r="AI13" i="1"/>
  <c r="AK13" i="1" s="1"/>
  <c r="AI15" i="1"/>
  <c r="AK15" i="1" s="1"/>
  <c r="AI16" i="1"/>
  <c r="AK16" i="1" s="1"/>
  <c r="AI17" i="1"/>
  <c r="AK17" i="1" s="1"/>
  <c r="AI18" i="1"/>
  <c r="AK18" i="1" s="1"/>
  <c r="AI19" i="1"/>
  <c r="AK19" i="1" s="1"/>
  <c r="AI20" i="1"/>
  <c r="AK20" i="1" s="1"/>
  <c r="AI21" i="1"/>
  <c r="AK21" i="1" s="1"/>
  <c r="AI22" i="1"/>
  <c r="AK22" i="1" s="1"/>
  <c r="AI23" i="1"/>
  <c r="AK23" i="1" s="1"/>
  <c r="AI24" i="1"/>
  <c r="AK24" i="1" s="1"/>
  <c r="AI25" i="1"/>
  <c r="AK25" i="1" s="1"/>
  <c r="AI26" i="1"/>
  <c r="AK26" i="1" s="1"/>
  <c r="AI27" i="1"/>
  <c r="AK27" i="1" s="1"/>
  <c r="AE4" i="1"/>
  <c r="AG4" i="1" s="1"/>
  <c r="AE5" i="1"/>
  <c r="AG5" i="1" s="1"/>
  <c r="AE6" i="1"/>
  <c r="AG6" i="1" s="1"/>
  <c r="AE8" i="1"/>
  <c r="AG8" i="1" s="1"/>
  <c r="AE9" i="1"/>
  <c r="AG9" i="1" s="1"/>
  <c r="AE10" i="1"/>
  <c r="AG10" i="1" s="1"/>
  <c r="AE11" i="1"/>
  <c r="AE12" i="1"/>
  <c r="AE13" i="1"/>
  <c r="AG13" i="1" s="1"/>
  <c r="AE15" i="1"/>
  <c r="AG15" i="1" s="1"/>
  <c r="AE16" i="1"/>
  <c r="AG16" i="1" s="1"/>
  <c r="AE17" i="1"/>
  <c r="AG17" i="1" s="1"/>
  <c r="AE18" i="1"/>
  <c r="AG18" i="1" s="1"/>
  <c r="AE19" i="1"/>
  <c r="AG19" i="1" s="1"/>
  <c r="AE20" i="1"/>
  <c r="AG20" i="1" s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11" i="1"/>
  <c r="AG12" i="1"/>
  <c r="AE3" i="1"/>
  <c r="AG3" i="1" s="1"/>
  <c r="AL4" i="1"/>
  <c r="AL11" i="1"/>
  <c r="AL12" i="1"/>
  <c r="AL22" i="1"/>
  <c r="AL23" i="1"/>
  <c r="AL24" i="1"/>
  <c r="AJ3" i="1"/>
  <c r="AL3" i="1" s="1"/>
  <c r="AG27" i="1"/>
  <c r="AD4" i="1"/>
  <c r="AF4" i="1" s="1"/>
  <c r="AD5" i="1"/>
  <c r="AF5" i="1" s="1"/>
  <c r="AD6" i="1"/>
  <c r="AF6" i="1" s="1"/>
  <c r="AD8" i="1"/>
  <c r="AF8" i="1" s="1"/>
  <c r="AD9" i="1"/>
  <c r="AF9" i="1" s="1"/>
  <c r="AD10" i="1"/>
  <c r="AF10" i="1" s="1"/>
  <c r="AD11" i="1"/>
  <c r="AF11" i="1" s="1"/>
  <c r="AD12" i="1"/>
  <c r="AF12" i="1" s="1"/>
  <c r="AD13" i="1"/>
  <c r="AF13" i="1" s="1"/>
  <c r="AD15" i="1"/>
  <c r="AF15" i="1" s="1"/>
  <c r="AD16" i="1"/>
  <c r="AF16" i="1" s="1"/>
  <c r="AD17" i="1"/>
  <c r="AF17" i="1" s="1"/>
  <c r="AD18" i="1"/>
  <c r="AF18" i="1" s="1"/>
  <c r="AD19" i="1"/>
  <c r="AF19" i="1" s="1"/>
  <c r="AD20" i="1"/>
  <c r="AF20" i="1" s="1"/>
  <c r="AD21" i="1"/>
  <c r="AF21" i="1" s="1"/>
  <c r="AD22" i="1"/>
  <c r="AF22" i="1" s="1"/>
  <c r="AD23" i="1"/>
  <c r="AF23" i="1" s="1"/>
  <c r="AD24" i="1"/>
  <c r="AF24" i="1" s="1"/>
  <c r="AD25" i="1"/>
  <c r="AF25" i="1" s="1"/>
  <c r="AD26" i="1"/>
  <c r="AF26" i="1" s="1"/>
  <c r="AD27" i="1"/>
  <c r="AF27" i="1" s="1"/>
  <c r="Z4" i="1"/>
  <c r="AB4" i="1" s="1"/>
  <c r="Z5" i="1"/>
  <c r="AB5" i="1" s="1"/>
  <c r="Z6" i="1"/>
  <c r="AB6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Y4" i="1"/>
  <c r="AA4" i="1" s="1"/>
  <c r="Y5" i="1"/>
  <c r="AA5" i="1" s="1"/>
  <c r="Y6" i="1"/>
  <c r="AA6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U4" i="1"/>
  <c r="W4" i="1" s="1"/>
  <c r="U5" i="1"/>
  <c r="W5" i="1" s="1"/>
  <c r="U6" i="1"/>
  <c r="W6" i="1" s="1"/>
  <c r="U8" i="1"/>
  <c r="W8" i="1" s="1"/>
  <c r="U9" i="1"/>
  <c r="W9" i="1" s="1"/>
  <c r="U10" i="1"/>
  <c r="W10" i="1" s="1"/>
  <c r="U11" i="1"/>
  <c r="W11" i="1" s="1"/>
  <c r="U12" i="1"/>
  <c r="W12" i="1" s="1"/>
  <c r="U13" i="1"/>
  <c r="W13" i="1" s="1"/>
  <c r="U15" i="1"/>
  <c r="W15" i="1" s="1"/>
  <c r="U16" i="1"/>
  <c r="W16" i="1" s="1"/>
  <c r="U17" i="1"/>
  <c r="W17" i="1" s="1"/>
  <c r="U18" i="1"/>
  <c r="W18" i="1" s="1"/>
  <c r="U19" i="1"/>
  <c r="W19" i="1" s="1"/>
  <c r="U20" i="1"/>
  <c r="W20" i="1" s="1"/>
  <c r="U21" i="1"/>
  <c r="W21" i="1" s="1"/>
  <c r="U22" i="1"/>
  <c r="W22" i="1" s="1"/>
  <c r="U23" i="1"/>
  <c r="W23" i="1" s="1"/>
  <c r="U24" i="1"/>
  <c r="W24" i="1" s="1"/>
  <c r="U25" i="1"/>
  <c r="W25" i="1" s="1"/>
  <c r="U26" i="1"/>
  <c r="W26" i="1" s="1"/>
  <c r="U27" i="1"/>
  <c r="W27" i="1" s="1"/>
  <c r="T4" i="1"/>
  <c r="V4" i="1" s="1"/>
  <c r="T5" i="1"/>
  <c r="V5" i="1" s="1"/>
  <c r="T6" i="1"/>
  <c r="V6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5" i="1"/>
  <c r="V15" i="1" s="1"/>
  <c r="T16" i="1"/>
  <c r="V16" i="1" s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Z3" i="1"/>
  <c r="AB3" i="1" s="1"/>
  <c r="AI3" i="1"/>
  <c r="AK3" i="1" s="1"/>
  <c r="AD3" i="1"/>
  <c r="AF3" i="1" s="1"/>
  <c r="Y3" i="1"/>
  <c r="AA3" i="1" s="1"/>
  <c r="U3" i="1"/>
  <c r="W3" i="1" s="1"/>
  <c r="T3" i="1"/>
  <c r="V3" i="1" s="1"/>
  <c r="N16" i="1"/>
  <c r="N3" i="1"/>
  <c r="N6" i="1"/>
  <c r="N7" i="1"/>
  <c r="N8" i="1"/>
  <c r="N20" i="1"/>
  <c r="N10" i="1"/>
  <c r="N27" i="1"/>
  <c r="N9" i="1"/>
  <c r="N13" i="1"/>
  <c r="N14" i="1"/>
  <c r="N15" i="1"/>
  <c r="N17" i="1"/>
  <c r="N12" i="1"/>
  <c r="N18" i="1"/>
  <c r="N19" i="1"/>
  <c r="N24" i="1"/>
  <c r="N21" i="1"/>
  <c r="N25" i="1"/>
  <c r="N11" i="1"/>
  <c r="N5" i="1"/>
  <c r="N22" i="1"/>
  <c r="N23" i="1"/>
  <c r="N26" i="1"/>
  <c r="N4" i="1"/>
  <c r="L16" i="1"/>
  <c r="L3" i="1"/>
  <c r="L6" i="1"/>
  <c r="L7" i="1"/>
  <c r="L8" i="1"/>
  <c r="L20" i="1"/>
  <c r="L10" i="1"/>
  <c r="L27" i="1"/>
  <c r="L9" i="1"/>
  <c r="L13" i="1"/>
  <c r="L14" i="1"/>
  <c r="L15" i="1"/>
  <c r="L17" i="1"/>
  <c r="L12" i="1"/>
  <c r="L18" i="1"/>
  <c r="L19" i="1"/>
  <c r="L24" i="1"/>
  <c r="L21" i="1"/>
  <c r="L25" i="1"/>
  <c r="L11" i="1"/>
  <c r="L5" i="1"/>
  <c r="L22" i="1"/>
  <c r="L23" i="1"/>
  <c r="L26" i="1"/>
  <c r="L4" i="1"/>
  <c r="K16" i="1"/>
  <c r="K3" i="1"/>
  <c r="K6" i="1"/>
  <c r="K7" i="1"/>
  <c r="K8" i="1"/>
  <c r="K20" i="1"/>
  <c r="K10" i="1"/>
  <c r="K27" i="1"/>
  <c r="K9" i="1"/>
  <c r="K13" i="1"/>
  <c r="K14" i="1"/>
  <c r="K15" i="1"/>
  <c r="K17" i="1"/>
  <c r="K12" i="1"/>
  <c r="K18" i="1"/>
  <c r="K19" i="1"/>
  <c r="K24" i="1"/>
  <c r="K21" i="1"/>
  <c r="K25" i="1"/>
  <c r="K11" i="1"/>
  <c r="K5" i="1"/>
  <c r="K22" i="1"/>
  <c r="K23" i="1"/>
  <c r="K26" i="1"/>
  <c r="K4" i="1"/>
  <c r="J16" i="1"/>
  <c r="J3" i="1"/>
  <c r="J6" i="1"/>
  <c r="J7" i="1"/>
  <c r="J8" i="1"/>
  <c r="J20" i="1"/>
  <c r="J10" i="1"/>
  <c r="J27" i="1"/>
  <c r="J9" i="1"/>
  <c r="J13" i="1"/>
  <c r="J14" i="1"/>
  <c r="J15" i="1"/>
  <c r="J17" i="1"/>
  <c r="J12" i="1"/>
  <c r="J18" i="1"/>
  <c r="J19" i="1"/>
  <c r="J24" i="1"/>
  <c r="J21" i="1"/>
  <c r="J25" i="1"/>
  <c r="J11" i="1"/>
  <c r="J5" i="1"/>
  <c r="J22" i="1"/>
  <c r="J23" i="1"/>
  <c r="J26" i="1"/>
  <c r="J4" i="1"/>
  <c r="I4" i="1"/>
  <c r="I16" i="1"/>
  <c r="I3" i="1"/>
  <c r="I6" i="1"/>
  <c r="I7" i="1"/>
  <c r="I8" i="1"/>
  <c r="I20" i="1"/>
  <c r="I10" i="1"/>
  <c r="I27" i="1"/>
  <c r="I9" i="1"/>
  <c r="I13" i="1"/>
  <c r="I14" i="1"/>
  <c r="I15" i="1"/>
  <c r="I17" i="1"/>
  <c r="I12" i="1"/>
  <c r="I18" i="1"/>
  <c r="I19" i="1"/>
  <c r="I24" i="1"/>
  <c r="I21" i="1"/>
  <c r="I25" i="1"/>
  <c r="I11" i="1"/>
  <c r="I5" i="1"/>
  <c r="I22" i="1"/>
  <c r="I23" i="1"/>
  <c r="I26" i="1"/>
  <c r="H16" i="1"/>
  <c r="H3" i="1"/>
  <c r="H6" i="1"/>
  <c r="H7" i="1"/>
  <c r="H8" i="1"/>
  <c r="H20" i="1"/>
  <c r="H10" i="1"/>
  <c r="H27" i="1"/>
  <c r="H9" i="1"/>
  <c r="H13" i="1"/>
  <c r="H14" i="1"/>
  <c r="H15" i="1"/>
  <c r="H17" i="1"/>
  <c r="H12" i="1"/>
  <c r="H18" i="1"/>
  <c r="H19" i="1"/>
  <c r="H24" i="1"/>
  <c r="H21" i="1"/>
  <c r="H25" i="1"/>
  <c r="H11" i="1"/>
  <c r="H5" i="1"/>
  <c r="H22" i="1"/>
  <c r="H23" i="1"/>
  <c r="H26" i="1"/>
  <c r="H4" i="1"/>
  <c r="AB28" i="1" l="1"/>
  <c r="AB29" i="1" s="1"/>
  <c r="W28" i="1"/>
  <c r="W29" i="1" s="1"/>
  <c r="V28" i="1"/>
  <c r="V29" i="1" s="1"/>
  <c r="AL28" i="1"/>
  <c r="AL29" i="1" s="1"/>
  <c r="AG28" i="1"/>
  <c r="AG29" i="1" s="1"/>
  <c r="AA28" i="1"/>
  <c r="AA29" i="1" s="1"/>
  <c r="AF28" i="1"/>
  <c r="AF29" i="1" s="1"/>
  <c r="AK28" i="1"/>
  <c r="AK29" i="1" s="1"/>
  <c r="L28" i="1"/>
  <c r="M19" i="1" s="1"/>
  <c r="N28" i="1"/>
  <c r="O4" i="1" s="1"/>
  <c r="D28" i="1"/>
  <c r="J28" i="1"/>
  <c r="K28" i="1"/>
  <c r="I28" i="1" l="1"/>
  <c r="H28" i="1" s="1"/>
  <c r="M17" i="1"/>
  <c r="M21" i="1"/>
  <c r="M16" i="1"/>
  <c r="M11" i="1"/>
  <c r="O6" i="1"/>
  <c r="M12" i="1"/>
  <c r="O15" i="1"/>
  <c r="O8" i="1"/>
  <c r="O23" i="1"/>
  <c r="O27" i="1"/>
  <c r="O25" i="1"/>
  <c r="M18" i="1"/>
  <c r="O13" i="1"/>
  <c r="O3" i="1"/>
  <c r="M6" i="1"/>
  <c r="O19" i="1"/>
  <c r="O9" i="1"/>
  <c r="M24" i="1"/>
  <c r="M3" i="1"/>
  <c r="M4" i="1"/>
  <c r="O21" i="1"/>
  <c r="M13" i="1"/>
  <c r="O28" i="1"/>
  <c r="M28" i="1" s="1"/>
  <c r="O16" i="1"/>
  <c r="O5" i="1"/>
  <c r="O22" i="1"/>
  <c r="O7" i="1"/>
  <c r="O12" i="1"/>
  <c r="O18" i="1"/>
  <c r="O14" i="1"/>
  <c r="O17" i="1"/>
  <c r="M14" i="1"/>
  <c r="M15" i="1"/>
  <c r="M23" i="1"/>
  <c r="M20" i="1"/>
  <c r="M9" i="1"/>
  <c r="M5" i="1"/>
  <c r="M22" i="1"/>
  <c r="M8" i="1"/>
  <c r="M25" i="1"/>
  <c r="O11" i="1"/>
  <c r="O24" i="1"/>
  <c r="O20" i="1"/>
  <c r="M27" i="1"/>
  <c r="O10" i="1"/>
  <c r="M7" i="1"/>
  <c r="M26" i="1"/>
  <c r="O26" i="1"/>
  <c r="M10" i="1"/>
  <c r="E13" i="1"/>
  <c r="E25" i="1"/>
  <c r="E9" i="1"/>
  <c r="E24" i="1"/>
  <c r="E8" i="1"/>
  <c r="E7" i="1"/>
  <c r="E6" i="1"/>
  <c r="E20" i="1"/>
  <c r="E3" i="1"/>
  <c r="E10" i="1"/>
  <c r="E16" i="1"/>
  <c r="E22" i="1"/>
  <c r="E21" i="1"/>
  <c r="E5" i="1"/>
  <c r="E23" i="1"/>
  <c r="E19" i="1"/>
  <c r="E12" i="1"/>
  <c r="E15" i="1"/>
  <c r="E27" i="1"/>
  <c r="E26" i="1"/>
  <c r="E14" i="1"/>
  <c r="E17" i="1"/>
  <c r="E11" i="1"/>
  <c r="E18" i="1"/>
  <c r="E4" i="1"/>
  <c r="E28" i="1" l="1"/>
</calcChain>
</file>

<file path=xl/sharedStrings.xml><?xml version="1.0" encoding="utf-8"?>
<sst xmlns="http://schemas.openxmlformats.org/spreadsheetml/2006/main" count="231" uniqueCount="109">
  <si>
    <t>Ford</t>
  </si>
  <si>
    <t>F-Series</t>
  </si>
  <si>
    <t>Chevy</t>
  </si>
  <si>
    <t>Silverado</t>
  </si>
  <si>
    <t>Ram</t>
  </si>
  <si>
    <t>Pickup</t>
  </si>
  <si>
    <t>Toyota</t>
  </si>
  <si>
    <t>Rav4</t>
  </si>
  <si>
    <t>Tesla</t>
  </si>
  <si>
    <t>Model Y</t>
  </si>
  <si>
    <t>Honda</t>
  </si>
  <si>
    <t>CR-V</t>
  </si>
  <si>
    <t xml:space="preserve">GMC </t>
  </si>
  <si>
    <t>Sierra</t>
  </si>
  <si>
    <t>Camry</t>
  </si>
  <si>
    <t>Nissan</t>
  </si>
  <si>
    <t>Rogue</t>
  </si>
  <si>
    <t>Jeep</t>
  </si>
  <si>
    <t>Grand Cherokee</t>
  </si>
  <si>
    <t>Tacoma</t>
  </si>
  <si>
    <t>Model 3</t>
  </si>
  <si>
    <t>Corolla</t>
  </si>
  <si>
    <t>Equinox</t>
  </si>
  <si>
    <t>Hyundai</t>
  </si>
  <si>
    <t>Tucson</t>
  </si>
  <si>
    <t>Civic</t>
  </si>
  <si>
    <t>Accord</t>
  </si>
  <si>
    <t>Explorer</t>
  </si>
  <si>
    <t>Highlander</t>
  </si>
  <si>
    <t>Subaru</t>
  </si>
  <si>
    <t>Outback</t>
  </si>
  <si>
    <t>Crosstek</t>
  </si>
  <si>
    <t>Wrangler</t>
  </si>
  <si>
    <t>Mazda</t>
  </si>
  <si>
    <t>CX-5</t>
  </si>
  <si>
    <t>Forester</t>
  </si>
  <si>
    <t>Escape</t>
  </si>
  <si>
    <t>https://www.kbb.com/best-cars/top-10-25-best-selling-cars-trucks-suvs/</t>
  </si>
  <si>
    <t>Top 25 Cars by Volume, 2023, by Kelley Blue Book</t>
  </si>
  <si>
    <t>Total</t>
  </si>
  <si>
    <t>Rank</t>
  </si>
  <si>
    <t>Maker</t>
  </si>
  <si>
    <t>Model</t>
  </si>
  <si>
    <t>Units Sold</t>
  </si>
  <si>
    <t>ICE</t>
  </si>
  <si>
    <t>EV</t>
  </si>
  <si>
    <t>ICE or EV</t>
  </si>
  <si>
    <t>EV units sold</t>
  </si>
  <si>
    <t>Source</t>
  </si>
  <si>
    <t>https://www.fueleconomy.gov/</t>
  </si>
  <si>
    <t>Class</t>
  </si>
  <si>
    <t>Truck</t>
  </si>
  <si>
    <t>SUV</t>
  </si>
  <si>
    <t>Car</t>
  </si>
  <si>
    <t>If "Truck or SUV"</t>
  </si>
  <si>
    <t>If "Car"</t>
  </si>
  <si>
    <t>Truck/SUV units sold</t>
  </si>
  <si>
    <t>Car units sold</t>
  </si>
  <si>
    <t xml:space="preserve"> ICE units sold</t>
  </si>
  <si>
    <t>% of Total ICE Sales</t>
  </si>
  <si>
    <t>% of Total EV Sales</t>
  </si>
  <si>
    <t>1 Ton =</t>
  </si>
  <si>
    <t>Grams</t>
  </si>
  <si>
    <t>Cost per mile</t>
  </si>
  <si>
    <t>Cost per mile Low</t>
  </si>
  <si>
    <t>Cost per mile Low2</t>
  </si>
  <si>
    <t>Cost per mile Low3</t>
  </si>
  <si>
    <t>Cost per mile Low4</t>
  </si>
  <si>
    <t>Cost per mile High</t>
  </si>
  <si>
    <t>Cost per mile High4</t>
  </si>
  <si>
    <t>NA</t>
  </si>
  <si>
    <t>$25 Co2 Tax per gram</t>
  </si>
  <si>
    <t>Various costs per mile with a Carbon Tax</t>
  </si>
  <si>
    <t>Miles Driver</t>
  </si>
  <si>
    <t>Low</t>
  </si>
  <si>
    <t>High</t>
  </si>
  <si>
    <t>Low, Yearly</t>
  </si>
  <si>
    <t>High, Yearly</t>
  </si>
  <si>
    <t>$50 Co2 Tax per gram</t>
  </si>
  <si>
    <t>$75 Co2 Tax per gram</t>
  </si>
  <si>
    <t>$100 Co2 Tax per gram</t>
  </si>
  <si>
    <t>Low, Yearly2</t>
  </si>
  <si>
    <t>Low, Yearly3</t>
  </si>
  <si>
    <t>Low, Yearly4</t>
  </si>
  <si>
    <t>High, Yearly2</t>
  </si>
  <si>
    <t>High, Yearly3</t>
  </si>
  <si>
    <t>High, Yearly4</t>
  </si>
  <si>
    <t>Low2</t>
  </si>
  <si>
    <t>High2</t>
  </si>
  <si>
    <t>CO2 Emission per gram (Depends on Model)</t>
  </si>
  <si>
    <t>Carbon Tax Forecasts (14,500 Miles Driven)</t>
  </si>
  <si>
    <t>at</t>
  </si>
  <si>
    <t xml:space="preserve">$50 </t>
  </si>
  <si>
    <t xml:space="preserve">$75 </t>
  </si>
  <si>
    <t xml:space="preserve">$100 </t>
  </si>
  <si>
    <t>&amp; Max</t>
  </si>
  <si>
    <t xml:space="preserve"> at $25</t>
  </si>
  <si>
    <t>Average Low</t>
  </si>
  <si>
    <t>Amounts Greater than</t>
  </si>
  <si>
    <r>
      <t xml:space="preserve">in </t>
    </r>
    <r>
      <rPr>
        <sz val="11"/>
        <color rgb="FFFF0000"/>
        <rFont val="Aptos Narrow"/>
        <family val="2"/>
        <scheme val="minor"/>
      </rPr>
      <t>Red</t>
    </r>
  </si>
  <si>
    <t>NA for EVs</t>
  </si>
  <si>
    <t>As a Percentage of Sales</t>
  </si>
  <si>
    <t>Monthly Charges</t>
  </si>
  <si>
    <t>Miles Driven</t>
  </si>
  <si>
    <t>Various Levels of a Carbon Tax</t>
  </si>
  <si>
    <t>CO2 grams emissions per mile</t>
  </si>
  <si>
    <t>Yearly Cost</t>
  </si>
  <si>
    <t>Enter Amount here --&gt;</t>
  </si>
  <si>
    <t>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</si>
</sst>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2" applyFont="1"/>
    <xf numFmtId="9" fontId="0" fillId="0" borderId="0" xfId="0" applyNumberFormat="1"/>
    <xf numFmtId="3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3" applyAlignment="1">
      <alignment horizontal="left"/>
    </xf>
    <xf numFmtId="0" fontId="0" fillId="0" borderId="0" xfId="0" applyAlignment="1">
      <alignment horizontal="left"/>
    </xf>
    <xf numFmtId="3" fontId="3" fillId="0" borderId="0" xfId="3" applyNumberFormat="1" applyAlignment="1">
      <alignment horizontal="left"/>
    </xf>
    <xf numFmtId="9" fontId="0" fillId="0" borderId="0" xfId="0" applyNumberFormat="1" applyAlignment="1">
      <alignment horizontal="center"/>
    </xf>
    <xf numFmtId="10" fontId="0" fillId="0" borderId="0" xfId="0" applyNumberFormat="1"/>
    <xf numFmtId="164" fontId="0" fillId="2" borderId="0" xfId="1" applyNumberFormat="1" applyFont="1" applyFill="1"/>
    <xf numFmtId="44" fontId="0" fillId="2" borderId="0" xfId="1" applyFont="1" applyFill="1"/>
    <xf numFmtId="164" fontId="0" fillId="3" borderId="0" xfId="1" applyNumberFormat="1" applyFont="1" applyFill="1"/>
    <xf numFmtId="44" fontId="0" fillId="3" borderId="0" xfId="1" applyFont="1" applyFill="1"/>
    <xf numFmtId="164" fontId="0" fillId="4" borderId="0" xfId="1" applyNumberFormat="1" applyFont="1" applyFill="1"/>
    <xf numFmtId="44" fontId="0" fillId="4" borderId="0" xfId="1" applyFont="1" applyFill="1"/>
    <xf numFmtId="164" fontId="0" fillId="5" borderId="0" xfId="1" applyNumberFormat="1" applyFont="1" applyFill="1"/>
    <xf numFmtId="44" fontId="0" fillId="5" borderId="0" xfId="1" applyFont="1" applyFill="1"/>
    <xf numFmtId="44" fontId="0" fillId="0" borderId="0" xfId="0" applyNumberFormat="1"/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6" fontId="0" fillId="0" borderId="0" xfId="0" applyNumberFormat="1" applyAlignment="1">
      <alignment horizontal="center"/>
    </xf>
    <xf numFmtId="44" fontId="0" fillId="6" borderId="0" xfId="0" applyNumberFormat="1" applyFill="1"/>
    <xf numFmtId="0" fontId="7" fillId="0" borderId="0" xfId="0" applyFont="1"/>
    <xf numFmtId="3" fontId="7" fillId="0" borderId="0" xfId="0" applyNumberFormat="1" applyFont="1"/>
    <xf numFmtId="164" fontId="7" fillId="0" borderId="0" xfId="1" applyNumberFormat="1" applyFont="1"/>
    <xf numFmtId="0" fontId="7" fillId="0" borderId="0" xfId="0" applyFont="1" applyAlignment="1">
      <alignment horizontal="right"/>
    </xf>
    <xf numFmtId="3" fontId="7" fillId="7" borderId="0" xfId="0" applyNumberFormat="1" applyFont="1" applyFill="1"/>
    <xf numFmtId="44" fontId="7" fillId="0" borderId="0" xfId="1" applyFont="1"/>
    <xf numFmtId="44" fontId="7" fillId="8" borderId="0" xfId="1" applyFont="1" applyFill="1"/>
    <xf numFmtId="0" fontId="8" fillId="9" borderId="0" xfId="0" applyFont="1" applyFill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44" fontId="7" fillId="2" borderId="0" xfId="0" applyNumberFormat="1" applyFont="1" applyFill="1"/>
    <xf numFmtId="164" fontId="1" fillId="0" borderId="0" xfId="1" applyNumberFormat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6">
    <dxf>
      <fill>
        <patternFill>
          <bgColor rgb="FFFF000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66FF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FF"/>
        </patternFill>
      </fill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FF"/>
        </patternFill>
      </fill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FF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FF"/>
        </patternFill>
      </fill>
      <alignment horizontal="left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fill>
        <patternFill patternType="solid">
          <fgColor indexed="64"/>
          <bgColor rgb="FFFF66FF"/>
        </patternFill>
      </fill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00"/>
        </patternFill>
      </fill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00"/>
        </patternFill>
      </fill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00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6600"/>
        </patternFill>
      </fill>
      <alignment horizontal="left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fill>
        <patternFill patternType="solid">
          <fgColor indexed="64"/>
          <bgColor rgb="FFFF6600"/>
        </patternFill>
      </fill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C000"/>
        </patternFill>
      </fill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C000"/>
        </patternFill>
      </fill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fill>
        <patternFill patternType="solid">
          <fgColor indexed="64"/>
          <bgColor rgb="FFFFC000"/>
        </patternFill>
      </fill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FF99"/>
        </patternFill>
      </fill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FFF99"/>
        </patternFill>
      </fill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FF99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3" formatCode="#,##0"/>
      <fill>
        <patternFill patternType="solid">
          <fgColor indexed="64"/>
          <bgColor rgb="FFFFFF99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left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FF99"/>
      <color rgb="FFFF66FF"/>
      <color rgb="FFFF66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3FC759-913C-4D17-8514-6A4C8D102507}" name="Table2" displayName="Table2" ref="A2:AM28" totalsRowCount="1">
  <autoFilter ref="A2:AM27" xr:uid="{833FC759-913C-4D17-8514-6A4C8D102507}"/>
  <sortState xmlns:xlrd2="http://schemas.microsoft.com/office/spreadsheetml/2017/richdata2" ref="A3:S27">
    <sortCondition ref="A2:A27"/>
  </sortState>
  <tableColumns count="39">
    <tableColumn id="1" xr3:uid="{50E73684-BC6A-41B2-A6CD-077CFFC09D62}" name="Rank" totalsRowLabel="Total" dataDxfId="75"/>
    <tableColumn id="2" xr3:uid="{945DCB88-36A3-4620-A555-FDC51E21A6B3}" name="Maker" dataDxfId="74"/>
    <tableColumn id="3" xr3:uid="{90E1DA8F-19A6-4FC3-8712-8FC5FFF886E2}" name="Model" dataDxfId="73"/>
    <tableColumn id="4" xr3:uid="{0BCA5377-F99D-4FE3-886A-17F9B4FD88DE}" name="Units Sold" totalsRowFunction="sum" dataDxfId="72" totalsRowDxfId="71"/>
    <tableColumn id="10" xr3:uid="{2FFA883F-2D89-4571-8838-FE6E1D310B83}" name="As a Percentage of Sales" totalsRowFunction="sum" dataDxfId="70" totalsRowDxfId="69">
      <calculatedColumnFormula>Table2[[#This Row],[Units Sold]]/Table2[[#Totals],[Units Sold]]</calculatedColumnFormula>
    </tableColumn>
    <tableColumn id="11" xr3:uid="{BCCBB1A0-3199-4DCE-AFA1-167138F3EB9E}" name="ICE or EV" dataDxfId="68" totalsRowDxfId="67" dataCellStyle="Percent"/>
    <tableColumn id="20" xr3:uid="{D2F0819F-3190-494A-BE8E-C0DDF3BD3838}" name="Class" dataDxfId="66" totalsRowDxfId="65" dataCellStyle="Percent"/>
    <tableColumn id="23" xr3:uid="{C2DC221A-58CF-4573-BC25-A59E5AB0F80E}" name="If &quot;Truck or SUV&quot;" totalsRowFunction="custom" dataDxfId="64" totalsRowDxfId="63" dataCellStyle="Percent">
      <calculatedColumnFormula>IF(OR(Table2[[#This Row],[Class]]="Truck", Table2[[#This Row],[Class]]="SUV"), 1, 0)</calculatedColumnFormula>
      <totalsRowFormula>1-Table2[[#Totals],[If "Car"]]</totalsRowFormula>
    </tableColumn>
    <tableColumn id="21" xr3:uid="{E1FB1D4B-3181-4691-A182-E4244F4D8107}" name="If &quot;Car&quot;" totalsRowFunction="custom" dataDxfId="62" totalsRowDxfId="61" dataCellStyle="Percent">
      <calculatedColumnFormula>IF(Table2[[#This Row],[Class]]="Car", 1, 0)</calculatedColumnFormula>
      <totalsRowFormula>Table2[[#Totals],[Car units sold]]/Table2[[#Totals],[Truck/SUV units sold]]</totalsRowFormula>
    </tableColumn>
    <tableColumn id="12" xr3:uid="{8216383C-0A11-49A5-A197-809720AF8C62}" name="Truck/SUV units sold" totalsRowFunction="sum" dataDxfId="60" totalsRowDxfId="59" dataCellStyle="Percent">
      <calculatedColumnFormula>IF(OR(Table2[[#This Row],[Class]]="Truck", Table2[[#This Row],[Class]]="SUV"), Table2[[#This Row],[Units Sold]], 0)</calculatedColumnFormula>
    </tableColumn>
    <tableColumn id="13" xr3:uid="{ADC5DEC9-372C-4CB0-8E05-6A8BCAC8C011}" name="Car units sold" totalsRowFunction="sum" dataDxfId="58" totalsRowDxfId="57" dataCellStyle="Percent">
      <calculatedColumnFormula>IF(Table2[[#This Row],[Class]]="Car", Table2[[#This Row],[Units Sold]], 0)</calculatedColumnFormula>
    </tableColumn>
    <tableColumn id="26" xr3:uid="{5A79E614-28DC-409A-B275-D70C1A763B01}" name=" ICE units sold" totalsRowFunction="sum" dataDxfId="56" totalsRowDxfId="55" dataCellStyle="Percent">
      <calculatedColumnFormula>IF(Table2[[#This Row],[ICE or EV]]="ICE", Table2[[#This Row],[Units Sold]], 0)</calculatedColumnFormula>
    </tableColumn>
    <tableColumn id="28" xr3:uid="{A59E6EA0-2AE9-4C2A-A367-1E7DEFBFAB80}" name="% of Total ICE Sales" totalsRowFunction="custom" dataDxfId="54" totalsRowDxfId="53" dataCellStyle="Percent">
      <calculatedColumnFormula>Table2[[#This Row],[ ICE units sold]]/Table2[[#Totals],[ ICE units sold]]</calculatedColumnFormula>
      <totalsRowFormula>1-Table2[[#Totals],[% of Total EV Sales]]</totalsRowFormula>
    </tableColumn>
    <tableColumn id="25" xr3:uid="{0F734209-50DD-463D-9AE9-01B45F7B1B7E}" name="EV units sold" totalsRowFunction="sum" dataDxfId="52" totalsRowDxfId="51" dataCellStyle="Percent">
      <calculatedColumnFormula>IF(Table2[[#This Row],[ICE or EV]]="EV", Table2[[#This Row],[Units Sold]], 0)</calculatedColumnFormula>
    </tableColumn>
    <tableColumn id="27" xr3:uid="{13D15C27-5CAD-4FBF-A5C2-684C23F7A77E}" name="% of Total EV Sales" totalsRowFunction="custom" dataDxfId="50" totalsRowDxfId="49" dataCellStyle="Percent">
      <calculatedColumnFormula>Table2[[#This Row],[EV units sold]]/Table2[[#Totals],[EV units sold]]</calculatedColumnFormula>
      <totalsRowFormula>Table2[[#Totals],[EV units sold]]/Table2[[#Totals],[ ICE units sold]]</totalsRowFormula>
    </tableColumn>
    <tableColumn id="17" xr3:uid="{4BB1100E-60BA-4B53-88F5-B3796D048E9A}" name="Low" dataDxfId="48" dataCellStyle="Percent"/>
    <tableColumn id="18" xr3:uid="{42BF4EA7-6844-4372-9EB6-B921633331A9}" name="High" dataDxfId="47" dataCellStyle="Percent"/>
    <tableColumn id="29" xr3:uid="{F286ADE5-061A-461E-87B1-0348DF980902}" name="Source" dataDxfId="46" totalsRowDxfId="45" dataCellStyle="Hyperlink"/>
    <tableColumn id="19" xr3:uid="{BA3351AE-02DB-4304-B0D3-25534E7B1CC8}" name="$25 Co2 Tax per gram" totalsRowLabel="Average Low" dataDxfId="44" totalsRowDxfId="43" dataCellStyle="Percent"/>
    <tableColumn id="34" xr3:uid="{44FDD83E-24CB-48DE-B9AD-49CE79A72175}" name="Low2" totalsRowLabel="&amp; Max" dataDxfId="42" totalsRowDxfId="41">
      <calculatedColumnFormula>Table2[[#This Row],[$25 Co2 Tax per gram]]*Table2[[#This Row],[Low]]/$Y$1</calculatedColumnFormula>
    </tableColumn>
    <tableColumn id="37" xr3:uid="{2FEE5A3B-26FC-4411-9D91-168238DA0ECF}" name="High2" totalsRowLabel=" at $25" dataDxfId="40" totalsRowDxfId="39" dataCellStyle="Currency">
      <calculatedColumnFormula>Table2[[#This Row],[$25 Co2 Tax per gram]]*Table2[[#This Row],[High]]/$Y$1</calculatedColumnFormula>
    </tableColumn>
    <tableColumn id="53" xr3:uid="{844FC5A9-2D06-4C4F-87E8-0EB625E73AB5}" name="Low, Yearly" totalsRowFunction="average" dataDxfId="38" totalsRowDxfId="37" dataCellStyle="Currency">
      <calculatedColumnFormula>Table2[[#This Row],[Low2]]*Table2[[#This Row],[Miles Driver]]</calculatedColumnFormula>
    </tableColumn>
    <tableColumn id="52" xr3:uid="{8D7F8BCC-7159-4CBD-8EB2-F7B03B299B6B}" name="High, Yearly" totalsRowFunction="max" dataDxfId="36" totalsRowDxfId="35" dataCellStyle="Currency">
      <calculatedColumnFormula>Table2[[#This Row],[High2]]*Table2[[#This Row],[Miles Driver]]</calculatedColumnFormula>
    </tableColumn>
    <tableColumn id="30" xr3:uid="{051B0378-B2A3-40C1-9E4D-247525127EE5}" name="$50 Co2 Tax per gram" dataDxfId="34" dataCellStyle="Currency"/>
    <tableColumn id="38" xr3:uid="{E805CA8D-4C73-4C95-858E-D520BD13D9B5}" name="Cost per mile Low" totalsRowLabel="at" dataDxfId="33" totalsRowDxfId="32" dataCellStyle="Currency">
      <calculatedColumnFormula>Table2[[#This Row],[$50 Co2 Tax per gram]]*Table2[[#This Row],[Low]]/$Y$1</calculatedColumnFormula>
    </tableColumn>
    <tableColumn id="35" xr3:uid="{9646AD5D-0789-49CC-B5E1-A24CE8DE8391}" name="Cost per mile High" totalsRowLabel="$50 " dataDxfId="31" totalsRowDxfId="30" dataCellStyle="Currency">
      <calculatedColumnFormula>Table2[[#This Row],[$50 Co2 Tax per gram]]*Table2[[#This Row],[High]]/$Y$1</calculatedColumnFormula>
    </tableColumn>
    <tableColumn id="55" xr3:uid="{1E7D3853-5CF7-4372-A5C9-1902BCD1D02D}" name="Low, Yearly2" totalsRowFunction="average" dataDxfId="29" totalsRowDxfId="28" dataCellStyle="Currency">
      <calculatedColumnFormula>Table2[[#This Row],[Cost per mile Low]]*Table2[[#This Row],[Miles Driver]]</calculatedColumnFormula>
    </tableColumn>
    <tableColumn id="54" xr3:uid="{332E5787-ED00-4ECB-BE48-1EF195650E13}" name="High, Yearly2" totalsRowFunction="max" dataDxfId="27" totalsRowDxfId="26" dataCellStyle="Currency">
      <calculatedColumnFormula>Table2[[#This Row],[Cost per mile High]]*Table2[[#This Row],[Miles Driver]]</calculatedColumnFormula>
    </tableColumn>
    <tableColumn id="31" xr3:uid="{9783BDFA-C303-4BED-895B-17F8F983A1B4}" name="$75 Co2 Tax per gram" dataDxfId="25" dataCellStyle="Currency"/>
    <tableColumn id="39" xr3:uid="{DDE5D2EF-0DFE-488A-80EA-88C690C9BDAD}" name="Cost per mile Low2" totalsRowLabel="at" dataDxfId="24" totalsRowDxfId="23" dataCellStyle="Currency">
      <calculatedColumnFormula>Table2[[#This Row],[$75 Co2 Tax per gram]]*Table2[[#This Row],[Low]]/$Y$1</calculatedColumnFormula>
    </tableColumn>
    <tableColumn id="36" xr3:uid="{9CABC9ED-AB10-4150-BC25-F32903200FFE}" name="Cost per mile High4" totalsRowLabel="$75 " dataDxfId="22" totalsRowDxfId="21" dataCellStyle="Currency">
      <calculatedColumnFormula>Table2[[#This Row],[$75 Co2 Tax per gram]]*Table2[[#This Row],[High]]/$Y$1</calculatedColumnFormula>
    </tableColumn>
    <tableColumn id="57" xr3:uid="{928500B8-5205-4030-AEE9-49F50BA85E09}" name="Low, Yearly3" totalsRowFunction="average" dataDxfId="20" totalsRowDxfId="19" dataCellStyle="Currency">
      <calculatedColumnFormula>Table2[[#This Row],[Cost per mile Low2]]*Table2[[#This Row],[Miles Driver]]</calculatedColumnFormula>
    </tableColumn>
    <tableColumn id="56" xr3:uid="{568EE26B-C0DE-4D2B-9609-CBB17A0C7864}" name="High, Yearly3" totalsRowFunction="max" dataDxfId="18" totalsRowDxfId="17" dataCellStyle="Currency">
      <calculatedColumnFormula>Table2[[#This Row],[Cost per mile High4]]*Table2[[#This Row],[Miles Driver]]</calculatedColumnFormula>
    </tableColumn>
    <tableColumn id="32" xr3:uid="{56B58DD1-8860-493D-92F8-E4DE9D8380D2}" name="$100 Co2 Tax per gram" dataDxfId="16" dataCellStyle="Currency"/>
    <tableColumn id="41" xr3:uid="{A6145CDF-8249-4951-9330-103FC81E93CF}" name="Cost per mile Low3" totalsRowLabel="at" dataDxfId="15" totalsRowDxfId="14" dataCellStyle="Currency">
      <calculatedColumnFormula>Table2[[#This Row],[$100 Co2 Tax per gram]]*Table2[[#This Row],[Low]]/$Y$1</calculatedColumnFormula>
    </tableColumn>
    <tableColumn id="60" xr3:uid="{AA722C09-0045-453F-8830-185BFADFC6EB}" name="Cost per mile Low4" totalsRowLabel="$100 " dataDxfId="13" totalsRowDxfId="12" dataCellStyle="Currency">
      <calculatedColumnFormula>Table2[[#This Row],[$100 Co2 Tax per gram]]*Table2[[#This Row],[High]]/$Y$1</calculatedColumnFormula>
    </tableColumn>
    <tableColumn id="61" xr3:uid="{0EFC244C-DF45-436D-B725-CA7C76E1DD6C}" name="Low, Yearly4" totalsRowFunction="average" dataDxfId="11" totalsRowDxfId="10" dataCellStyle="Currency">
      <calculatedColumnFormula>Table2[[#This Row],[Cost per mile Low3]]*Table2[[#This Row],[Miles Driver]]</calculatedColumnFormula>
    </tableColumn>
    <tableColumn id="59" xr3:uid="{981BF8D2-9CD6-4A16-9B79-6F0E82FC1E30}" name="High, Yearly4" totalsRowFunction="max" dataDxfId="9" totalsRowDxfId="8" dataCellStyle="Currency">
      <calculatedColumnFormula>Table2[[#This Row],[Cost per mile Low4]]*Table2[[#This Row],[Miles Driver]]</calculatedColumnFormula>
    </tableColumn>
    <tableColumn id="45" xr3:uid="{84344D25-A682-4D57-97EF-DD184AFE982A}" name="Miles Driver" dataDxfId="7" totalsRowDxfId="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eleconomy.gov/feg/PowerSearch.do?action=PowerSearch&amp;year1=2023&amp;year2=2023&amp;cbmkToyota=Toyota&amp;cbmcsmallCars=Small+Cars&amp;cbmcfamilySedans=Family+Sedans&amp;minmsrpsel=0&amp;maxmsrpsel=0&amp;city=0&amp;highway=0&amp;combined=0&amp;cbftreggasoline=Regular+Gasoline&amp;cbftmidgasoline=Midgrade+Gasoline&amp;cbftprmgasoline=Premium+Gasoline&amp;cbftdiesel=Diesel&amp;YearSel=2023&amp;MakeSel=Toyota&amp;MarClassSel=Small+Cars%2C+Family+Sedan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3" Type="http://schemas.openxmlformats.org/officeDocument/2006/relationships/hyperlink" Target="https://www.fueleconomy.gov/feg/PowerSearch.do?action=PowerSearch&amp;year1=2023&amp;year2=2023&amp;cbmkFord=Ford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Ford&amp;MarClassSel=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8" Type="http://schemas.openxmlformats.org/officeDocument/2006/relationships/hyperlink" Target="https://www.fueleconomy.gov/feg/PowerSearch.do?action=noform&amp;year1=2023&amp;year2=2023&amp;cbmkJeep=Jeep&amp;cbmcsportUtilityVehicles=Sport+Utility+Vehicles&amp;minmsrpsel=0&amp;maxmsrpsel=0&amp;city=0&amp;hwy=0&amp;comb=0&amp;cbftreggasoline=Regular+Gasoline&amp;cbftmidgasoline=Midgrade+Gasoline&amp;cbftprmgasoline=Premium+Gasoline&amp;cbftdiesel=Diesel&amp;YearSel=2023&amp;make=Jeep&amp;mclass=Sport+Utility+Vehicles&amp;vfuel=Regular+Gasoline%2C+Midgrade+Gasoline%2C+Premium+Gasoline%2C+Diesel&amp;vtype=&amp;trany=&amp;drive=&amp;cyl=&amp;MpgSel=000&amp;sortBy=Make&amp;Units=&amp;url=SearchServlet&amp;opt=new&amp;minmsrp=0&amp;maxmsrp=0&amp;minmpg=0&amp;maxmpg=0&amp;sCharge=&amp;tCharge=&amp;startstop=&amp;cylDeact=&amp;rowLimit=200&amp;tabView=1&amp;pageno=1" TargetMode="External"/><Relationship Id="rId3" Type="http://schemas.openxmlformats.org/officeDocument/2006/relationships/hyperlink" Target="https://www.fueleconomy.gov/feg/PowerSearch.do?action=PowerSearch&amp;year1=2023&amp;year2=2023&amp;cbmkChevrolet=Chevrolet&amp;cbmcpickupTrucks=Pickup+Trucks&amp;minmsrpsel=0&amp;maxmsrpsel=0&amp;city=0&amp;highway=0&amp;combined=0&amp;cbftreggasoline=Regular+Gasoline&amp;cbftmidgasoline=Midgrade+Gasoline&amp;cbftprmgasoline=Premium+Gasoline&amp;cbftdiesel=Diesel&amp;YearSel=2023&amp;MakeSel=Chevrolet&amp;MarClassSel=Pickup+Truck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21" Type="http://schemas.openxmlformats.org/officeDocument/2006/relationships/hyperlink" Target="https://www.fueleconomy.gov/feg/PowerSearch.do?action=noform&amp;year1=2023&amp;year2=2023&amp;cbmkNissan=Nissan&amp;cbmcsportUtilityVehicles=Sport+Utility+Vehicles&amp;minmsrpsel=0&amp;maxmsrpsel=0&amp;city=0&amp;hwy=0&amp;comb=0&amp;cbftreggasoline=Regular+Gasoline&amp;cbftmidgasoline=Midgrade+Gasoline&amp;cbftprmgasoline=Premium+Gasoline&amp;cbftdiesel=Diesel&amp;YearSel=2023&amp;make=Nissan&amp;mclass=Sport+Utility+Vehicles&amp;vfuel=Regular+Gasoline%2C+Midgrade+Gasoline%2C+Premium+Gasoline%2C+Diesel&amp;vtype=&amp;trany=&amp;drive=&amp;cyl=&amp;MpgSel=000&amp;sortBy=Make&amp;Units=&amp;url=SearchServlet&amp;opt=new&amp;minmsrp=0&amp;maxmsrp=0&amp;minmpg=0&amp;maxmpg=0&amp;sCharge=&amp;tCharge=&amp;startstop=&amp;cylDeact=&amp;rowLimit=200&amp;tabView=1&amp;pageno=1" TargetMode="External"/><Relationship Id="rId7" Type="http://schemas.openxmlformats.org/officeDocument/2006/relationships/hyperlink" Target="https://www.fueleconomy.gov/feg/PowerSearch.do?action=noform&amp;year1=2023&amp;year2=2023&amp;cbmkToyota=Toyota&amp;cbmcpickupTrucks=Pickup+Trucks&amp;minmsrpsel=0&amp;maxmsrpsel=0&amp;city=0&amp;hwy=0&amp;comb=0&amp;cbftreggasoline=Regular+Gasoline&amp;cbftmidgasoline=Midgrade+Gasoline&amp;cbftprmgasoline=Premium+Gasoline&amp;cbftdiesel=Diesel&amp;YearSel=2023&amp;make=Toyota&amp;mclass=Pickup+Trucks&amp;vfuel=Regular+Gasoline%2C+Midgrade+Gasoline%2C+Premium+Gasoline%2C+Diesel&amp;vtype=&amp;trany=&amp;drive=&amp;cyl=&amp;MpgSel=000&amp;sortBy=Comb&amp;Units=&amp;url=SearchServlet&amp;opt=new&amp;minmsrp=0&amp;maxmsrp=0&amp;minmpg=0&amp;maxmpg=0&amp;sCharge=&amp;tCharge=&amp;startstop=&amp;cylDeact=&amp;rowLimit=200&amp;tabView=1" TargetMode="External"/><Relationship Id="rId12" Type="http://schemas.openxmlformats.org/officeDocument/2006/relationships/hyperlink" Target="https://www.fueleconomy.gov/feg/PowerSearch.do?action=PowerSearch&amp;year1=2023&amp;year2=2023&amp;cbmkHonda=Honda&amp;cbmcsmallCars=Small+Cars&amp;cbmcfamilySedans=Family+Sedans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Honda&amp;MarClassSel=Small+Cars%2C+Family+Sedans%2C+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7" Type="http://schemas.openxmlformats.org/officeDocument/2006/relationships/hyperlink" Target="https://www.fueleconomy.gov/feg/PowerSearch.do?action=PowerSearch&amp;year1=2023&amp;year2=2023&amp;cbmkHyundai=Hyundai&amp;minmsrpsel=0&amp;maxmsrpsel=0&amp;city=0&amp;highway=0&amp;combined=0&amp;cbftreggasoline=Regular+Gasoline&amp;cbftmidgasoline=Midgrade+Gasoline&amp;cbftprmgasoline=Premium+Gasoline&amp;cbftdiesel=Diesel&amp;YearSel=2023&amp;MakeSel=Hyundai&amp;MarClassSel=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fueleconomy.gov/feg/PowerSearch.do?action=PowerSearch&amp;year1=2023&amp;year2=2023&amp;cbmkFord=Ford&amp;cbmcpickupTrucks=Pickup+Trucks&amp;minmsrpsel=0&amp;maxmsrpsel=0&amp;city=0&amp;highway=0&amp;combined=0&amp;cbftreggasoline=Regular+Gasoline&amp;cbftmidgasoline=Midgrade+Gasoline&amp;cbftprmgasoline=Premium+Gasoline&amp;cbftdiesel=Diesel&amp;YearSel=2023&amp;MakeSel=Ford&amp;MarClassSel=Pickup+Truck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6" Type="http://schemas.openxmlformats.org/officeDocument/2006/relationships/hyperlink" Target="https://www.fueleconomy.gov/feg/PowerSearch.do?action=PowerSearch&amp;year1=2023&amp;year2=2023&amp;cbmkGMC=GMC&amp;cbmcpickupTrucks=Pickup+Trucks&amp;minmsrpsel=0&amp;maxmsrpsel=0&amp;city=0&amp;highway=0&amp;combined=0&amp;cbftreggasoline=Regular+Gasoline&amp;cbftmidgasoline=Midgrade+Gasoline&amp;cbftprmgasoline=Premium+Gasoline&amp;cbftdiesel=Diesel&amp;YearSel=2023&amp;MakeSel=GMC&amp;MarClassSel=Pickup+Truck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20" Type="http://schemas.openxmlformats.org/officeDocument/2006/relationships/hyperlink" Target="https://www.fueleconomy.gov/feg/PowerSearch.do?action=noform&amp;year1=2023&amp;year2=2023&amp;cbmkMazda=Mazda&amp;cbmcsportUtilityVehicles=Sport+Utility+Vehicles&amp;minmsrpsel=0&amp;maxmsrpsel=0&amp;city=0&amp;hwy=0&amp;comb=0&amp;cbftreggasoline=Regular+Gasoline&amp;cbftmidgasoline=Midgrade+Gasoline&amp;cbftprmgasoline=Premium+Gasoline&amp;cbftdiesel=Diesel&amp;YearSel=2023&amp;make=Mazda&amp;mclass=Sport+Utility+Vehicles&amp;vfuel=Regular+Gasoline%2C+Midgrade+Gasoline%2C+Premium+Gasoline%2C+Diesel&amp;vtype=&amp;trany=&amp;drive=&amp;cyl=&amp;MpgSel=000&amp;sortBy=Make&amp;Units=&amp;url=SearchServlet&amp;opt=new&amp;minmsrp=0&amp;maxmsrp=0&amp;minmpg=0&amp;maxmpg=0&amp;sCharge=&amp;tCharge=&amp;startstop=&amp;cylDeact=&amp;rowLimit=200&amp;tabView=0&amp;pageno=1" TargetMode="External"/><Relationship Id="rId1" Type="http://schemas.openxmlformats.org/officeDocument/2006/relationships/hyperlink" Target="https://www.kbb.com/best-cars/top-10-25-best-selling-cars-trucks-suvs/" TargetMode="External"/><Relationship Id="rId6" Type="http://schemas.openxmlformats.org/officeDocument/2006/relationships/hyperlink" Target="https://www.fueleconomy.gov/feg/PowerSearch.do?action=PowerSearch&amp;year1=2023&amp;year2=2023&amp;cbmkToyota=Toyota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Toyota&amp;MarClassSel=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1" Type="http://schemas.openxmlformats.org/officeDocument/2006/relationships/hyperlink" Target="https://www.fueleconomy.gov/feg/PowerSearch.do?action=PowerSearch&amp;year1=2023&amp;year2=2023&amp;cbmkHonda=Honda&amp;cbmcsmallCars=Small+Cars&amp;cbmcfamilySedans=Family+Sedans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Honda&amp;MarClassSel=Small+Cars%2C+Family+Sedans%2C+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24" Type="http://schemas.openxmlformats.org/officeDocument/2006/relationships/hyperlink" Target="https://www.fueleconomy.gov/feg/PowerSearch.do?action=PowerSearch&amp;year1=2023&amp;year2=2023&amp;cbmkSubaru=Subaru&amp;minmsrpsel=0&amp;maxmsrpsel=0&amp;city=0&amp;highway=0&amp;combined=0&amp;cbftreggasoline=Regular+Gasoline&amp;cbftmidgasoline=Midgrade+Gasoline&amp;cbftprmgasoline=Premium+Gasoline&amp;cbftdiesel=Diesel&amp;YearSel=2023&amp;MakeSel=Subaru&amp;MarClassSel=&amp;FuelTypeSel=Regular+Gasoline%2C+Midgrade+Gasoline%2C+Premium+Gasoline%2C+Diesel&amp;VehTypeSel=&amp;TranySel=&amp;DriveTypeSel=&amp;CylindersSel=&amp;MpgSel=000&amp;sortBy=Make&amp;Units=&amp;url=SearchServlet&amp;opt=new&amp;minmsrp=0&amp;maxmsrp=0&amp;minmpg=0&amp;maxmpg=0&amp;sCharge=&amp;tCharge=&amp;startstop=&amp;cylDeact=&amp;rowLimit=200" TargetMode="External"/><Relationship Id="rId5" Type="http://schemas.openxmlformats.org/officeDocument/2006/relationships/hyperlink" Target="https://www.fueleconomy.gov/feg/PowerSearch.do?action=PowerSearch&amp;year1=2023&amp;year2=2023&amp;cbmkToyota=Toyota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Toyota&amp;MarClassSel=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5" Type="http://schemas.openxmlformats.org/officeDocument/2006/relationships/hyperlink" Target="https://www.fueleconomy.gov/feg/PowerSearch.do?action=PowerSearch&amp;year1=2023&amp;year2=2023&amp;cbmkChevrolet=Chevrolet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Chevrolet&amp;MarClassSel=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23" Type="http://schemas.openxmlformats.org/officeDocument/2006/relationships/hyperlink" Target="https://www.fueleconomy.gov/feg/PowerSearch.do?action=PowerSearch&amp;year1=2023&amp;year2=2023&amp;cbmkSubaru=Subaru&amp;minmsrpsel=0&amp;maxmsrpsel=0&amp;city=0&amp;highway=0&amp;combined=0&amp;cbftreggasoline=Regular+Gasoline&amp;cbftmidgasoline=Midgrade+Gasoline&amp;cbftprmgasoline=Premium+Gasoline&amp;cbftdiesel=Diesel&amp;YearSel=2023&amp;MakeSel=Subaru&amp;MarClassSel=&amp;FuelTypeSel=Regular+Gasoline%2C+Midgrade+Gasoline%2C+Premium+Gasoline%2C+Diesel&amp;VehTypeSel=&amp;TranySel=&amp;DriveTypeSel=&amp;CylindersSel=&amp;MpgSel=000&amp;sortBy=Make&amp;Units=&amp;url=SearchServlet&amp;opt=new&amp;minmsrp=0&amp;maxmsrp=0&amp;minmpg=0&amp;maxmpg=0&amp;sCharge=&amp;tCharge=&amp;startstop=&amp;cylDeact=&amp;rowLimit=200" TargetMode="External"/><Relationship Id="rId10" Type="http://schemas.openxmlformats.org/officeDocument/2006/relationships/hyperlink" Target="https://www.fueleconomy.gov/feg/PowerSearch.do?action=PowerSearch&amp;year1=2023&amp;year2=2023&amp;cbmkHonda=Honda&amp;cbmcsmallCars=Small+Cars&amp;cbmcfamilySedans=Family+Sedans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Honda&amp;MarClassSel=Small+Cars%2C+Family+Sedans%2C+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9" Type="http://schemas.openxmlformats.org/officeDocument/2006/relationships/hyperlink" Target="https://www.fueleconomy.gov/feg/PowerSearch.do?action=noform&amp;year1=2023&amp;year2=2023&amp;cbmkJeep=Jeep&amp;cbmcsportUtilityVehicles=Sport+Utility+Vehicles&amp;minmsrpsel=0&amp;maxmsrpsel=0&amp;city=0&amp;hwy=0&amp;comb=0&amp;cbftreggasoline=Regular+Gasoline&amp;cbftmidgasoline=Midgrade+Gasoline&amp;cbftprmgasoline=Premium+Gasoline&amp;cbftdiesel=Diesel&amp;YearSel=2023&amp;make=Jeep&amp;mclass=Sport+Utility+Vehicles&amp;vfuel=Regular+Gasoline%2C+Midgrade+Gasoline%2C+Premium+Gasoline%2C+Diesel&amp;vtype=&amp;trany=&amp;drive=&amp;cyl=&amp;MpgSel=000&amp;sortBy=Make&amp;Units=&amp;url=SearchServlet&amp;opt=new&amp;minmsrp=0&amp;maxmsrp=0&amp;minmpg=0&amp;maxmpg=0&amp;sCharge=&amp;tCharge=&amp;startstop=&amp;cylDeact=&amp;rowLimit=200&amp;tabView=1&amp;pageno=1" TargetMode="External"/><Relationship Id="rId4" Type="http://schemas.openxmlformats.org/officeDocument/2006/relationships/hyperlink" Target="https://www.fueleconomy.gov/feg/PowerSearch.do?action=PowerSearch&amp;year1=2023&amp;year2=2023&amp;cbmkRam=Ram&amp;cbmcpickupTrucks=Pickup+Trucks&amp;minmsrpsel=0&amp;maxmsrpsel=0&amp;city=0&amp;highway=0&amp;combined=0&amp;cbftreggasoline=Regular+Gasoline&amp;cbftmidgasoline=Midgrade+Gasoline&amp;cbftprmgasoline=Premium+Gasoline&amp;cbftdiesel=Diesel&amp;YearSel=2023&amp;MakeSel=Ram&amp;MarClassSel=Pickup+Truck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9" Type="http://schemas.openxmlformats.org/officeDocument/2006/relationships/hyperlink" Target="https://www.fueleconomy.gov/feg/PowerSearch.do?action=PowerSearch&amp;year1=2023&amp;year2=2023&amp;cbmkToyota=Toyota&amp;cbmcsmallCars=Small+Cars&amp;cbmcfamilySedans=Family+Sedans&amp;minmsrpsel=0&amp;maxmsrpsel=0&amp;city=0&amp;highway=0&amp;combined=0&amp;cbftreggasoline=Regular+Gasoline&amp;cbftmidgasoline=Midgrade+Gasoline&amp;cbftprmgasoline=Premium+Gasoline&amp;cbftdiesel=Diesel&amp;YearSel=2023&amp;MakeSel=Toyota&amp;MarClassSel=Small+Cars%2C+Family+Sedan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14" Type="http://schemas.openxmlformats.org/officeDocument/2006/relationships/hyperlink" Target="https://www.fueleconomy.gov/feg/PowerSearch.do?action=PowerSearch&amp;year1=2023&amp;year2=2023&amp;cbmkFord=Ford&amp;cbmcsportUtilityVehicles=Sport+Utility+Vehicles&amp;minmsrpsel=0&amp;maxmsrpsel=0&amp;city=0&amp;highway=0&amp;combined=0&amp;cbftreggasoline=Regular+Gasoline&amp;cbftmidgasoline=Midgrade+Gasoline&amp;cbftprmgasoline=Premium+Gasoline&amp;cbftdiesel=Diesel&amp;YearSel=2023&amp;MakeSel=Ford&amp;MarClassSel=Sport+Utility+Vehicles&amp;FuelTypeSel=Regular+Gasoline%2C+Midgrade+Gasoline%2C+Premium+Gasoline%2C+Diesel&amp;VehTypeSel=&amp;TranySel=&amp;DriveTypeSel=&amp;CylindersSel=&amp;MpgSel=000&amp;sortBy=Comb&amp;Units=&amp;url=SearchServlet&amp;opt=new&amp;minmsrp=0&amp;maxmsrp=0&amp;minmpg=0&amp;maxmpg=0&amp;sCharge=&amp;tCharge=&amp;startstop=&amp;cylDeact=&amp;rowLimit=200" TargetMode="External"/><Relationship Id="rId22" Type="http://schemas.openxmlformats.org/officeDocument/2006/relationships/hyperlink" Target="https://www.fueleconomy.gov/feg/PowerSearch.do?action=PowerSearch&amp;year1=2023&amp;year2=2023&amp;cbmkSubaru=Subaru&amp;minmsrpsel=0&amp;maxmsrpsel=0&amp;city=0&amp;highway=0&amp;combined=0&amp;cbftreggasoline=Regular+Gasoline&amp;cbftmidgasoline=Midgrade+Gasoline&amp;cbftprmgasoline=Premium+Gasoline&amp;cbftdiesel=Diesel&amp;YearSel=2023&amp;MakeSel=Subaru&amp;MarClassSel=&amp;FuelTypeSel=Regular+Gasoline%2C+Midgrade+Gasoline%2C+Premium+Gasoline%2C+Diesel&amp;VehTypeSel=&amp;TranySel=&amp;DriveTypeSel=&amp;CylindersSel=&amp;MpgSel=000&amp;sortBy=Make&amp;Units=&amp;url=SearchServlet&amp;opt=new&amp;minmsrp=0&amp;maxmsrp=0&amp;minmpg=0&amp;maxmpg=0&amp;sCharge=&amp;tCharge=&amp;startstop=&amp;cylDeact=&amp;rowLimit=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D31-CB73-4FFF-8EFB-9B159E7D9B44}">
  <dimension ref="A1:AM29"/>
  <sheetViews>
    <sheetView tabSelected="1" topLeftCell="AA1" workbookViewId="0">
      <selection activeCell="AL1" sqref="AL1"/>
    </sheetView>
  </sheetViews>
  <sheetFormatPr defaultRowHeight="15" x14ac:dyDescent="0.25"/>
  <cols>
    <col min="1" max="2" width="11.28515625" customWidth="1"/>
    <col min="3" max="3" width="15.140625" bestFit="1" customWidth="1"/>
    <col min="4" max="4" width="11.28515625" style="1" customWidth="1"/>
    <col min="5" max="5" width="21.85546875" customWidth="1"/>
    <col min="6" max="6" width="9.140625" style="2"/>
    <col min="8" max="8" width="18.140625" bestFit="1" customWidth="1"/>
    <col min="9" max="9" width="17.140625" bestFit="1" customWidth="1"/>
    <col min="10" max="10" width="24.28515625" bestFit="1" customWidth="1"/>
    <col min="11" max="11" width="18.140625" bestFit="1" customWidth="1"/>
    <col min="12" max="12" width="18.140625" customWidth="1"/>
    <col min="13" max="13" width="23.42578125" bestFit="1" customWidth="1"/>
    <col min="14" max="14" width="18.140625" customWidth="1"/>
    <col min="15" max="15" width="22.5703125" bestFit="1" customWidth="1"/>
    <col min="16" max="16" width="20.5703125" bestFit="1" customWidth="1"/>
    <col min="17" max="17" width="21.140625" bestFit="1" customWidth="1"/>
    <col min="18" max="18" width="28.42578125" style="11" bestFit="1" customWidth="1"/>
    <col min="19" max="19" width="12.5703125" customWidth="1"/>
    <col min="22" max="22" width="13.42578125" bestFit="1" customWidth="1"/>
    <col min="23" max="23" width="14" bestFit="1" customWidth="1"/>
    <col min="25" max="25" width="12.7109375" bestFit="1" customWidth="1"/>
    <col min="37" max="37" width="15.7109375" customWidth="1"/>
    <col min="38" max="38" width="10.5703125" bestFit="1" customWidth="1"/>
    <col min="39" max="39" width="11.5703125" bestFit="1" customWidth="1"/>
  </cols>
  <sheetData>
    <row r="1" spans="1:39" ht="24" x14ac:dyDescent="0.4">
      <c r="A1" s="45" t="s">
        <v>38</v>
      </c>
      <c r="B1" s="45"/>
      <c r="C1" s="45"/>
      <c r="D1" s="45"/>
      <c r="E1" s="45"/>
      <c r="G1" s="10" t="s">
        <v>37</v>
      </c>
      <c r="L1" s="2"/>
      <c r="M1" s="2"/>
      <c r="N1" s="2"/>
      <c r="O1" s="2"/>
      <c r="P1" s="46" t="s">
        <v>89</v>
      </c>
      <c r="Q1" s="46"/>
      <c r="S1" s="43" t="s">
        <v>90</v>
      </c>
      <c r="T1" s="43"/>
      <c r="U1" s="43"/>
      <c r="V1" s="43"/>
      <c r="W1" s="25"/>
      <c r="X1" s="26" t="s">
        <v>61</v>
      </c>
      <c r="Y1" s="27">
        <v>1000000</v>
      </c>
      <c r="Z1" s="25" t="s">
        <v>62</v>
      </c>
      <c r="AA1" s="25"/>
      <c r="AB1" s="25"/>
      <c r="AC1" s="43" t="s">
        <v>72</v>
      </c>
      <c r="AD1" s="43"/>
      <c r="AE1" s="43"/>
      <c r="AF1" s="43"/>
      <c r="AG1" s="43"/>
      <c r="AH1" s="43" t="s">
        <v>100</v>
      </c>
      <c r="AI1" s="43"/>
      <c r="AJ1" s="42" t="s">
        <v>98</v>
      </c>
      <c r="AK1" s="42"/>
      <c r="AL1" s="41">
        <v>500</v>
      </c>
      <c r="AM1" s="2" t="s">
        <v>99</v>
      </c>
    </row>
    <row r="2" spans="1:39" ht="18.75" x14ac:dyDescent="0.3">
      <c r="A2" s="25" t="s">
        <v>40</v>
      </c>
      <c r="B2" s="25" t="s">
        <v>41</v>
      </c>
      <c r="C2" s="25" t="s">
        <v>42</v>
      </c>
      <c r="D2" s="1" t="s">
        <v>43</v>
      </c>
      <c r="E2" s="1" t="s">
        <v>101</v>
      </c>
      <c r="F2" s="3" t="s">
        <v>46</v>
      </c>
      <c r="G2" s="3" t="s">
        <v>50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  <c r="N2" s="3" t="s">
        <v>47</v>
      </c>
      <c r="O2" s="3" t="s">
        <v>60</v>
      </c>
      <c r="P2" s="4" t="s">
        <v>74</v>
      </c>
      <c r="Q2" s="4" t="s">
        <v>75</v>
      </c>
      <c r="R2" s="11" t="s">
        <v>48</v>
      </c>
      <c r="S2" t="s">
        <v>71</v>
      </c>
      <c r="T2" t="s">
        <v>87</v>
      </c>
      <c r="U2" t="s">
        <v>88</v>
      </c>
      <c r="V2" t="s">
        <v>76</v>
      </c>
      <c r="W2" t="s">
        <v>77</v>
      </c>
      <c r="X2" t="s">
        <v>78</v>
      </c>
      <c r="Y2" t="s">
        <v>64</v>
      </c>
      <c r="Z2" t="s">
        <v>68</v>
      </c>
      <c r="AA2" t="s">
        <v>81</v>
      </c>
      <c r="AB2" t="s">
        <v>84</v>
      </c>
      <c r="AC2" t="s">
        <v>79</v>
      </c>
      <c r="AD2" t="s">
        <v>65</v>
      </c>
      <c r="AE2" t="s">
        <v>69</v>
      </c>
      <c r="AF2" t="s">
        <v>82</v>
      </c>
      <c r="AG2" t="s">
        <v>85</v>
      </c>
      <c r="AH2" t="s">
        <v>80</v>
      </c>
      <c r="AI2" t="s">
        <v>66</v>
      </c>
      <c r="AJ2" t="s">
        <v>67</v>
      </c>
      <c r="AK2" t="s">
        <v>83</v>
      </c>
      <c r="AL2" t="s">
        <v>86</v>
      </c>
      <c r="AM2" t="s">
        <v>73</v>
      </c>
    </row>
    <row r="3" spans="1:39" ht="15.75" x14ac:dyDescent="0.25">
      <c r="A3" s="25">
        <v>1</v>
      </c>
      <c r="B3" s="25" t="s">
        <v>0</v>
      </c>
      <c r="C3" s="25" t="s">
        <v>1</v>
      </c>
      <c r="D3" s="1">
        <v>750789</v>
      </c>
      <c r="E3" s="5">
        <f>Table2[[#This Row],[Units Sold]]/Table2[[#Totals],[Units Sold]]</f>
        <v>0.10999709180306012</v>
      </c>
      <c r="F3" s="7" t="s">
        <v>44</v>
      </c>
      <c r="G3" s="7" t="s">
        <v>51</v>
      </c>
      <c r="H3" s="7">
        <f>IF(OR(Table2[[#This Row],[Class]]="Truck", Table2[[#This Row],[Class]]="SUV"), 1, 0)</f>
        <v>1</v>
      </c>
      <c r="I3" s="7">
        <f>IF(Table2[[#This Row],[Class]]="Car", 1, 0)</f>
        <v>0</v>
      </c>
      <c r="J3" s="7">
        <f>IF(OR(Table2[[#This Row],[Class]]="Truck", Table2[[#This Row],[Class]]="SUV"), Table2[[#This Row],[Units Sold]], 0)</f>
        <v>750789</v>
      </c>
      <c r="K3" s="7">
        <f>IF(Table2[[#This Row],[Class]]="Car", Table2[[#This Row],[Units Sold]], 0)</f>
        <v>0</v>
      </c>
      <c r="L3" s="7">
        <f>IF(Table2[[#This Row],[ICE or EV]]="ICE", Table2[[#This Row],[Units Sold]], 0)</f>
        <v>750789</v>
      </c>
      <c r="M3" s="8">
        <f>Table2[[#This Row],[ ICE units sold]]/Table2[[#Totals],[ ICE units sold]]</f>
        <v>0.12095970072185386</v>
      </c>
      <c r="N3" s="7">
        <f>IF(Table2[[#This Row],[ICE or EV]]="EV", Table2[[#This Row],[Units Sold]], 0)</f>
        <v>0</v>
      </c>
      <c r="O3" s="8">
        <f>Table2[[#This Row],[EV units sold]]/Table2[[#Totals],[EV units sold]]</f>
        <v>0</v>
      </c>
      <c r="P3" s="7">
        <v>350</v>
      </c>
      <c r="Q3" s="7">
        <v>750</v>
      </c>
      <c r="R3" s="12" t="s">
        <v>49</v>
      </c>
      <c r="S3" s="15">
        <v>25</v>
      </c>
      <c r="T3" s="16">
        <f>Table2[[#This Row],[$25 Co2 Tax per gram]]*Table2[[#This Row],[Low]]/$Y$1</f>
        <v>8.7500000000000008E-3</v>
      </c>
      <c r="U3" s="16">
        <f>Table2[[#This Row],[$25 Co2 Tax per gram]]*Table2[[#This Row],[High]]/$Y$1</f>
        <v>1.8749999999999999E-2</v>
      </c>
      <c r="V3" s="16">
        <f>Table2[[#This Row],[Low2]]*Table2[[#This Row],[Miles Driver]]</f>
        <v>126.87500000000001</v>
      </c>
      <c r="W3" s="16">
        <f>Table2[[#This Row],[High2]]*Table2[[#This Row],[Miles Driver]]</f>
        <v>271.875</v>
      </c>
      <c r="X3" s="17">
        <v>50</v>
      </c>
      <c r="Y3" s="18">
        <f>Table2[[#This Row],[$50 Co2 Tax per gram]]*Table2[[#This Row],[Low]]/$Y$1</f>
        <v>1.7500000000000002E-2</v>
      </c>
      <c r="Z3" s="18">
        <f>Table2[[#This Row],[$50 Co2 Tax per gram]]*Table2[[#This Row],[High]]/$Y$1</f>
        <v>3.7499999999999999E-2</v>
      </c>
      <c r="AA3" s="18">
        <f>Table2[[#This Row],[Cost per mile Low]]*Table2[[#This Row],[Miles Driver]]</f>
        <v>253.75000000000003</v>
      </c>
      <c r="AB3" s="18">
        <f>Table2[[#This Row],[Cost per mile High]]*Table2[[#This Row],[Miles Driver]]</f>
        <v>543.75</v>
      </c>
      <c r="AC3" s="19">
        <v>75</v>
      </c>
      <c r="AD3" s="20">
        <f>Table2[[#This Row],[$75 Co2 Tax per gram]]*Table2[[#This Row],[Low]]/$Y$1</f>
        <v>2.6249999999999999E-2</v>
      </c>
      <c r="AE3" s="20">
        <f>Table2[[#This Row],[$75 Co2 Tax per gram]]*Table2[[#This Row],[High]]/$Y$1</f>
        <v>5.6250000000000001E-2</v>
      </c>
      <c r="AF3" s="20">
        <f>Table2[[#This Row],[Cost per mile Low2]]*Table2[[#This Row],[Miles Driver]]</f>
        <v>380.625</v>
      </c>
      <c r="AG3" s="20">
        <f>Table2[[#This Row],[Cost per mile High4]]*Table2[[#This Row],[Miles Driver]]</f>
        <v>815.625</v>
      </c>
      <c r="AH3" s="21">
        <v>100</v>
      </c>
      <c r="AI3" s="22">
        <f>Table2[[#This Row],[$100 Co2 Tax per gram]]*Table2[[#This Row],[Low]]/$Y$1</f>
        <v>3.5000000000000003E-2</v>
      </c>
      <c r="AJ3" s="22">
        <f>Table2[[#This Row],[$100 Co2 Tax per gram]]*Table2[[#This Row],[High]]/$Y$1</f>
        <v>7.4999999999999997E-2</v>
      </c>
      <c r="AK3" s="22">
        <f>Table2[[#This Row],[Cost per mile Low3]]*Table2[[#This Row],[Miles Driver]]</f>
        <v>507.50000000000006</v>
      </c>
      <c r="AL3" s="22">
        <f>Table2[[#This Row],[Cost per mile Low4]]*Table2[[#This Row],[Miles Driver]]</f>
        <v>1087.5</v>
      </c>
      <c r="AM3" s="7">
        <v>14500</v>
      </c>
    </row>
    <row r="4" spans="1:39" ht="15.75" x14ac:dyDescent="0.25">
      <c r="A4" s="25">
        <v>2</v>
      </c>
      <c r="B4" s="25" t="s">
        <v>2</v>
      </c>
      <c r="C4" s="25" t="s">
        <v>3</v>
      </c>
      <c r="D4" s="1">
        <v>543319</v>
      </c>
      <c r="E4" s="5">
        <f>Table2[[#This Row],[Units Sold]]/Table2[[#Totals],[Units Sold]]</f>
        <v>7.9600939706557808E-2</v>
      </c>
      <c r="F4" s="7" t="s">
        <v>44</v>
      </c>
      <c r="G4" s="7" t="s">
        <v>51</v>
      </c>
      <c r="H4" s="7">
        <f>IF(OR(Table2[[#This Row],[Class]]="Truck", Table2[[#This Row],[Class]]="SUV"), 1, 0)</f>
        <v>1</v>
      </c>
      <c r="I4" s="7">
        <f>IF(Table2[[#This Row],[Class]]="Car", 1, 0)</f>
        <v>0</v>
      </c>
      <c r="J4" s="7">
        <f>IF(OR(Table2[[#This Row],[Class]]="Truck", Table2[[#This Row],[Class]]="SUV"), Table2[[#This Row],[Units Sold]], 0)</f>
        <v>543319</v>
      </c>
      <c r="K4" s="7">
        <f>IF(Table2[[#This Row],[Class]]="Car", Table2[[#This Row],[Units Sold]], 0)</f>
        <v>0</v>
      </c>
      <c r="L4" s="7">
        <f>IF(Table2[[#This Row],[ICE or EV]]="ICE", Table2[[#This Row],[Units Sold]], 0)</f>
        <v>543319</v>
      </c>
      <c r="M4" s="8">
        <f>Table2[[#This Row],[ ICE units sold]]/Table2[[#Totals],[ ICE units sold]]</f>
        <v>8.7534185552128385E-2</v>
      </c>
      <c r="N4" s="7">
        <f>IF(Table2[[#This Row],[ICE or EV]]="EV", Table2[[#This Row],[Units Sold]], 0)</f>
        <v>0</v>
      </c>
      <c r="O4" s="8">
        <f>Table2[[#This Row],[EV units sold]]/Table2[[#Totals],[EV units sold]]</f>
        <v>0</v>
      </c>
      <c r="P4" s="7">
        <v>400</v>
      </c>
      <c r="Q4" s="7">
        <v>600</v>
      </c>
      <c r="R4" s="12" t="s">
        <v>49</v>
      </c>
      <c r="S4" s="15">
        <v>25</v>
      </c>
      <c r="T4" s="16">
        <f>Table2[[#This Row],[$25 Co2 Tax per gram]]*Table2[[#This Row],[Low]]/$Y$1</f>
        <v>0.01</v>
      </c>
      <c r="U4" s="16">
        <f>Table2[[#This Row],[$25 Co2 Tax per gram]]*Table2[[#This Row],[High]]/$Y$1</f>
        <v>1.4999999999999999E-2</v>
      </c>
      <c r="V4" s="16">
        <f>Table2[[#This Row],[Low2]]*Table2[[#This Row],[Miles Driver]]</f>
        <v>145</v>
      </c>
      <c r="W4" s="16">
        <f>Table2[[#This Row],[High2]]*Table2[[#This Row],[Miles Driver]]</f>
        <v>217.5</v>
      </c>
      <c r="X4" s="17">
        <v>50</v>
      </c>
      <c r="Y4" s="18">
        <f>Table2[[#This Row],[$50 Co2 Tax per gram]]*Table2[[#This Row],[Low]]/$Y$1</f>
        <v>0.02</v>
      </c>
      <c r="Z4" s="18">
        <f>Table2[[#This Row],[$50 Co2 Tax per gram]]*Table2[[#This Row],[High]]/$Y$1</f>
        <v>0.03</v>
      </c>
      <c r="AA4" s="18">
        <f>Table2[[#This Row],[Cost per mile Low]]*Table2[[#This Row],[Miles Driver]]</f>
        <v>290</v>
      </c>
      <c r="AB4" s="18">
        <f>Table2[[#This Row],[Cost per mile High]]*Table2[[#This Row],[Miles Driver]]</f>
        <v>435</v>
      </c>
      <c r="AC4" s="19">
        <v>75</v>
      </c>
      <c r="AD4" s="20">
        <f>Table2[[#This Row],[$75 Co2 Tax per gram]]*Table2[[#This Row],[Low]]/$Y$1</f>
        <v>0.03</v>
      </c>
      <c r="AE4" s="20">
        <f>Table2[[#This Row],[$75 Co2 Tax per gram]]*Table2[[#This Row],[High]]/$Y$1</f>
        <v>4.4999999999999998E-2</v>
      </c>
      <c r="AF4" s="20">
        <f>Table2[[#This Row],[Cost per mile Low2]]*Table2[[#This Row],[Miles Driver]]</f>
        <v>435</v>
      </c>
      <c r="AG4" s="20">
        <f>Table2[[#This Row],[Cost per mile High4]]*Table2[[#This Row],[Miles Driver]]</f>
        <v>652.5</v>
      </c>
      <c r="AH4" s="21">
        <v>100</v>
      </c>
      <c r="AI4" s="22">
        <f>Table2[[#This Row],[$100 Co2 Tax per gram]]*Table2[[#This Row],[Low]]/$Y$1</f>
        <v>0.04</v>
      </c>
      <c r="AJ4" s="22">
        <f>Table2[[#This Row],[$100 Co2 Tax per gram]]*Table2[[#This Row],[High]]/$Y$1</f>
        <v>0.06</v>
      </c>
      <c r="AK4" s="22">
        <f>Table2[[#This Row],[Cost per mile Low3]]*Table2[[#This Row],[Miles Driver]]</f>
        <v>580</v>
      </c>
      <c r="AL4" s="22">
        <f>Table2[[#This Row],[Cost per mile Low4]]*Table2[[#This Row],[Miles Driver]]</f>
        <v>870</v>
      </c>
      <c r="AM4" s="7">
        <v>14500</v>
      </c>
    </row>
    <row r="5" spans="1:39" ht="15.75" x14ac:dyDescent="0.25">
      <c r="A5" s="25">
        <v>3</v>
      </c>
      <c r="B5" s="25" t="s">
        <v>4</v>
      </c>
      <c r="C5" s="25" t="s">
        <v>5</v>
      </c>
      <c r="D5" s="1">
        <v>444926</v>
      </c>
      <c r="E5" s="5">
        <f>Table2[[#This Row],[Units Sold]]/Table2[[#Totals],[Units Sold]]</f>
        <v>6.5185512930488229E-2</v>
      </c>
      <c r="F5" s="7" t="s">
        <v>44</v>
      </c>
      <c r="G5" s="7" t="s">
        <v>51</v>
      </c>
      <c r="H5" s="7">
        <f>IF(OR(Table2[[#This Row],[Class]]="Truck", Table2[[#This Row],[Class]]="SUV"), 1, 0)</f>
        <v>1</v>
      </c>
      <c r="I5" s="7">
        <f>IF(Table2[[#This Row],[Class]]="Car", 1, 0)</f>
        <v>0</v>
      </c>
      <c r="J5" s="7">
        <f>IF(OR(Table2[[#This Row],[Class]]="Truck", Table2[[#This Row],[Class]]="SUV"), Table2[[#This Row],[Units Sold]], 0)</f>
        <v>444926</v>
      </c>
      <c r="K5" s="7">
        <f>IF(Table2[[#This Row],[Class]]="Car", Table2[[#This Row],[Units Sold]], 0)</f>
        <v>0</v>
      </c>
      <c r="L5" s="7">
        <f>IF(Table2[[#This Row],[ICE or EV]]="ICE", Table2[[#This Row],[Units Sold]], 0)</f>
        <v>444926</v>
      </c>
      <c r="M5" s="8">
        <f>Table2[[#This Row],[ ICE units sold]]/Table2[[#Totals],[ ICE units sold]]</f>
        <v>7.16820781915712E-2</v>
      </c>
      <c r="N5" s="7">
        <f>IF(Table2[[#This Row],[ICE or EV]]="EV", Table2[[#This Row],[Units Sold]], 0)</f>
        <v>0</v>
      </c>
      <c r="O5" s="8">
        <f>Table2[[#This Row],[EV units sold]]/Table2[[#Totals],[EV units sold]]</f>
        <v>0</v>
      </c>
      <c r="P5" s="7">
        <v>400</v>
      </c>
      <c r="Q5" s="7">
        <v>750</v>
      </c>
      <c r="R5" s="12" t="s">
        <v>49</v>
      </c>
      <c r="S5" s="15">
        <v>25</v>
      </c>
      <c r="T5" s="16">
        <f>Table2[[#This Row],[$25 Co2 Tax per gram]]*Table2[[#This Row],[Low]]/$Y$1</f>
        <v>0.01</v>
      </c>
      <c r="U5" s="16">
        <f>Table2[[#This Row],[$25 Co2 Tax per gram]]*Table2[[#This Row],[High]]/$Y$1</f>
        <v>1.8749999999999999E-2</v>
      </c>
      <c r="V5" s="16">
        <f>Table2[[#This Row],[Low2]]*Table2[[#This Row],[Miles Driver]]</f>
        <v>145</v>
      </c>
      <c r="W5" s="16">
        <f>Table2[[#This Row],[High2]]*Table2[[#This Row],[Miles Driver]]</f>
        <v>271.875</v>
      </c>
      <c r="X5" s="17">
        <v>50</v>
      </c>
      <c r="Y5" s="18">
        <f>Table2[[#This Row],[$50 Co2 Tax per gram]]*Table2[[#This Row],[Low]]/$Y$1</f>
        <v>0.02</v>
      </c>
      <c r="Z5" s="18">
        <f>Table2[[#This Row],[$50 Co2 Tax per gram]]*Table2[[#This Row],[High]]/$Y$1</f>
        <v>3.7499999999999999E-2</v>
      </c>
      <c r="AA5" s="18">
        <f>Table2[[#This Row],[Cost per mile Low]]*Table2[[#This Row],[Miles Driver]]</f>
        <v>290</v>
      </c>
      <c r="AB5" s="18">
        <f>Table2[[#This Row],[Cost per mile High]]*Table2[[#This Row],[Miles Driver]]</f>
        <v>543.75</v>
      </c>
      <c r="AC5" s="19">
        <v>75</v>
      </c>
      <c r="AD5" s="20">
        <f>Table2[[#This Row],[$75 Co2 Tax per gram]]*Table2[[#This Row],[Low]]/$Y$1</f>
        <v>0.03</v>
      </c>
      <c r="AE5" s="20">
        <f>Table2[[#This Row],[$75 Co2 Tax per gram]]*Table2[[#This Row],[High]]/$Y$1</f>
        <v>5.6250000000000001E-2</v>
      </c>
      <c r="AF5" s="20">
        <f>Table2[[#This Row],[Cost per mile Low2]]*Table2[[#This Row],[Miles Driver]]</f>
        <v>435</v>
      </c>
      <c r="AG5" s="20">
        <f>Table2[[#This Row],[Cost per mile High4]]*Table2[[#This Row],[Miles Driver]]</f>
        <v>815.625</v>
      </c>
      <c r="AH5" s="21">
        <v>100</v>
      </c>
      <c r="AI5" s="22">
        <f>Table2[[#This Row],[$100 Co2 Tax per gram]]*Table2[[#This Row],[Low]]/$Y$1</f>
        <v>0.04</v>
      </c>
      <c r="AJ5" s="22">
        <f>Table2[[#This Row],[$100 Co2 Tax per gram]]*Table2[[#This Row],[High]]/$Y$1</f>
        <v>7.4999999999999997E-2</v>
      </c>
      <c r="AK5" s="22">
        <f>Table2[[#This Row],[Cost per mile Low3]]*Table2[[#This Row],[Miles Driver]]</f>
        <v>580</v>
      </c>
      <c r="AL5" s="22">
        <f>Table2[[#This Row],[Cost per mile Low4]]*Table2[[#This Row],[Miles Driver]]</f>
        <v>1087.5</v>
      </c>
      <c r="AM5" s="7">
        <v>14500</v>
      </c>
    </row>
    <row r="6" spans="1:39" ht="15.75" x14ac:dyDescent="0.25">
      <c r="A6" s="25">
        <v>4</v>
      </c>
      <c r="B6" s="25" t="s">
        <v>6</v>
      </c>
      <c r="C6" s="25" t="s">
        <v>7</v>
      </c>
      <c r="D6" s="1">
        <v>434943</v>
      </c>
      <c r="E6" s="5">
        <f>Table2[[#This Row],[Units Sold]]/Table2[[#Totals],[Units Sold]]</f>
        <v>6.3722916958157863E-2</v>
      </c>
      <c r="F6" s="7" t="s">
        <v>44</v>
      </c>
      <c r="G6" s="7" t="s">
        <v>52</v>
      </c>
      <c r="H6" s="7">
        <f>IF(OR(Table2[[#This Row],[Class]]="Truck", Table2[[#This Row],[Class]]="SUV"), 1, 0)</f>
        <v>1</v>
      </c>
      <c r="I6" s="7">
        <f>IF(Table2[[#This Row],[Class]]="Car", 1, 0)</f>
        <v>0</v>
      </c>
      <c r="J6" s="7">
        <f>IF(OR(Table2[[#This Row],[Class]]="Truck", Table2[[#This Row],[Class]]="SUV"), Table2[[#This Row],[Units Sold]], 0)</f>
        <v>434943</v>
      </c>
      <c r="K6" s="7">
        <f>IF(Table2[[#This Row],[Class]]="Car", Table2[[#This Row],[Units Sold]], 0)</f>
        <v>0</v>
      </c>
      <c r="L6" s="7">
        <f>IF(Table2[[#This Row],[ICE or EV]]="ICE", Table2[[#This Row],[Units Sold]], 0)</f>
        <v>434943</v>
      </c>
      <c r="M6" s="8">
        <f>Table2[[#This Row],[ ICE units sold]]/Table2[[#Totals],[ ICE units sold]]</f>
        <v>7.0073715932259639E-2</v>
      </c>
      <c r="N6" s="7">
        <f>IF(Table2[[#This Row],[ICE or EV]]="EV", Table2[[#This Row],[Units Sold]], 0)</f>
        <v>0</v>
      </c>
      <c r="O6" s="8">
        <f>Table2[[#This Row],[EV units sold]]/Table2[[#Totals],[EV units sold]]</f>
        <v>0</v>
      </c>
      <c r="P6" s="7">
        <v>300</v>
      </c>
      <c r="Q6" s="7">
        <v>300</v>
      </c>
      <c r="R6" s="12" t="s">
        <v>49</v>
      </c>
      <c r="S6" s="15">
        <v>25</v>
      </c>
      <c r="T6" s="16">
        <f>Table2[[#This Row],[$25 Co2 Tax per gram]]*Table2[[#This Row],[Low]]/$Y$1</f>
        <v>7.4999999999999997E-3</v>
      </c>
      <c r="U6" s="16">
        <f>Table2[[#This Row],[$25 Co2 Tax per gram]]*Table2[[#This Row],[High]]/$Y$1</f>
        <v>7.4999999999999997E-3</v>
      </c>
      <c r="V6" s="16">
        <f>Table2[[#This Row],[Low2]]*Table2[[#This Row],[Miles Driver]]</f>
        <v>108.75</v>
      </c>
      <c r="W6" s="16">
        <f>Table2[[#This Row],[High2]]*Table2[[#This Row],[Miles Driver]]</f>
        <v>108.75</v>
      </c>
      <c r="X6" s="17">
        <v>50</v>
      </c>
      <c r="Y6" s="18">
        <f>Table2[[#This Row],[$50 Co2 Tax per gram]]*Table2[[#This Row],[Low]]/$Y$1</f>
        <v>1.4999999999999999E-2</v>
      </c>
      <c r="Z6" s="18">
        <f>Table2[[#This Row],[$50 Co2 Tax per gram]]*Table2[[#This Row],[High]]/$Y$1</f>
        <v>1.4999999999999999E-2</v>
      </c>
      <c r="AA6" s="18">
        <f>Table2[[#This Row],[Cost per mile Low]]*Table2[[#This Row],[Miles Driver]]</f>
        <v>217.5</v>
      </c>
      <c r="AB6" s="18">
        <f>Table2[[#This Row],[Cost per mile High]]*Table2[[#This Row],[Miles Driver]]</f>
        <v>217.5</v>
      </c>
      <c r="AC6" s="19">
        <v>75</v>
      </c>
      <c r="AD6" s="20">
        <f>Table2[[#This Row],[$75 Co2 Tax per gram]]*Table2[[#This Row],[Low]]/$Y$1</f>
        <v>2.2499999999999999E-2</v>
      </c>
      <c r="AE6" s="20">
        <f>Table2[[#This Row],[$75 Co2 Tax per gram]]*Table2[[#This Row],[High]]/$Y$1</f>
        <v>2.2499999999999999E-2</v>
      </c>
      <c r="AF6" s="20">
        <f>Table2[[#This Row],[Cost per mile Low2]]*Table2[[#This Row],[Miles Driver]]</f>
        <v>326.25</v>
      </c>
      <c r="AG6" s="20">
        <f>Table2[[#This Row],[Cost per mile High4]]*Table2[[#This Row],[Miles Driver]]</f>
        <v>326.25</v>
      </c>
      <c r="AH6" s="21">
        <v>100</v>
      </c>
      <c r="AI6" s="22">
        <f>Table2[[#This Row],[$100 Co2 Tax per gram]]*Table2[[#This Row],[Low]]/$Y$1</f>
        <v>0.03</v>
      </c>
      <c r="AJ6" s="22">
        <f>Table2[[#This Row],[$100 Co2 Tax per gram]]*Table2[[#This Row],[High]]/$Y$1</f>
        <v>0.03</v>
      </c>
      <c r="AK6" s="22">
        <f>Table2[[#This Row],[Cost per mile Low3]]*Table2[[#This Row],[Miles Driver]]</f>
        <v>435</v>
      </c>
      <c r="AL6" s="22">
        <f>Table2[[#This Row],[Cost per mile Low4]]*Table2[[#This Row],[Miles Driver]]</f>
        <v>435</v>
      </c>
      <c r="AM6" s="7">
        <v>14500</v>
      </c>
    </row>
    <row r="7" spans="1:39" ht="15.75" x14ac:dyDescent="0.25">
      <c r="A7" s="25">
        <v>5</v>
      </c>
      <c r="B7" s="25" t="s">
        <v>8</v>
      </c>
      <c r="C7" s="25" t="s">
        <v>9</v>
      </c>
      <c r="D7" s="1">
        <v>385900</v>
      </c>
      <c r="E7" s="5">
        <f>Table2[[#This Row],[Units Sold]]/Table2[[#Totals],[Units Sold]]</f>
        <v>5.6537692649733684E-2</v>
      </c>
      <c r="F7" s="7" t="s">
        <v>45</v>
      </c>
      <c r="G7" s="7" t="s">
        <v>52</v>
      </c>
      <c r="H7" s="7">
        <f>IF(OR(Table2[[#This Row],[Class]]="Truck", Table2[[#This Row],[Class]]="SUV"), 1, 0)</f>
        <v>1</v>
      </c>
      <c r="I7" s="7">
        <f>IF(Table2[[#This Row],[Class]]="Car", 1, 0)</f>
        <v>0</v>
      </c>
      <c r="J7" s="7">
        <f>IF(OR(Table2[[#This Row],[Class]]="Truck", Table2[[#This Row],[Class]]="SUV"), Table2[[#This Row],[Units Sold]], 0)</f>
        <v>385900</v>
      </c>
      <c r="K7" s="7">
        <f>IF(Table2[[#This Row],[Class]]="Car", Table2[[#This Row],[Units Sold]], 0)</f>
        <v>0</v>
      </c>
      <c r="L7" s="7">
        <f>IF(Table2[[#This Row],[ICE or EV]]="ICE", Table2[[#This Row],[Units Sold]], 0)</f>
        <v>0</v>
      </c>
      <c r="M7" s="8">
        <f>Table2[[#This Row],[ ICE units sold]]/Table2[[#Totals],[ ICE units sold]]</f>
        <v>0</v>
      </c>
      <c r="N7" s="7">
        <f>IF(Table2[[#This Row],[ICE or EV]]="EV", Table2[[#This Row],[Units Sold]], 0)</f>
        <v>385900</v>
      </c>
      <c r="O7" s="8">
        <f>Table2[[#This Row],[EV units sold]]/Table2[[#Totals],[EV units sold]]</f>
        <v>0.6238279987067572</v>
      </c>
      <c r="P7" s="7">
        <v>0</v>
      </c>
      <c r="Q7" s="7">
        <v>0</v>
      </c>
      <c r="R7" s="12"/>
      <c r="S7" s="2" t="s">
        <v>70</v>
      </c>
      <c r="T7" s="2" t="s">
        <v>70</v>
      </c>
      <c r="U7" s="2" t="s">
        <v>70</v>
      </c>
      <c r="V7" s="2" t="s">
        <v>70</v>
      </c>
      <c r="W7" s="2" t="s">
        <v>70</v>
      </c>
      <c r="X7" s="2" t="s">
        <v>70</v>
      </c>
      <c r="Y7" s="2" t="s">
        <v>70</v>
      </c>
      <c r="Z7" s="2" t="s">
        <v>70</v>
      </c>
      <c r="AA7" s="2" t="s">
        <v>70</v>
      </c>
      <c r="AB7" s="2" t="s">
        <v>70</v>
      </c>
      <c r="AC7" s="2" t="s">
        <v>70</v>
      </c>
      <c r="AD7" s="2" t="s">
        <v>70</v>
      </c>
      <c r="AE7" s="2" t="s">
        <v>70</v>
      </c>
      <c r="AF7" s="2" t="s">
        <v>70</v>
      </c>
      <c r="AG7" s="2" t="s">
        <v>70</v>
      </c>
      <c r="AH7" s="2" t="s">
        <v>70</v>
      </c>
      <c r="AI7" s="2" t="s">
        <v>70</v>
      </c>
      <c r="AJ7" s="2" t="s">
        <v>70</v>
      </c>
      <c r="AK7" s="2" t="s">
        <v>70</v>
      </c>
      <c r="AL7" s="2" t="s">
        <v>70</v>
      </c>
      <c r="AM7" s="7">
        <v>14500</v>
      </c>
    </row>
    <row r="8" spans="1:39" ht="15.75" x14ac:dyDescent="0.25">
      <c r="A8" s="25">
        <v>6</v>
      </c>
      <c r="B8" s="25" t="s">
        <v>10</v>
      </c>
      <c r="C8" s="25" t="s">
        <v>11</v>
      </c>
      <c r="D8" s="1">
        <v>361457</v>
      </c>
      <c r="E8" s="5">
        <f>Table2[[#This Row],[Units Sold]]/Table2[[#Totals],[Units Sold]]</f>
        <v>5.295658142548533E-2</v>
      </c>
      <c r="F8" s="7" t="s">
        <v>44</v>
      </c>
      <c r="G8" s="7" t="s">
        <v>52</v>
      </c>
      <c r="H8" s="7">
        <f>IF(OR(Table2[[#This Row],[Class]]="Truck", Table2[[#This Row],[Class]]="SUV"), 1, 0)</f>
        <v>1</v>
      </c>
      <c r="I8" s="7">
        <f>IF(Table2[[#This Row],[Class]]="Car", 1, 0)</f>
        <v>0</v>
      </c>
      <c r="J8" s="7">
        <f>IF(OR(Table2[[#This Row],[Class]]="Truck", Table2[[#This Row],[Class]]="SUV"), Table2[[#This Row],[Units Sold]], 0)</f>
        <v>361457</v>
      </c>
      <c r="K8" s="7">
        <f>IF(Table2[[#This Row],[Class]]="Car", Table2[[#This Row],[Units Sold]], 0)</f>
        <v>0</v>
      </c>
      <c r="L8" s="7">
        <f>IF(Table2[[#This Row],[ICE or EV]]="ICE", Table2[[#This Row],[Units Sold]], 0)</f>
        <v>361457</v>
      </c>
      <c r="M8" s="8">
        <f>Table2[[#This Row],[ ICE units sold]]/Table2[[#Totals],[ ICE units sold]]</f>
        <v>5.8234378159268622E-2</v>
      </c>
      <c r="N8" s="7">
        <f>IF(Table2[[#This Row],[ICE or EV]]="EV", Table2[[#This Row],[Units Sold]], 0)</f>
        <v>0</v>
      </c>
      <c r="O8" s="8">
        <f>Table2[[#This Row],[EV units sold]]/Table2[[#Totals],[EV units sold]]</f>
        <v>0</v>
      </c>
      <c r="P8" s="7">
        <v>290</v>
      </c>
      <c r="Q8" s="7">
        <v>305</v>
      </c>
      <c r="R8" s="12" t="s">
        <v>49</v>
      </c>
      <c r="S8" s="15">
        <v>25</v>
      </c>
      <c r="T8" s="16">
        <f>Table2[[#This Row],[$25 Co2 Tax per gram]]*Table2[[#This Row],[Low]]/$Y$1</f>
        <v>7.2500000000000004E-3</v>
      </c>
      <c r="U8" s="16">
        <f>Table2[[#This Row],[$25 Co2 Tax per gram]]*Table2[[#This Row],[High]]/$Y$1</f>
        <v>7.6249999999999998E-3</v>
      </c>
      <c r="V8" s="16">
        <f>Table2[[#This Row],[Low2]]*Table2[[#This Row],[Miles Driver]]</f>
        <v>105.125</v>
      </c>
      <c r="W8" s="16">
        <f>Table2[[#This Row],[High2]]*Table2[[#This Row],[Miles Driver]]</f>
        <v>110.5625</v>
      </c>
      <c r="X8" s="17">
        <v>50</v>
      </c>
      <c r="Y8" s="18">
        <f>Table2[[#This Row],[$50 Co2 Tax per gram]]*Table2[[#This Row],[Low]]/$Y$1</f>
        <v>1.4500000000000001E-2</v>
      </c>
      <c r="Z8" s="18">
        <f>Table2[[#This Row],[$50 Co2 Tax per gram]]*Table2[[#This Row],[High]]/$Y$1</f>
        <v>1.525E-2</v>
      </c>
      <c r="AA8" s="18">
        <f>Table2[[#This Row],[Cost per mile Low]]*Table2[[#This Row],[Miles Driver]]</f>
        <v>210.25</v>
      </c>
      <c r="AB8" s="18">
        <f>Table2[[#This Row],[Cost per mile High]]*Table2[[#This Row],[Miles Driver]]</f>
        <v>221.125</v>
      </c>
      <c r="AC8" s="19">
        <v>75</v>
      </c>
      <c r="AD8" s="20">
        <f>Table2[[#This Row],[$75 Co2 Tax per gram]]*Table2[[#This Row],[Low]]/$Y$1</f>
        <v>2.1749999999999999E-2</v>
      </c>
      <c r="AE8" s="20">
        <f>Table2[[#This Row],[$75 Co2 Tax per gram]]*Table2[[#This Row],[High]]/$Y$1</f>
        <v>2.2875E-2</v>
      </c>
      <c r="AF8" s="20">
        <f>Table2[[#This Row],[Cost per mile Low2]]*Table2[[#This Row],[Miles Driver]]</f>
        <v>315.375</v>
      </c>
      <c r="AG8" s="20">
        <f>Table2[[#This Row],[Cost per mile High4]]*Table2[[#This Row],[Miles Driver]]</f>
        <v>331.6875</v>
      </c>
      <c r="AH8" s="21">
        <v>100</v>
      </c>
      <c r="AI8" s="22">
        <f>Table2[[#This Row],[$100 Co2 Tax per gram]]*Table2[[#This Row],[Low]]/$Y$1</f>
        <v>2.9000000000000001E-2</v>
      </c>
      <c r="AJ8" s="22">
        <f>Table2[[#This Row],[$100 Co2 Tax per gram]]*Table2[[#This Row],[High]]/$Y$1</f>
        <v>3.0499999999999999E-2</v>
      </c>
      <c r="AK8" s="22">
        <f>Table2[[#This Row],[Cost per mile Low3]]*Table2[[#This Row],[Miles Driver]]</f>
        <v>420.5</v>
      </c>
      <c r="AL8" s="22">
        <f>Table2[[#This Row],[Cost per mile Low4]]*Table2[[#This Row],[Miles Driver]]</f>
        <v>442.25</v>
      </c>
      <c r="AM8" s="7">
        <v>14500</v>
      </c>
    </row>
    <row r="9" spans="1:39" ht="15.75" x14ac:dyDescent="0.25">
      <c r="A9" s="25">
        <v>7</v>
      </c>
      <c r="B9" s="25" t="s">
        <v>12</v>
      </c>
      <c r="C9" s="25" t="s">
        <v>13</v>
      </c>
      <c r="D9" s="1">
        <v>295737</v>
      </c>
      <c r="E9" s="5">
        <f>Table2[[#This Row],[Units Sold]]/Table2[[#Totals],[Units Sold]]</f>
        <v>4.3328032161581473E-2</v>
      </c>
      <c r="F9" s="7" t="s">
        <v>44</v>
      </c>
      <c r="G9" s="7" t="s">
        <v>51</v>
      </c>
      <c r="H9" s="7">
        <f>IF(OR(Table2[[#This Row],[Class]]="Truck", Table2[[#This Row],[Class]]="SUV"), 1, 0)</f>
        <v>1</v>
      </c>
      <c r="I9" s="7">
        <f>IF(Table2[[#This Row],[Class]]="Car", 1, 0)</f>
        <v>0</v>
      </c>
      <c r="J9" s="7">
        <f>IF(OR(Table2[[#This Row],[Class]]="Truck", Table2[[#This Row],[Class]]="SUV"), Table2[[#This Row],[Units Sold]], 0)</f>
        <v>295737</v>
      </c>
      <c r="K9" s="7">
        <f>IF(Table2[[#This Row],[Class]]="Car", Table2[[#This Row],[Units Sold]], 0)</f>
        <v>0</v>
      </c>
      <c r="L9" s="7">
        <f>IF(Table2[[#This Row],[ICE or EV]]="ICE", Table2[[#This Row],[Units Sold]], 0)</f>
        <v>295737</v>
      </c>
      <c r="M9" s="8">
        <f>Table2[[#This Row],[ ICE units sold]]/Table2[[#Totals],[ ICE units sold]]</f>
        <v>4.7646221524794447E-2</v>
      </c>
      <c r="N9" s="7">
        <f>IF(Table2[[#This Row],[ICE or EV]]="EV", Table2[[#This Row],[Units Sold]], 0)</f>
        <v>0</v>
      </c>
      <c r="O9" s="8">
        <f>Table2[[#This Row],[EV units sold]]/Table2[[#Totals],[EV units sold]]</f>
        <v>0</v>
      </c>
      <c r="P9" s="7">
        <v>395</v>
      </c>
      <c r="Q9" s="7">
        <v>585</v>
      </c>
      <c r="R9" s="12" t="s">
        <v>49</v>
      </c>
      <c r="S9" s="15">
        <v>25</v>
      </c>
      <c r="T9" s="16">
        <f>Table2[[#This Row],[$25 Co2 Tax per gram]]*Table2[[#This Row],[Low]]/$Y$1</f>
        <v>9.8750000000000001E-3</v>
      </c>
      <c r="U9" s="16">
        <f>Table2[[#This Row],[$25 Co2 Tax per gram]]*Table2[[#This Row],[High]]/$Y$1</f>
        <v>1.4625000000000001E-2</v>
      </c>
      <c r="V9" s="16">
        <f>Table2[[#This Row],[Low2]]*Table2[[#This Row],[Miles Driver]]</f>
        <v>143.1875</v>
      </c>
      <c r="W9" s="16">
        <f>Table2[[#This Row],[High2]]*Table2[[#This Row],[Miles Driver]]</f>
        <v>212.0625</v>
      </c>
      <c r="X9" s="17">
        <v>50</v>
      </c>
      <c r="Y9" s="18">
        <f>Table2[[#This Row],[$50 Co2 Tax per gram]]*Table2[[#This Row],[Low]]/$Y$1</f>
        <v>1.975E-2</v>
      </c>
      <c r="Z9" s="18">
        <f>Table2[[#This Row],[$50 Co2 Tax per gram]]*Table2[[#This Row],[High]]/$Y$1</f>
        <v>2.9250000000000002E-2</v>
      </c>
      <c r="AA9" s="18">
        <f>Table2[[#This Row],[Cost per mile Low]]*Table2[[#This Row],[Miles Driver]]</f>
        <v>286.375</v>
      </c>
      <c r="AB9" s="18">
        <f>Table2[[#This Row],[Cost per mile High]]*Table2[[#This Row],[Miles Driver]]</f>
        <v>424.125</v>
      </c>
      <c r="AC9" s="19">
        <v>75</v>
      </c>
      <c r="AD9" s="20">
        <f>Table2[[#This Row],[$75 Co2 Tax per gram]]*Table2[[#This Row],[Low]]/$Y$1</f>
        <v>2.9624999999999999E-2</v>
      </c>
      <c r="AE9" s="20">
        <f>Table2[[#This Row],[$75 Co2 Tax per gram]]*Table2[[#This Row],[High]]/$Y$1</f>
        <v>4.3874999999999997E-2</v>
      </c>
      <c r="AF9" s="20">
        <f>Table2[[#This Row],[Cost per mile Low2]]*Table2[[#This Row],[Miles Driver]]</f>
        <v>429.5625</v>
      </c>
      <c r="AG9" s="20">
        <f>Table2[[#This Row],[Cost per mile High4]]*Table2[[#This Row],[Miles Driver]]</f>
        <v>636.1875</v>
      </c>
      <c r="AH9" s="21">
        <v>100</v>
      </c>
      <c r="AI9" s="22">
        <f>Table2[[#This Row],[$100 Co2 Tax per gram]]*Table2[[#This Row],[Low]]/$Y$1</f>
        <v>3.95E-2</v>
      </c>
      <c r="AJ9" s="22">
        <f>Table2[[#This Row],[$100 Co2 Tax per gram]]*Table2[[#This Row],[High]]/$Y$1</f>
        <v>5.8500000000000003E-2</v>
      </c>
      <c r="AK9" s="22">
        <f>Table2[[#This Row],[Cost per mile Low3]]*Table2[[#This Row],[Miles Driver]]</f>
        <v>572.75</v>
      </c>
      <c r="AL9" s="22">
        <f>Table2[[#This Row],[Cost per mile Low4]]*Table2[[#This Row],[Miles Driver]]</f>
        <v>848.25</v>
      </c>
      <c r="AM9" s="7">
        <v>14500</v>
      </c>
    </row>
    <row r="10" spans="1:39" ht="15.75" x14ac:dyDescent="0.25">
      <c r="A10" s="25">
        <v>8</v>
      </c>
      <c r="B10" s="25" t="s">
        <v>6</v>
      </c>
      <c r="C10" s="25" t="s">
        <v>14</v>
      </c>
      <c r="D10" s="1">
        <v>290649</v>
      </c>
      <c r="E10" s="5">
        <f>Table2[[#This Row],[Units Sold]]/Table2[[#Totals],[Units Sold]]</f>
        <v>4.2582596089537302E-2</v>
      </c>
      <c r="F10" s="7" t="s">
        <v>44</v>
      </c>
      <c r="G10" s="7" t="s">
        <v>53</v>
      </c>
      <c r="H10" s="7">
        <f>IF(OR(Table2[[#This Row],[Class]]="Truck", Table2[[#This Row],[Class]]="SUV"), 1, 0)</f>
        <v>0</v>
      </c>
      <c r="I10" s="7">
        <f>IF(Table2[[#This Row],[Class]]="Car", 1, 0)</f>
        <v>1</v>
      </c>
      <c r="J10" s="7">
        <f>IF(OR(Table2[[#This Row],[Class]]="Truck", Table2[[#This Row],[Class]]="SUV"), Table2[[#This Row],[Units Sold]], 0)</f>
        <v>0</v>
      </c>
      <c r="K10" s="7">
        <f>IF(Table2[[#This Row],[Class]]="Car", Table2[[#This Row],[Units Sold]], 0)</f>
        <v>290649</v>
      </c>
      <c r="L10" s="7">
        <f>IF(Table2[[#This Row],[ICE or EV]]="ICE", Table2[[#This Row],[Units Sold]], 0)</f>
        <v>290649</v>
      </c>
      <c r="M10" s="8">
        <f>Table2[[#This Row],[ ICE units sold]]/Table2[[#Totals],[ ICE units sold]]</f>
        <v>4.6826493269222252E-2</v>
      </c>
      <c r="N10" s="7">
        <f>IF(Table2[[#This Row],[ICE or EV]]="EV", Table2[[#This Row],[Units Sold]], 0)</f>
        <v>0</v>
      </c>
      <c r="O10" s="8">
        <f>Table2[[#This Row],[EV units sold]]/Table2[[#Totals],[EV units sold]]</f>
        <v>0</v>
      </c>
      <c r="P10" s="7">
        <v>280</v>
      </c>
      <c r="Q10" s="7">
        <v>340</v>
      </c>
      <c r="R10" s="12" t="s">
        <v>49</v>
      </c>
      <c r="S10" s="15">
        <v>25</v>
      </c>
      <c r="T10" s="16">
        <f>Table2[[#This Row],[$25 Co2 Tax per gram]]*Table2[[#This Row],[Low]]/$Y$1</f>
        <v>7.0000000000000001E-3</v>
      </c>
      <c r="U10" s="16">
        <f>Table2[[#This Row],[$25 Co2 Tax per gram]]*Table2[[#This Row],[High]]/$Y$1</f>
        <v>8.5000000000000006E-3</v>
      </c>
      <c r="V10" s="16">
        <f>Table2[[#This Row],[Low2]]*Table2[[#This Row],[Miles Driver]]</f>
        <v>101.5</v>
      </c>
      <c r="W10" s="16">
        <f>Table2[[#This Row],[High2]]*Table2[[#This Row],[Miles Driver]]</f>
        <v>123.25000000000001</v>
      </c>
      <c r="X10" s="17">
        <v>50</v>
      </c>
      <c r="Y10" s="18">
        <f>Table2[[#This Row],[$50 Co2 Tax per gram]]*Table2[[#This Row],[Low]]/$Y$1</f>
        <v>1.4E-2</v>
      </c>
      <c r="Z10" s="18">
        <f>Table2[[#This Row],[$50 Co2 Tax per gram]]*Table2[[#This Row],[High]]/$Y$1</f>
        <v>1.7000000000000001E-2</v>
      </c>
      <c r="AA10" s="18">
        <f>Table2[[#This Row],[Cost per mile Low]]*Table2[[#This Row],[Miles Driver]]</f>
        <v>203</v>
      </c>
      <c r="AB10" s="18">
        <f>Table2[[#This Row],[Cost per mile High]]*Table2[[#This Row],[Miles Driver]]</f>
        <v>246.50000000000003</v>
      </c>
      <c r="AC10" s="19">
        <v>75</v>
      </c>
      <c r="AD10" s="20">
        <f>Table2[[#This Row],[$75 Co2 Tax per gram]]*Table2[[#This Row],[Low]]/$Y$1</f>
        <v>2.1000000000000001E-2</v>
      </c>
      <c r="AE10" s="20">
        <f>Table2[[#This Row],[$75 Co2 Tax per gram]]*Table2[[#This Row],[High]]/$Y$1</f>
        <v>2.5499999999999998E-2</v>
      </c>
      <c r="AF10" s="20">
        <f>Table2[[#This Row],[Cost per mile Low2]]*Table2[[#This Row],[Miles Driver]]</f>
        <v>304.5</v>
      </c>
      <c r="AG10" s="20">
        <f>Table2[[#This Row],[Cost per mile High4]]*Table2[[#This Row],[Miles Driver]]</f>
        <v>369.75</v>
      </c>
      <c r="AH10" s="21">
        <v>100</v>
      </c>
      <c r="AI10" s="22">
        <f>Table2[[#This Row],[$100 Co2 Tax per gram]]*Table2[[#This Row],[Low]]/$Y$1</f>
        <v>2.8000000000000001E-2</v>
      </c>
      <c r="AJ10" s="22">
        <f>Table2[[#This Row],[$100 Co2 Tax per gram]]*Table2[[#This Row],[High]]/$Y$1</f>
        <v>3.4000000000000002E-2</v>
      </c>
      <c r="AK10" s="22">
        <f>Table2[[#This Row],[Cost per mile Low3]]*Table2[[#This Row],[Miles Driver]]</f>
        <v>406</v>
      </c>
      <c r="AL10" s="22">
        <f>Table2[[#This Row],[Cost per mile Low4]]*Table2[[#This Row],[Miles Driver]]</f>
        <v>493.00000000000006</v>
      </c>
      <c r="AM10" s="7">
        <v>14500</v>
      </c>
    </row>
    <row r="11" spans="1:39" ht="15.75" x14ac:dyDescent="0.25">
      <c r="A11" s="25">
        <v>9</v>
      </c>
      <c r="B11" s="25" t="s">
        <v>15</v>
      </c>
      <c r="C11" s="25" t="s">
        <v>16</v>
      </c>
      <c r="D11" s="1">
        <v>271458</v>
      </c>
      <c r="E11" s="5">
        <f>Table2[[#This Row],[Units Sold]]/Table2[[#Totals],[Units Sold]]</f>
        <v>3.9770948357894291E-2</v>
      </c>
      <c r="F11" s="7" t="s">
        <v>44</v>
      </c>
      <c r="G11" s="7" t="s">
        <v>52</v>
      </c>
      <c r="H11" s="7">
        <f>IF(OR(Table2[[#This Row],[Class]]="Truck", Table2[[#This Row],[Class]]="SUV"), 1, 0)</f>
        <v>1</v>
      </c>
      <c r="I11" s="7">
        <f>IF(Table2[[#This Row],[Class]]="Car", 1, 0)</f>
        <v>0</v>
      </c>
      <c r="J11" s="7">
        <f>IF(OR(Table2[[#This Row],[Class]]="Truck", Table2[[#This Row],[Class]]="SUV"), Table2[[#This Row],[Units Sold]], 0)</f>
        <v>271458</v>
      </c>
      <c r="K11" s="7">
        <f>IF(Table2[[#This Row],[Class]]="Car", Table2[[#This Row],[Units Sold]], 0)</f>
        <v>0</v>
      </c>
      <c r="L11" s="7">
        <f>IF(Table2[[#This Row],[ICE or EV]]="ICE", Table2[[#This Row],[Units Sold]], 0)</f>
        <v>271458</v>
      </c>
      <c r="M11" s="8">
        <f>Table2[[#This Row],[ ICE units sold]]/Table2[[#Totals],[ ICE units sold]]</f>
        <v>4.3734629088269812E-2</v>
      </c>
      <c r="N11" s="7">
        <f>IF(Table2[[#This Row],[ICE or EV]]="EV", Table2[[#This Row],[Units Sold]], 0)</f>
        <v>0</v>
      </c>
      <c r="O11" s="8">
        <f>Table2[[#This Row],[EV units sold]]/Table2[[#Totals],[EV units sold]]</f>
        <v>0</v>
      </c>
      <c r="P11" s="7">
        <v>285</v>
      </c>
      <c r="Q11" s="7">
        <v>285</v>
      </c>
      <c r="R11" s="12" t="s">
        <v>49</v>
      </c>
      <c r="S11" s="15">
        <v>25</v>
      </c>
      <c r="T11" s="16">
        <f>Table2[[#This Row],[$25 Co2 Tax per gram]]*Table2[[#This Row],[Low]]/$Y$1</f>
        <v>7.1250000000000003E-3</v>
      </c>
      <c r="U11" s="16">
        <f>Table2[[#This Row],[$25 Co2 Tax per gram]]*Table2[[#This Row],[High]]/$Y$1</f>
        <v>7.1250000000000003E-3</v>
      </c>
      <c r="V11" s="16">
        <f>Table2[[#This Row],[Low2]]*Table2[[#This Row],[Miles Driver]]</f>
        <v>103.3125</v>
      </c>
      <c r="W11" s="16">
        <f>Table2[[#This Row],[High2]]*Table2[[#This Row],[Miles Driver]]</f>
        <v>103.3125</v>
      </c>
      <c r="X11" s="17">
        <v>50</v>
      </c>
      <c r="Y11" s="18">
        <f>Table2[[#This Row],[$50 Co2 Tax per gram]]*Table2[[#This Row],[Low]]/$Y$1</f>
        <v>1.4250000000000001E-2</v>
      </c>
      <c r="Z11" s="18">
        <f>Table2[[#This Row],[$50 Co2 Tax per gram]]*Table2[[#This Row],[High]]/$Y$1</f>
        <v>1.4250000000000001E-2</v>
      </c>
      <c r="AA11" s="18">
        <f>Table2[[#This Row],[Cost per mile Low]]*Table2[[#This Row],[Miles Driver]]</f>
        <v>206.625</v>
      </c>
      <c r="AB11" s="18">
        <f>Table2[[#This Row],[Cost per mile High]]*Table2[[#This Row],[Miles Driver]]</f>
        <v>206.625</v>
      </c>
      <c r="AC11" s="19">
        <v>75</v>
      </c>
      <c r="AD11" s="20">
        <f>Table2[[#This Row],[$75 Co2 Tax per gram]]*Table2[[#This Row],[Low]]/$Y$1</f>
        <v>2.1375000000000002E-2</v>
      </c>
      <c r="AE11" s="20">
        <f>Table2[[#This Row],[$75 Co2 Tax per gram]]*Table2[[#This Row],[High]]/$Y$1</f>
        <v>2.1375000000000002E-2</v>
      </c>
      <c r="AF11" s="20">
        <f>Table2[[#This Row],[Cost per mile Low2]]*Table2[[#This Row],[Miles Driver]]</f>
        <v>309.9375</v>
      </c>
      <c r="AG11" s="20">
        <f>Table2[[#This Row],[Cost per mile High4]]*Table2[[#This Row],[Miles Driver]]</f>
        <v>309.9375</v>
      </c>
      <c r="AH11" s="21">
        <v>100</v>
      </c>
      <c r="AI11" s="22">
        <f>Table2[[#This Row],[$100 Co2 Tax per gram]]*Table2[[#This Row],[Low]]/$Y$1</f>
        <v>2.8500000000000001E-2</v>
      </c>
      <c r="AJ11" s="22">
        <f>Table2[[#This Row],[$100 Co2 Tax per gram]]*Table2[[#This Row],[High]]/$Y$1</f>
        <v>2.8500000000000001E-2</v>
      </c>
      <c r="AK11" s="22">
        <f>Table2[[#This Row],[Cost per mile Low3]]*Table2[[#This Row],[Miles Driver]]</f>
        <v>413.25</v>
      </c>
      <c r="AL11" s="22">
        <f>Table2[[#This Row],[Cost per mile Low4]]*Table2[[#This Row],[Miles Driver]]</f>
        <v>413.25</v>
      </c>
      <c r="AM11" s="7">
        <v>14500</v>
      </c>
    </row>
    <row r="12" spans="1:39" ht="15.75" x14ac:dyDescent="0.25">
      <c r="A12" s="25">
        <v>10</v>
      </c>
      <c r="B12" s="25" t="s">
        <v>17</v>
      </c>
      <c r="C12" s="25" t="s">
        <v>18</v>
      </c>
      <c r="D12" s="1">
        <v>244594</v>
      </c>
      <c r="E12" s="5">
        <f>Table2[[#This Row],[Units Sold]]/Table2[[#Totals],[Units Sold]]</f>
        <v>3.5835139663044725E-2</v>
      </c>
      <c r="F12" s="7" t="s">
        <v>44</v>
      </c>
      <c r="G12" s="7" t="s">
        <v>52</v>
      </c>
      <c r="H12" s="7">
        <f>IF(OR(Table2[[#This Row],[Class]]="Truck", Table2[[#This Row],[Class]]="SUV"), 1, 0)</f>
        <v>1</v>
      </c>
      <c r="I12" s="7">
        <f>IF(Table2[[#This Row],[Class]]="Car", 1, 0)</f>
        <v>0</v>
      </c>
      <c r="J12" s="7">
        <f>IF(OR(Table2[[#This Row],[Class]]="Truck", Table2[[#This Row],[Class]]="SUV"), Table2[[#This Row],[Units Sold]], 0)</f>
        <v>244594</v>
      </c>
      <c r="K12" s="7">
        <f>IF(Table2[[#This Row],[Class]]="Car", Table2[[#This Row],[Units Sold]], 0)</f>
        <v>0</v>
      </c>
      <c r="L12" s="7">
        <f>IF(Table2[[#This Row],[ICE or EV]]="ICE", Table2[[#This Row],[Units Sold]], 0)</f>
        <v>244594</v>
      </c>
      <c r="M12" s="8">
        <f>Table2[[#This Row],[ ICE units sold]]/Table2[[#Totals],[ ICE units sold]]</f>
        <v>3.9406567009321027E-2</v>
      </c>
      <c r="N12" s="7">
        <f>IF(Table2[[#This Row],[ICE or EV]]="EV", Table2[[#This Row],[Units Sold]], 0)</f>
        <v>0</v>
      </c>
      <c r="O12" s="8">
        <f>Table2[[#This Row],[EV units sold]]/Table2[[#Totals],[EV units sold]]</f>
        <v>0</v>
      </c>
      <c r="P12" s="7">
        <v>400</v>
      </c>
      <c r="Q12" s="7">
        <v>535</v>
      </c>
      <c r="R12" s="12" t="s">
        <v>49</v>
      </c>
      <c r="S12" s="15">
        <v>25</v>
      </c>
      <c r="T12" s="16">
        <f>Table2[[#This Row],[$25 Co2 Tax per gram]]*Table2[[#This Row],[Low]]/$Y$1</f>
        <v>0.01</v>
      </c>
      <c r="U12" s="16">
        <f>Table2[[#This Row],[$25 Co2 Tax per gram]]*Table2[[#This Row],[High]]/$Y$1</f>
        <v>1.3375E-2</v>
      </c>
      <c r="V12" s="16">
        <f>Table2[[#This Row],[Low2]]*Table2[[#This Row],[Miles Driver]]</f>
        <v>145</v>
      </c>
      <c r="W12" s="16">
        <f>Table2[[#This Row],[High2]]*Table2[[#This Row],[Miles Driver]]</f>
        <v>193.9375</v>
      </c>
      <c r="X12" s="17">
        <v>50</v>
      </c>
      <c r="Y12" s="18">
        <f>Table2[[#This Row],[$50 Co2 Tax per gram]]*Table2[[#This Row],[Low]]/$Y$1</f>
        <v>0.02</v>
      </c>
      <c r="Z12" s="18">
        <f>Table2[[#This Row],[$50 Co2 Tax per gram]]*Table2[[#This Row],[High]]/$Y$1</f>
        <v>2.6749999999999999E-2</v>
      </c>
      <c r="AA12" s="18">
        <f>Table2[[#This Row],[Cost per mile Low]]*Table2[[#This Row],[Miles Driver]]</f>
        <v>290</v>
      </c>
      <c r="AB12" s="18">
        <f>Table2[[#This Row],[Cost per mile High]]*Table2[[#This Row],[Miles Driver]]</f>
        <v>387.875</v>
      </c>
      <c r="AC12" s="19">
        <v>75</v>
      </c>
      <c r="AD12" s="20">
        <f>Table2[[#This Row],[$75 Co2 Tax per gram]]*Table2[[#This Row],[Low]]/$Y$1</f>
        <v>0.03</v>
      </c>
      <c r="AE12" s="20">
        <f>Table2[[#This Row],[$75 Co2 Tax per gram]]*Table2[[#This Row],[High]]/$Y$1</f>
        <v>4.0125000000000001E-2</v>
      </c>
      <c r="AF12" s="20">
        <f>Table2[[#This Row],[Cost per mile Low2]]*Table2[[#This Row],[Miles Driver]]</f>
        <v>435</v>
      </c>
      <c r="AG12" s="20">
        <f>Table2[[#This Row],[Cost per mile High4]]*Table2[[#This Row],[Miles Driver]]</f>
        <v>581.8125</v>
      </c>
      <c r="AH12" s="21">
        <v>100</v>
      </c>
      <c r="AI12" s="22">
        <f>Table2[[#This Row],[$100 Co2 Tax per gram]]*Table2[[#This Row],[Low]]/$Y$1</f>
        <v>0.04</v>
      </c>
      <c r="AJ12" s="22">
        <f>Table2[[#This Row],[$100 Co2 Tax per gram]]*Table2[[#This Row],[High]]/$Y$1</f>
        <v>5.3499999999999999E-2</v>
      </c>
      <c r="AK12" s="22">
        <f>Table2[[#This Row],[Cost per mile Low3]]*Table2[[#This Row],[Miles Driver]]</f>
        <v>580</v>
      </c>
      <c r="AL12" s="22">
        <f>Table2[[#This Row],[Cost per mile Low4]]*Table2[[#This Row],[Miles Driver]]</f>
        <v>775.75</v>
      </c>
      <c r="AM12" s="7">
        <v>14500</v>
      </c>
    </row>
    <row r="13" spans="1:39" ht="15.75" x14ac:dyDescent="0.25">
      <c r="A13" s="25">
        <v>11</v>
      </c>
      <c r="B13" s="25" t="s">
        <v>6</v>
      </c>
      <c r="C13" s="25" t="s">
        <v>19</v>
      </c>
      <c r="D13" s="1">
        <v>234768</v>
      </c>
      <c r="E13" s="5">
        <f>Table2[[#This Row],[Units Sold]]/Table2[[#Totals],[Units Sold]]</f>
        <v>3.4395545550641816E-2</v>
      </c>
      <c r="F13" s="7" t="s">
        <v>44</v>
      </c>
      <c r="G13" s="7" t="s">
        <v>51</v>
      </c>
      <c r="H13" s="7">
        <f>IF(OR(Table2[[#This Row],[Class]]="Truck", Table2[[#This Row],[Class]]="SUV"), 1, 0)</f>
        <v>1</v>
      </c>
      <c r="I13" s="7">
        <f>IF(Table2[[#This Row],[Class]]="Car", 1, 0)</f>
        <v>0</v>
      </c>
      <c r="J13" s="7">
        <f>IF(OR(Table2[[#This Row],[Class]]="Truck", Table2[[#This Row],[Class]]="SUV"), Table2[[#This Row],[Units Sold]], 0)</f>
        <v>234768</v>
      </c>
      <c r="K13" s="7">
        <f>IF(Table2[[#This Row],[Class]]="Car", Table2[[#This Row],[Units Sold]], 0)</f>
        <v>0</v>
      </c>
      <c r="L13" s="7">
        <f>IF(Table2[[#This Row],[ICE or EV]]="ICE", Table2[[#This Row],[Units Sold]], 0)</f>
        <v>234768</v>
      </c>
      <c r="M13" s="8">
        <f>Table2[[#This Row],[ ICE units sold]]/Table2[[#Totals],[ ICE units sold]]</f>
        <v>3.7823499037769846E-2</v>
      </c>
      <c r="N13" s="7">
        <f>IF(Table2[[#This Row],[ICE or EV]]="EV", Table2[[#This Row],[Units Sold]], 0)</f>
        <v>0</v>
      </c>
      <c r="O13" s="8">
        <f>Table2[[#This Row],[EV units sold]]/Table2[[#Totals],[EV units sold]]</f>
        <v>0</v>
      </c>
      <c r="P13" s="7">
        <v>400</v>
      </c>
      <c r="Q13" s="7">
        <v>490</v>
      </c>
      <c r="R13" s="12" t="s">
        <v>49</v>
      </c>
      <c r="S13" s="15">
        <v>25</v>
      </c>
      <c r="T13" s="16">
        <f>Table2[[#This Row],[$25 Co2 Tax per gram]]*Table2[[#This Row],[Low]]/$Y$1</f>
        <v>0.01</v>
      </c>
      <c r="U13" s="16">
        <f>Table2[[#This Row],[$25 Co2 Tax per gram]]*Table2[[#This Row],[High]]/$Y$1</f>
        <v>1.225E-2</v>
      </c>
      <c r="V13" s="16">
        <f>Table2[[#This Row],[Low2]]*Table2[[#This Row],[Miles Driver]]</f>
        <v>145</v>
      </c>
      <c r="W13" s="16">
        <f>Table2[[#This Row],[High2]]*Table2[[#This Row],[Miles Driver]]</f>
        <v>177.625</v>
      </c>
      <c r="X13" s="17">
        <v>50</v>
      </c>
      <c r="Y13" s="18">
        <f>Table2[[#This Row],[$50 Co2 Tax per gram]]*Table2[[#This Row],[Low]]/$Y$1</f>
        <v>0.02</v>
      </c>
      <c r="Z13" s="18">
        <f>Table2[[#This Row],[$50 Co2 Tax per gram]]*Table2[[#This Row],[High]]/$Y$1</f>
        <v>2.4500000000000001E-2</v>
      </c>
      <c r="AA13" s="18">
        <f>Table2[[#This Row],[Cost per mile Low]]*Table2[[#This Row],[Miles Driver]]</f>
        <v>290</v>
      </c>
      <c r="AB13" s="18">
        <f>Table2[[#This Row],[Cost per mile High]]*Table2[[#This Row],[Miles Driver]]</f>
        <v>355.25</v>
      </c>
      <c r="AC13" s="19">
        <v>75</v>
      </c>
      <c r="AD13" s="20">
        <f>Table2[[#This Row],[$75 Co2 Tax per gram]]*Table2[[#This Row],[Low]]/$Y$1</f>
        <v>0.03</v>
      </c>
      <c r="AE13" s="20">
        <f>Table2[[#This Row],[$75 Co2 Tax per gram]]*Table2[[#This Row],[High]]/$Y$1</f>
        <v>3.6749999999999998E-2</v>
      </c>
      <c r="AF13" s="20">
        <f>Table2[[#This Row],[Cost per mile Low2]]*Table2[[#This Row],[Miles Driver]]</f>
        <v>435</v>
      </c>
      <c r="AG13" s="20">
        <f>Table2[[#This Row],[Cost per mile High4]]*Table2[[#This Row],[Miles Driver]]</f>
        <v>532.875</v>
      </c>
      <c r="AH13" s="21">
        <v>100</v>
      </c>
      <c r="AI13" s="22">
        <f>Table2[[#This Row],[$100 Co2 Tax per gram]]*Table2[[#This Row],[Low]]/$Y$1</f>
        <v>0.04</v>
      </c>
      <c r="AJ13" s="22">
        <f>Table2[[#This Row],[$100 Co2 Tax per gram]]*Table2[[#This Row],[High]]/$Y$1</f>
        <v>4.9000000000000002E-2</v>
      </c>
      <c r="AK13" s="22">
        <f>Table2[[#This Row],[Cost per mile Low3]]*Table2[[#This Row],[Miles Driver]]</f>
        <v>580</v>
      </c>
      <c r="AL13" s="22">
        <f>Table2[[#This Row],[Cost per mile Low4]]*Table2[[#This Row],[Miles Driver]]</f>
        <v>710.5</v>
      </c>
      <c r="AM13" s="7">
        <v>14500</v>
      </c>
    </row>
    <row r="14" spans="1:39" ht="15.75" x14ac:dyDescent="0.25">
      <c r="A14" s="25">
        <v>12</v>
      </c>
      <c r="B14" s="25" t="s">
        <v>8</v>
      </c>
      <c r="C14" s="25" t="s">
        <v>20</v>
      </c>
      <c r="D14" s="1">
        <v>232700</v>
      </c>
      <c r="E14" s="5">
        <f>Table2[[#This Row],[Units Sold]]/Table2[[#Totals],[Units Sold]]</f>
        <v>3.4092565637711916E-2</v>
      </c>
      <c r="F14" s="7" t="s">
        <v>45</v>
      </c>
      <c r="G14" s="7" t="s">
        <v>53</v>
      </c>
      <c r="H14" s="7">
        <f>IF(OR(Table2[[#This Row],[Class]]="Truck", Table2[[#This Row],[Class]]="SUV"), 1, 0)</f>
        <v>0</v>
      </c>
      <c r="I14" s="7">
        <f>IF(Table2[[#This Row],[Class]]="Car", 1, 0)</f>
        <v>1</v>
      </c>
      <c r="J14" s="7">
        <f>IF(OR(Table2[[#This Row],[Class]]="Truck", Table2[[#This Row],[Class]]="SUV"), Table2[[#This Row],[Units Sold]], 0)</f>
        <v>0</v>
      </c>
      <c r="K14" s="7">
        <f>IF(Table2[[#This Row],[Class]]="Car", Table2[[#This Row],[Units Sold]], 0)</f>
        <v>232700</v>
      </c>
      <c r="L14" s="7">
        <f>IF(Table2[[#This Row],[ICE or EV]]="ICE", Table2[[#This Row],[Units Sold]], 0)</f>
        <v>0</v>
      </c>
      <c r="M14" s="8">
        <f>Table2[[#This Row],[ ICE units sold]]/Table2[[#Totals],[ ICE units sold]]</f>
        <v>0</v>
      </c>
      <c r="N14" s="7">
        <f>IF(Table2[[#This Row],[ICE or EV]]="EV", Table2[[#This Row],[Units Sold]], 0)</f>
        <v>232700</v>
      </c>
      <c r="O14" s="8">
        <f>Table2[[#This Row],[EV units sold]]/Table2[[#Totals],[EV units sold]]</f>
        <v>0.3761720012932428</v>
      </c>
      <c r="P14" s="7">
        <v>0</v>
      </c>
      <c r="Q14" s="7">
        <v>0</v>
      </c>
      <c r="R14" s="12"/>
      <c r="S14" s="2" t="s">
        <v>70</v>
      </c>
      <c r="T14" s="2" t="s">
        <v>70</v>
      </c>
      <c r="U14" s="2" t="s">
        <v>70</v>
      </c>
      <c r="V14" s="2" t="s">
        <v>70</v>
      </c>
      <c r="W14" s="2" t="s">
        <v>70</v>
      </c>
      <c r="X14" s="2" t="s">
        <v>70</v>
      </c>
      <c r="Y14" s="2" t="s">
        <v>70</v>
      </c>
      <c r="Z14" s="2" t="s">
        <v>70</v>
      </c>
      <c r="AA14" s="2" t="s">
        <v>70</v>
      </c>
      <c r="AB14" s="2" t="s">
        <v>70</v>
      </c>
      <c r="AC14" s="2" t="s">
        <v>70</v>
      </c>
      <c r="AD14" s="2" t="s">
        <v>70</v>
      </c>
      <c r="AE14" s="2" t="s">
        <v>70</v>
      </c>
      <c r="AF14" s="2" t="s">
        <v>70</v>
      </c>
      <c r="AG14" s="2" t="s">
        <v>70</v>
      </c>
      <c r="AH14" s="2" t="s">
        <v>70</v>
      </c>
      <c r="AI14" s="2" t="s">
        <v>70</v>
      </c>
      <c r="AJ14" s="2" t="s">
        <v>70</v>
      </c>
      <c r="AK14" s="2" t="s">
        <v>70</v>
      </c>
      <c r="AL14" s="2" t="s">
        <v>70</v>
      </c>
      <c r="AM14" s="7">
        <v>14500</v>
      </c>
    </row>
    <row r="15" spans="1:39" ht="15.75" x14ac:dyDescent="0.25">
      <c r="A15" s="25">
        <v>13</v>
      </c>
      <c r="B15" s="25" t="s">
        <v>6</v>
      </c>
      <c r="C15" s="25" t="s">
        <v>21</v>
      </c>
      <c r="D15" s="1">
        <v>232370</v>
      </c>
      <c r="E15" s="5">
        <f>Table2[[#This Row],[Units Sold]]/Table2[[#Totals],[Units Sold]]</f>
        <v>3.4044217779265654E-2</v>
      </c>
      <c r="F15" s="7" t="s">
        <v>44</v>
      </c>
      <c r="G15" s="7" t="s">
        <v>53</v>
      </c>
      <c r="H15" s="7">
        <f>IF(OR(Table2[[#This Row],[Class]]="Truck", Table2[[#This Row],[Class]]="SUV"), 1, 0)</f>
        <v>0</v>
      </c>
      <c r="I15" s="7">
        <f>IF(Table2[[#This Row],[Class]]="Car", 1, 0)</f>
        <v>1</v>
      </c>
      <c r="J15" s="7">
        <f>IF(OR(Table2[[#This Row],[Class]]="Truck", Table2[[#This Row],[Class]]="SUV"), Table2[[#This Row],[Units Sold]], 0)</f>
        <v>0</v>
      </c>
      <c r="K15" s="7">
        <f>IF(Table2[[#This Row],[Class]]="Car", Table2[[#This Row],[Units Sold]], 0)</f>
        <v>232370</v>
      </c>
      <c r="L15" s="7">
        <f>IF(Table2[[#This Row],[ICE or EV]]="ICE", Table2[[#This Row],[Units Sold]], 0)</f>
        <v>232370</v>
      </c>
      <c r="M15" s="8">
        <f>Table2[[#This Row],[ ICE units sold]]/Table2[[#Totals],[ ICE units sold]]</f>
        <v>3.7437156986499777E-2</v>
      </c>
      <c r="N15" s="7">
        <f>IF(Table2[[#This Row],[ICE or EV]]="EV", Table2[[#This Row],[Units Sold]], 0)</f>
        <v>0</v>
      </c>
      <c r="O15" s="8">
        <f>Table2[[#This Row],[EV units sold]]/Table2[[#Totals],[EV units sold]]</f>
        <v>0</v>
      </c>
      <c r="P15" s="7">
        <v>250</v>
      </c>
      <c r="Q15" s="7">
        <v>370</v>
      </c>
      <c r="R15" s="12" t="s">
        <v>49</v>
      </c>
      <c r="S15" s="15">
        <v>25</v>
      </c>
      <c r="T15" s="16">
        <f>Table2[[#This Row],[$25 Co2 Tax per gram]]*Table2[[#This Row],[Low]]/$Y$1</f>
        <v>6.2500000000000003E-3</v>
      </c>
      <c r="U15" s="16">
        <f>Table2[[#This Row],[$25 Co2 Tax per gram]]*Table2[[#This Row],[High]]/$Y$1</f>
        <v>9.2499999999999995E-3</v>
      </c>
      <c r="V15" s="16">
        <f>Table2[[#This Row],[Low2]]*Table2[[#This Row],[Miles Driver]]</f>
        <v>90.625</v>
      </c>
      <c r="W15" s="16">
        <f>Table2[[#This Row],[High2]]*Table2[[#This Row],[Miles Driver]]</f>
        <v>134.125</v>
      </c>
      <c r="X15" s="17">
        <v>50</v>
      </c>
      <c r="Y15" s="18">
        <f>Table2[[#This Row],[$50 Co2 Tax per gram]]*Table2[[#This Row],[Low]]/$Y$1</f>
        <v>1.2500000000000001E-2</v>
      </c>
      <c r="Z15" s="18">
        <f>Table2[[#This Row],[$50 Co2 Tax per gram]]*Table2[[#This Row],[High]]/$Y$1</f>
        <v>1.8499999999999999E-2</v>
      </c>
      <c r="AA15" s="18">
        <f>Table2[[#This Row],[Cost per mile Low]]*Table2[[#This Row],[Miles Driver]]</f>
        <v>181.25</v>
      </c>
      <c r="AB15" s="18">
        <f>Table2[[#This Row],[Cost per mile High]]*Table2[[#This Row],[Miles Driver]]</f>
        <v>268.25</v>
      </c>
      <c r="AC15" s="19">
        <v>75</v>
      </c>
      <c r="AD15" s="20">
        <f>Table2[[#This Row],[$75 Co2 Tax per gram]]*Table2[[#This Row],[Low]]/$Y$1</f>
        <v>1.8749999999999999E-2</v>
      </c>
      <c r="AE15" s="20">
        <f>Table2[[#This Row],[$75 Co2 Tax per gram]]*Table2[[#This Row],[High]]/$Y$1</f>
        <v>2.775E-2</v>
      </c>
      <c r="AF15" s="20">
        <f>Table2[[#This Row],[Cost per mile Low2]]*Table2[[#This Row],[Miles Driver]]</f>
        <v>271.875</v>
      </c>
      <c r="AG15" s="20">
        <f>Table2[[#This Row],[Cost per mile High4]]*Table2[[#This Row],[Miles Driver]]</f>
        <v>402.375</v>
      </c>
      <c r="AH15" s="21">
        <v>100</v>
      </c>
      <c r="AI15" s="22">
        <f>Table2[[#This Row],[$100 Co2 Tax per gram]]*Table2[[#This Row],[Low]]/$Y$1</f>
        <v>2.5000000000000001E-2</v>
      </c>
      <c r="AJ15" s="22">
        <f>Table2[[#This Row],[$100 Co2 Tax per gram]]*Table2[[#This Row],[High]]/$Y$1</f>
        <v>3.6999999999999998E-2</v>
      </c>
      <c r="AK15" s="22">
        <f>Table2[[#This Row],[Cost per mile Low3]]*Table2[[#This Row],[Miles Driver]]</f>
        <v>362.5</v>
      </c>
      <c r="AL15" s="22">
        <f>Table2[[#This Row],[Cost per mile Low4]]*Table2[[#This Row],[Miles Driver]]</f>
        <v>536.5</v>
      </c>
      <c r="AM15" s="7">
        <v>14500</v>
      </c>
    </row>
    <row r="16" spans="1:39" ht="15.75" x14ac:dyDescent="0.25">
      <c r="A16" s="25">
        <v>14</v>
      </c>
      <c r="B16" s="25" t="s">
        <v>2</v>
      </c>
      <c r="C16" s="25" t="s">
        <v>22</v>
      </c>
      <c r="D16" s="1">
        <v>212701</v>
      </c>
      <c r="E16" s="5">
        <f>Table2[[#This Row],[Units Sold]]/Table2[[#Totals],[Units Sold]]</f>
        <v>3.1162538907206543E-2</v>
      </c>
      <c r="F16" s="7" t="s">
        <v>44</v>
      </c>
      <c r="G16" s="7" t="s">
        <v>52</v>
      </c>
      <c r="H16" s="7">
        <f>IF(OR(Table2[[#This Row],[Class]]="Truck", Table2[[#This Row],[Class]]="SUV"), 1, 0)</f>
        <v>1</v>
      </c>
      <c r="I16" s="7">
        <f>IF(Table2[[#This Row],[Class]]="Car", 1, 0)</f>
        <v>0</v>
      </c>
      <c r="J16" s="7">
        <f>IF(OR(Table2[[#This Row],[Class]]="Truck", Table2[[#This Row],[Class]]="SUV"), Table2[[#This Row],[Units Sold]], 0)</f>
        <v>212701</v>
      </c>
      <c r="K16" s="7">
        <f>IF(Table2[[#This Row],[Class]]="Car", Table2[[#This Row],[Units Sold]], 0)</f>
        <v>0</v>
      </c>
      <c r="L16" s="7">
        <f>IF(Table2[[#This Row],[ICE or EV]]="ICE", Table2[[#This Row],[Units Sold]], 0)</f>
        <v>212701</v>
      </c>
      <c r="M16" s="8">
        <f>Table2[[#This Row],[ ICE units sold]]/Table2[[#Totals],[ ICE units sold]]</f>
        <v>3.4268282171474325E-2</v>
      </c>
      <c r="N16" s="7">
        <f>IF(Table2[[#This Row],[ICE or EV]]="EV", Table2[[#This Row],[Units Sold]], 0)</f>
        <v>0</v>
      </c>
      <c r="O16" s="8">
        <f>Table2[[#This Row],[EV units sold]]/Table2[[#Totals],[EV units sold]]</f>
        <v>0</v>
      </c>
      <c r="P16" s="7">
        <v>315</v>
      </c>
      <c r="Q16" s="7">
        <v>340</v>
      </c>
      <c r="R16" s="12" t="s">
        <v>49</v>
      </c>
      <c r="S16" s="15">
        <v>25</v>
      </c>
      <c r="T16" s="16">
        <f>Table2[[#This Row],[$25 Co2 Tax per gram]]*Table2[[#This Row],[Low]]/$Y$1</f>
        <v>7.8750000000000001E-3</v>
      </c>
      <c r="U16" s="16">
        <f>Table2[[#This Row],[$25 Co2 Tax per gram]]*Table2[[#This Row],[High]]/$Y$1</f>
        <v>8.5000000000000006E-3</v>
      </c>
      <c r="V16" s="16">
        <f>Table2[[#This Row],[Low2]]*Table2[[#This Row],[Miles Driver]]</f>
        <v>114.1875</v>
      </c>
      <c r="W16" s="16">
        <f>Table2[[#This Row],[High2]]*Table2[[#This Row],[Miles Driver]]</f>
        <v>123.25000000000001</v>
      </c>
      <c r="X16" s="17">
        <v>50</v>
      </c>
      <c r="Y16" s="18">
        <f>Table2[[#This Row],[$50 Co2 Tax per gram]]*Table2[[#This Row],[Low]]/$Y$1</f>
        <v>1.575E-2</v>
      </c>
      <c r="Z16" s="18">
        <f>Table2[[#This Row],[$50 Co2 Tax per gram]]*Table2[[#This Row],[High]]/$Y$1</f>
        <v>1.7000000000000001E-2</v>
      </c>
      <c r="AA16" s="18">
        <f>Table2[[#This Row],[Cost per mile Low]]*Table2[[#This Row],[Miles Driver]]</f>
        <v>228.375</v>
      </c>
      <c r="AB16" s="18">
        <f>Table2[[#This Row],[Cost per mile High]]*Table2[[#This Row],[Miles Driver]]</f>
        <v>246.50000000000003</v>
      </c>
      <c r="AC16" s="19">
        <v>75</v>
      </c>
      <c r="AD16" s="20">
        <f>Table2[[#This Row],[$75 Co2 Tax per gram]]*Table2[[#This Row],[Low]]/$Y$1</f>
        <v>2.3625E-2</v>
      </c>
      <c r="AE16" s="20">
        <f>Table2[[#This Row],[$75 Co2 Tax per gram]]*Table2[[#This Row],[High]]/$Y$1</f>
        <v>2.5499999999999998E-2</v>
      </c>
      <c r="AF16" s="20">
        <f>Table2[[#This Row],[Cost per mile Low2]]*Table2[[#This Row],[Miles Driver]]</f>
        <v>342.5625</v>
      </c>
      <c r="AG16" s="20">
        <f>Table2[[#This Row],[Cost per mile High4]]*Table2[[#This Row],[Miles Driver]]</f>
        <v>369.75</v>
      </c>
      <c r="AH16" s="21">
        <v>100</v>
      </c>
      <c r="AI16" s="22">
        <f>Table2[[#This Row],[$100 Co2 Tax per gram]]*Table2[[#This Row],[Low]]/$Y$1</f>
        <v>3.15E-2</v>
      </c>
      <c r="AJ16" s="22">
        <f>Table2[[#This Row],[$100 Co2 Tax per gram]]*Table2[[#This Row],[High]]/$Y$1</f>
        <v>3.4000000000000002E-2</v>
      </c>
      <c r="AK16" s="22">
        <f>Table2[[#This Row],[Cost per mile Low3]]*Table2[[#This Row],[Miles Driver]]</f>
        <v>456.75</v>
      </c>
      <c r="AL16" s="22">
        <f>Table2[[#This Row],[Cost per mile Low4]]*Table2[[#This Row],[Miles Driver]]</f>
        <v>493.00000000000006</v>
      </c>
      <c r="AM16" s="7">
        <v>14500</v>
      </c>
    </row>
    <row r="17" spans="1:39" ht="15.75" x14ac:dyDescent="0.25">
      <c r="A17" s="25">
        <v>15</v>
      </c>
      <c r="B17" s="25" t="s">
        <v>23</v>
      </c>
      <c r="C17" s="25" t="s">
        <v>24</v>
      </c>
      <c r="D17" s="1">
        <v>209624</v>
      </c>
      <c r="E17" s="5">
        <f>Table2[[#This Row],[Units Sold]]/Table2[[#Totals],[Units Sold]]</f>
        <v>3.0711731754360646E-2</v>
      </c>
      <c r="F17" s="7" t="s">
        <v>44</v>
      </c>
      <c r="G17" s="7" t="s">
        <v>52</v>
      </c>
      <c r="H17" s="7">
        <f>IF(OR(Table2[[#This Row],[Class]]="Truck", Table2[[#This Row],[Class]]="SUV"), 1, 0)</f>
        <v>1</v>
      </c>
      <c r="I17" s="7">
        <f>IF(Table2[[#This Row],[Class]]="Car", 1, 0)</f>
        <v>0</v>
      </c>
      <c r="J17" s="7">
        <f>IF(OR(Table2[[#This Row],[Class]]="Truck", Table2[[#This Row],[Class]]="SUV"), Table2[[#This Row],[Units Sold]], 0)</f>
        <v>209624</v>
      </c>
      <c r="K17" s="7">
        <f>IF(Table2[[#This Row],[Class]]="Car", Table2[[#This Row],[Units Sold]], 0)</f>
        <v>0</v>
      </c>
      <c r="L17" s="7">
        <f>IF(Table2[[#This Row],[ICE or EV]]="ICE", Table2[[#This Row],[Units Sold]], 0)</f>
        <v>209624</v>
      </c>
      <c r="M17" s="8">
        <f>Table2[[#This Row],[ ICE units sold]]/Table2[[#Totals],[ ICE units sold]]</f>
        <v>3.3772546353393419E-2</v>
      </c>
      <c r="N17" s="7">
        <f>IF(Table2[[#This Row],[ICE or EV]]="EV", Table2[[#This Row],[Units Sold]], 0)</f>
        <v>0</v>
      </c>
      <c r="O17" s="8">
        <f>Table2[[#This Row],[EV units sold]]/Table2[[#Totals],[EV units sold]]</f>
        <v>0</v>
      </c>
      <c r="P17" s="7">
        <v>235</v>
      </c>
      <c r="Q17" s="7">
        <v>350</v>
      </c>
      <c r="R17" s="12" t="s">
        <v>49</v>
      </c>
      <c r="S17" s="15">
        <v>25</v>
      </c>
      <c r="T17" s="16">
        <f>Table2[[#This Row],[$25 Co2 Tax per gram]]*Table2[[#This Row],[Low]]/$Y$1</f>
        <v>5.875E-3</v>
      </c>
      <c r="U17" s="16">
        <f>Table2[[#This Row],[$25 Co2 Tax per gram]]*Table2[[#This Row],[High]]/$Y$1</f>
        <v>8.7500000000000008E-3</v>
      </c>
      <c r="V17" s="16">
        <f>Table2[[#This Row],[Low2]]*Table2[[#This Row],[Miles Driver]]</f>
        <v>85.1875</v>
      </c>
      <c r="W17" s="16">
        <f>Table2[[#This Row],[High2]]*Table2[[#This Row],[Miles Driver]]</f>
        <v>126.87500000000001</v>
      </c>
      <c r="X17" s="17">
        <v>50</v>
      </c>
      <c r="Y17" s="18">
        <f>Table2[[#This Row],[$50 Co2 Tax per gram]]*Table2[[#This Row],[Low]]/$Y$1</f>
        <v>1.175E-2</v>
      </c>
      <c r="Z17" s="18">
        <f>Table2[[#This Row],[$50 Co2 Tax per gram]]*Table2[[#This Row],[High]]/$Y$1</f>
        <v>1.7500000000000002E-2</v>
      </c>
      <c r="AA17" s="18">
        <f>Table2[[#This Row],[Cost per mile Low]]*Table2[[#This Row],[Miles Driver]]</f>
        <v>170.375</v>
      </c>
      <c r="AB17" s="18">
        <f>Table2[[#This Row],[Cost per mile High]]*Table2[[#This Row],[Miles Driver]]</f>
        <v>253.75000000000003</v>
      </c>
      <c r="AC17" s="19">
        <v>75</v>
      </c>
      <c r="AD17" s="20">
        <f>Table2[[#This Row],[$75 Co2 Tax per gram]]*Table2[[#This Row],[Low]]/$Y$1</f>
        <v>1.7624999999999998E-2</v>
      </c>
      <c r="AE17" s="20">
        <f>Table2[[#This Row],[$75 Co2 Tax per gram]]*Table2[[#This Row],[High]]/$Y$1</f>
        <v>2.6249999999999999E-2</v>
      </c>
      <c r="AF17" s="20">
        <f>Table2[[#This Row],[Cost per mile Low2]]*Table2[[#This Row],[Miles Driver]]</f>
        <v>255.56249999999997</v>
      </c>
      <c r="AG17" s="20">
        <f>Table2[[#This Row],[Cost per mile High4]]*Table2[[#This Row],[Miles Driver]]</f>
        <v>380.625</v>
      </c>
      <c r="AH17" s="21">
        <v>100</v>
      </c>
      <c r="AI17" s="22">
        <f>Table2[[#This Row],[$100 Co2 Tax per gram]]*Table2[[#This Row],[Low]]/$Y$1</f>
        <v>2.35E-2</v>
      </c>
      <c r="AJ17" s="22">
        <f>Table2[[#This Row],[$100 Co2 Tax per gram]]*Table2[[#This Row],[High]]/$Y$1</f>
        <v>3.5000000000000003E-2</v>
      </c>
      <c r="AK17" s="22">
        <f>Table2[[#This Row],[Cost per mile Low3]]*Table2[[#This Row],[Miles Driver]]</f>
        <v>340.75</v>
      </c>
      <c r="AL17" s="22">
        <f>Table2[[#This Row],[Cost per mile Low4]]*Table2[[#This Row],[Miles Driver]]</f>
        <v>507.50000000000006</v>
      </c>
      <c r="AM17" s="7">
        <v>14500</v>
      </c>
    </row>
    <row r="18" spans="1:39" ht="15.75" x14ac:dyDescent="0.25">
      <c r="A18" s="25">
        <v>16</v>
      </c>
      <c r="B18" s="25" t="s">
        <v>10</v>
      </c>
      <c r="C18" s="25" t="s">
        <v>25</v>
      </c>
      <c r="D18" s="1">
        <v>200381</v>
      </c>
      <c r="E18" s="5">
        <f>Table2[[#This Row],[Units Sold]]/Table2[[#Totals],[Units Sold]]</f>
        <v>2.9357552191879466E-2</v>
      </c>
      <c r="F18" s="7" t="s">
        <v>44</v>
      </c>
      <c r="G18" s="7" t="s">
        <v>53</v>
      </c>
      <c r="H18" s="7">
        <f>IF(OR(Table2[[#This Row],[Class]]="Truck", Table2[[#This Row],[Class]]="SUV"), 1, 0)</f>
        <v>0</v>
      </c>
      <c r="I18" s="7">
        <f>IF(Table2[[#This Row],[Class]]="Car", 1, 0)</f>
        <v>1</v>
      </c>
      <c r="J18" s="7">
        <f>IF(OR(Table2[[#This Row],[Class]]="Truck", Table2[[#This Row],[Class]]="SUV"), Table2[[#This Row],[Units Sold]], 0)</f>
        <v>0</v>
      </c>
      <c r="K18" s="7">
        <f>IF(Table2[[#This Row],[Class]]="Car", Table2[[#This Row],[Units Sold]], 0)</f>
        <v>200381</v>
      </c>
      <c r="L18" s="7">
        <f>IF(Table2[[#This Row],[ICE or EV]]="ICE", Table2[[#This Row],[Units Sold]], 0)</f>
        <v>200381</v>
      </c>
      <c r="M18" s="8">
        <f>Table2[[#This Row],[ ICE units sold]]/Table2[[#Totals],[ ICE units sold]]</f>
        <v>3.2283405577793224E-2</v>
      </c>
      <c r="N18" s="7">
        <f>IF(Table2[[#This Row],[ICE or EV]]="EV", Table2[[#This Row],[Units Sold]], 0)</f>
        <v>0</v>
      </c>
      <c r="O18" s="8">
        <f>Table2[[#This Row],[EV units sold]]/Table2[[#Totals],[EV units sold]]</f>
        <v>0</v>
      </c>
      <c r="P18" s="7">
        <v>240</v>
      </c>
      <c r="Q18" s="7">
        <v>265</v>
      </c>
      <c r="R18" s="12" t="s">
        <v>49</v>
      </c>
      <c r="S18" s="15">
        <v>25</v>
      </c>
      <c r="T18" s="16">
        <f>Table2[[#This Row],[$25 Co2 Tax per gram]]*Table2[[#This Row],[Low]]/$Y$1</f>
        <v>6.0000000000000001E-3</v>
      </c>
      <c r="U18" s="16">
        <f>Table2[[#This Row],[$25 Co2 Tax per gram]]*Table2[[#This Row],[High]]/$Y$1</f>
        <v>6.6249999999999998E-3</v>
      </c>
      <c r="V18" s="16">
        <f>Table2[[#This Row],[Low2]]*Table2[[#This Row],[Miles Driver]]</f>
        <v>87</v>
      </c>
      <c r="W18" s="16">
        <f>Table2[[#This Row],[High2]]*Table2[[#This Row],[Miles Driver]]</f>
        <v>96.0625</v>
      </c>
      <c r="X18" s="17">
        <v>50</v>
      </c>
      <c r="Y18" s="18">
        <f>Table2[[#This Row],[$50 Co2 Tax per gram]]*Table2[[#This Row],[Low]]/$Y$1</f>
        <v>1.2E-2</v>
      </c>
      <c r="Z18" s="18">
        <f>Table2[[#This Row],[$50 Co2 Tax per gram]]*Table2[[#This Row],[High]]/$Y$1</f>
        <v>1.325E-2</v>
      </c>
      <c r="AA18" s="18">
        <f>Table2[[#This Row],[Cost per mile Low]]*Table2[[#This Row],[Miles Driver]]</f>
        <v>174</v>
      </c>
      <c r="AB18" s="18">
        <f>Table2[[#This Row],[Cost per mile High]]*Table2[[#This Row],[Miles Driver]]</f>
        <v>192.125</v>
      </c>
      <c r="AC18" s="19">
        <v>75</v>
      </c>
      <c r="AD18" s="20">
        <f>Table2[[#This Row],[$75 Co2 Tax per gram]]*Table2[[#This Row],[Low]]/$Y$1</f>
        <v>1.7999999999999999E-2</v>
      </c>
      <c r="AE18" s="20">
        <f>Table2[[#This Row],[$75 Co2 Tax per gram]]*Table2[[#This Row],[High]]/$Y$1</f>
        <v>1.9875E-2</v>
      </c>
      <c r="AF18" s="20">
        <f>Table2[[#This Row],[Cost per mile Low2]]*Table2[[#This Row],[Miles Driver]]</f>
        <v>261</v>
      </c>
      <c r="AG18" s="20">
        <f>Table2[[#This Row],[Cost per mile High4]]*Table2[[#This Row],[Miles Driver]]</f>
        <v>288.1875</v>
      </c>
      <c r="AH18" s="21">
        <v>100</v>
      </c>
      <c r="AI18" s="22">
        <f>Table2[[#This Row],[$100 Co2 Tax per gram]]*Table2[[#This Row],[Low]]/$Y$1</f>
        <v>2.4E-2</v>
      </c>
      <c r="AJ18" s="22">
        <f>Table2[[#This Row],[$100 Co2 Tax per gram]]*Table2[[#This Row],[High]]/$Y$1</f>
        <v>2.6499999999999999E-2</v>
      </c>
      <c r="AK18" s="22">
        <f>Table2[[#This Row],[Cost per mile Low3]]*Table2[[#This Row],[Miles Driver]]</f>
        <v>348</v>
      </c>
      <c r="AL18" s="22">
        <f>Table2[[#This Row],[Cost per mile Low4]]*Table2[[#This Row],[Miles Driver]]</f>
        <v>384.25</v>
      </c>
      <c r="AM18" s="7">
        <v>14500</v>
      </c>
    </row>
    <row r="19" spans="1:39" ht="15.75" x14ac:dyDescent="0.25">
      <c r="A19" s="25">
        <v>17</v>
      </c>
      <c r="B19" s="25" t="s">
        <v>10</v>
      </c>
      <c r="C19" s="25" t="s">
        <v>26</v>
      </c>
      <c r="D19" s="1">
        <v>197947</v>
      </c>
      <c r="E19" s="5">
        <f>Table2[[#This Row],[Units Sold]]/Table2[[#Totals],[Units Sold]]</f>
        <v>2.9000950108672801E-2</v>
      </c>
      <c r="F19" s="7" t="s">
        <v>44</v>
      </c>
      <c r="G19" s="7" t="s">
        <v>53</v>
      </c>
      <c r="H19" s="7">
        <f>IF(OR(Table2[[#This Row],[Class]]="Truck", Table2[[#This Row],[Class]]="SUV"), 1, 0)</f>
        <v>0</v>
      </c>
      <c r="I19" s="7">
        <f>IF(Table2[[#This Row],[Class]]="Car", 1, 0)</f>
        <v>1</v>
      </c>
      <c r="J19" s="7">
        <f>IF(OR(Table2[[#This Row],[Class]]="Truck", Table2[[#This Row],[Class]]="SUV"), Table2[[#This Row],[Units Sold]], 0)</f>
        <v>0</v>
      </c>
      <c r="K19" s="7">
        <f>IF(Table2[[#This Row],[Class]]="Car", Table2[[#This Row],[Units Sold]], 0)</f>
        <v>197947</v>
      </c>
      <c r="L19" s="7">
        <f>IF(Table2[[#This Row],[ICE or EV]]="ICE", Table2[[#This Row],[Units Sold]], 0)</f>
        <v>197947</v>
      </c>
      <c r="M19" s="8">
        <f>Table2[[#This Row],[ ICE units sold]]/Table2[[#Totals],[ ICE units sold]]</f>
        <v>3.1891263562450707E-2</v>
      </c>
      <c r="N19" s="7">
        <f>IF(Table2[[#This Row],[ICE or EV]]="EV", Table2[[#This Row],[Units Sold]], 0)</f>
        <v>0</v>
      </c>
      <c r="O19" s="8">
        <f>Table2[[#This Row],[EV units sold]]/Table2[[#Totals],[EV units sold]]</f>
        <v>0</v>
      </c>
      <c r="P19" s="7">
        <v>275</v>
      </c>
      <c r="Q19" s="7">
        <v>275</v>
      </c>
      <c r="R19" s="12" t="s">
        <v>49</v>
      </c>
      <c r="S19" s="15">
        <v>25</v>
      </c>
      <c r="T19" s="16">
        <f>Table2[[#This Row],[$25 Co2 Tax per gram]]*Table2[[#This Row],[Low]]/$Y$1</f>
        <v>6.875E-3</v>
      </c>
      <c r="U19" s="16">
        <f>Table2[[#This Row],[$25 Co2 Tax per gram]]*Table2[[#This Row],[High]]/$Y$1</f>
        <v>6.875E-3</v>
      </c>
      <c r="V19" s="16">
        <f>Table2[[#This Row],[Low2]]*Table2[[#This Row],[Miles Driver]]</f>
        <v>99.6875</v>
      </c>
      <c r="W19" s="16">
        <f>Table2[[#This Row],[High2]]*Table2[[#This Row],[Miles Driver]]</f>
        <v>99.6875</v>
      </c>
      <c r="X19" s="17">
        <v>50</v>
      </c>
      <c r="Y19" s="18">
        <f>Table2[[#This Row],[$50 Co2 Tax per gram]]*Table2[[#This Row],[Low]]/$Y$1</f>
        <v>1.375E-2</v>
      </c>
      <c r="Z19" s="18">
        <f>Table2[[#This Row],[$50 Co2 Tax per gram]]*Table2[[#This Row],[High]]/$Y$1</f>
        <v>1.375E-2</v>
      </c>
      <c r="AA19" s="18">
        <f>Table2[[#This Row],[Cost per mile Low]]*Table2[[#This Row],[Miles Driver]]</f>
        <v>199.375</v>
      </c>
      <c r="AB19" s="18">
        <f>Table2[[#This Row],[Cost per mile High]]*Table2[[#This Row],[Miles Driver]]</f>
        <v>199.375</v>
      </c>
      <c r="AC19" s="19">
        <v>75</v>
      </c>
      <c r="AD19" s="20">
        <f>Table2[[#This Row],[$75 Co2 Tax per gram]]*Table2[[#This Row],[Low]]/$Y$1</f>
        <v>2.0625000000000001E-2</v>
      </c>
      <c r="AE19" s="20">
        <f>Table2[[#This Row],[$75 Co2 Tax per gram]]*Table2[[#This Row],[High]]/$Y$1</f>
        <v>2.0625000000000001E-2</v>
      </c>
      <c r="AF19" s="20">
        <f>Table2[[#This Row],[Cost per mile Low2]]*Table2[[#This Row],[Miles Driver]]</f>
        <v>299.0625</v>
      </c>
      <c r="AG19" s="20">
        <f>Table2[[#This Row],[Cost per mile High4]]*Table2[[#This Row],[Miles Driver]]</f>
        <v>299.0625</v>
      </c>
      <c r="AH19" s="21">
        <v>100</v>
      </c>
      <c r="AI19" s="22">
        <f>Table2[[#This Row],[$100 Co2 Tax per gram]]*Table2[[#This Row],[Low]]/$Y$1</f>
        <v>2.75E-2</v>
      </c>
      <c r="AJ19" s="22">
        <f>Table2[[#This Row],[$100 Co2 Tax per gram]]*Table2[[#This Row],[High]]/$Y$1</f>
        <v>2.75E-2</v>
      </c>
      <c r="AK19" s="22">
        <f>Table2[[#This Row],[Cost per mile Low3]]*Table2[[#This Row],[Miles Driver]]</f>
        <v>398.75</v>
      </c>
      <c r="AL19" s="22">
        <f>Table2[[#This Row],[Cost per mile Low4]]*Table2[[#This Row],[Miles Driver]]</f>
        <v>398.75</v>
      </c>
      <c r="AM19" s="7">
        <v>14500</v>
      </c>
    </row>
    <row r="20" spans="1:39" ht="15.75" x14ac:dyDescent="0.25">
      <c r="A20" s="25">
        <v>18</v>
      </c>
      <c r="B20" s="25" t="s">
        <v>0</v>
      </c>
      <c r="C20" s="25" t="s">
        <v>27</v>
      </c>
      <c r="D20" s="1">
        <v>186799</v>
      </c>
      <c r="E20" s="5">
        <f>Table2[[#This Row],[Units Sold]]/Table2[[#Totals],[Units Sold]]</f>
        <v>2.736767154516093E-2</v>
      </c>
      <c r="F20" s="7" t="s">
        <v>44</v>
      </c>
      <c r="G20" s="7" t="s">
        <v>52</v>
      </c>
      <c r="H20" s="7">
        <f>IF(OR(Table2[[#This Row],[Class]]="Truck", Table2[[#This Row],[Class]]="SUV"), 1, 0)</f>
        <v>1</v>
      </c>
      <c r="I20" s="7">
        <f>IF(Table2[[#This Row],[Class]]="Car", 1, 0)</f>
        <v>0</v>
      </c>
      <c r="J20" s="7">
        <f>IF(OR(Table2[[#This Row],[Class]]="Truck", Table2[[#This Row],[Class]]="SUV"), Table2[[#This Row],[Units Sold]], 0)</f>
        <v>186799</v>
      </c>
      <c r="K20" s="7">
        <f>IF(Table2[[#This Row],[Class]]="Car", Table2[[#This Row],[Units Sold]], 0)</f>
        <v>0</v>
      </c>
      <c r="L20" s="7">
        <f>IF(Table2[[#This Row],[ICE or EV]]="ICE", Table2[[#This Row],[Units Sold]], 0)</f>
        <v>186799</v>
      </c>
      <c r="M20" s="8">
        <f>Table2[[#This Row],[ ICE units sold]]/Table2[[#Totals],[ ICE units sold]]</f>
        <v>3.0095208021350312E-2</v>
      </c>
      <c r="N20" s="7">
        <f>IF(Table2[[#This Row],[ICE or EV]]="EV", Table2[[#This Row],[Units Sold]], 0)</f>
        <v>0</v>
      </c>
      <c r="O20" s="8">
        <f>Table2[[#This Row],[EV units sold]]/Table2[[#Totals],[EV units sold]]</f>
        <v>0</v>
      </c>
      <c r="P20" s="7">
        <v>320</v>
      </c>
      <c r="Q20" s="7">
        <v>450</v>
      </c>
      <c r="R20" s="12" t="s">
        <v>49</v>
      </c>
      <c r="S20" s="15">
        <v>25</v>
      </c>
      <c r="T20" s="16">
        <f>Table2[[#This Row],[$25 Co2 Tax per gram]]*Table2[[#This Row],[Low]]/$Y$1</f>
        <v>8.0000000000000002E-3</v>
      </c>
      <c r="U20" s="16">
        <f>Table2[[#This Row],[$25 Co2 Tax per gram]]*Table2[[#This Row],[High]]/$Y$1</f>
        <v>1.125E-2</v>
      </c>
      <c r="V20" s="16">
        <f>Table2[[#This Row],[Low2]]*Table2[[#This Row],[Miles Driver]]</f>
        <v>116</v>
      </c>
      <c r="W20" s="16">
        <f>Table2[[#This Row],[High2]]*Table2[[#This Row],[Miles Driver]]</f>
        <v>163.125</v>
      </c>
      <c r="X20" s="17">
        <v>50</v>
      </c>
      <c r="Y20" s="18">
        <f>Table2[[#This Row],[$50 Co2 Tax per gram]]*Table2[[#This Row],[Low]]/$Y$1</f>
        <v>1.6E-2</v>
      </c>
      <c r="Z20" s="18">
        <f>Table2[[#This Row],[$50 Co2 Tax per gram]]*Table2[[#This Row],[High]]/$Y$1</f>
        <v>2.2499999999999999E-2</v>
      </c>
      <c r="AA20" s="18">
        <f>Table2[[#This Row],[Cost per mile Low]]*Table2[[#This Row],[Miles Driver]]</f>
        <v>232</v>
      </c>
      <c r="AB20" s="18">
        <f>Table2[[#This Row],[Cost per mile High]]*Table2[[#This Row],[Miles Driver]]</f>
        <v>326.25</v>
      </c>
      <c r="AC20" s="19">
        <v>75</v>
      </c>
      <c r="AD20" s="20">
        <f>Table2[[#This Row],[$75 Co2 Tax per gram]]*Table2[[#This Row],[Low]]/$Y$1</f>
        <v>2.4E-2</v>
      </c>
      <c r="AE20" s="20">
        <f>Table2[[#This Row],[$75 Co2 Tax per gram]]*Table2[[#This Row],[High]]/$Y$1</f>
        <v>3.3750000000000002E-2</v>
      </c>
      <c r="AF20" s="20">
        <f>Table2[[#This Row],[Cost per mile Low2]]*Table2[[#This Row],[Miles Driver]]</f>
        <v>348</v>
      </c>
      <c r="AG20" s="20">
        <f>Table2[[#This Row],[Cost per mile High4]]*Table2[[#This Row],[Miles Driver]]</f>
        <v>489.37500000000006</v>
      </c>
      <c r="AH20" s="21">
        <v>100</v>
      </c>
      <c r="AI20" s="22">
        <f>Table2[[#This Row],[$100 Co2 Tax per gram]]*Table2[[#This Row],[Low]]/$Y$1</f>
        <v>3.2000000000000001E-2</v>
      </c>
      <c r="AJ20" s="22">
        <f>Table2[[#This Row],[$100 Co2 Tax per gram]]*Table2[[#This Row],[High]]/$Y$1</f>
        <v>4.4999999999999998E-2</v>
      </c>
      <c r="AK20" s="22">
        <f>Table2[[#This Row],[Cost per mile Low3]]*Table2[[#This Row],[Miles Driver]]</f>
        <v>464</v>
      </c>
      <c r="AL20" s="22">
        <f>Table2[[#This Row],[Cost per mile Low4]]*Table2[[#This Row],[Miles Driver]]</f>
        <v>652.5</v>
      </c>
      <c r="AM20" s="7">
        <v>14500</v>
      </c>
    </row>
    <row r="21" spans="1:39" ht="15.75" x14ac:dyDescent="0.25">
      <c r="A21" s="25">
        <v>19</v>
      </c>
      <c r="B21" s="25" t="s">
        <v>6</v>
      </c>
      <c r="C21" s="25" t="s">
        <v>28</v>
      </c>
      <c r="D21" s="1">
        <v>169543</v>
      </c>
      <c r="E21" s="5">
        <f>Table2[[#This Row],[Units Sold]]/Table2[[#Totals],[Units Sold]]</f>
        <v>2.4839518074407353E-2</v>
      </c>
      <c r="F21" s="7" t="s">
        <v>44</v>
      </c>
      <c r="G21" s="7" t="s">
        <v>52</v>
      </c>
      <c r="H21" s="7">
        <f>IF(OR(Table2[[#This Row],[Class]]="Truck", Table2[[#This Row],[Class]]="SUV"), 1, 0)</f>
        <v>1</v>
      </c>
      <c r="I21" s="7">
        <f>IF(Table2[[#This Row],[Class]]="Car", 1, 0)</f>
        <v>0</v>
      </c>
      <c r="J21" s="7">
        <f>IF(OR(Table2[[#This Row],[Class]]="Truck", Table2[[#This Row],[Class]]="SUV"), Table2[[#This Row],[Units Sold]], 0)</f>
        <v>169543</v>
      </c>
      <c r="K21" s="7">
        <f>IF(Table2[[#This Row],[Class]]="Car", Table2[[#This Row],[Units Sold]], 0)</f>
        <v>0</v>
      </c>
      <c r="L21" s="7">
        <f>IF(Table2[[#This Row],[ICE or EV]]="ICE", Table2[[#This Row],[Units Sold]], 0)</f>
        <v>169543</v>
      </c>
      <c r="M21" s="8">
        <f>Table2[[#This Row],[ ICE units sold]]/Table2[[#Totals],[ ICE units sold]]</f>
        <v>2.7315091909291784E-2</v>
      </c>
      <c r="N21" s="7">
        <f>IF(Table2[[#This Row],[ICE or EV]]="EV", Table2[[#This Row],[Units Sold]], 0)</f>
        <v>0</v>
      </c>
      <c r="O21" s="8">
        <f>Table2[[#This Row],[EV units sold]]/Table2[[#Totals],[EV units sold]]</f>
        <v>0</v>
      </c>
      <c r="P21" s="7">
        <v>350</v>
      </c>
      <c r="Q21" s="7">
        <v>370</v>
      </c>
      <c r="R21" s="12" t="s">
        <v>49</v>
      </c>
      <c r="S21" s="15">
        <v>25</v>
      </c>
      <c r="T21" s="16">
        <f>Table2[[#This Row],[$25 Co2 Tax per gram]]*Table2[[#This Row],[Low]]/$Y$1</f>
        <v>8.7500000000000008E-3</v>
      </c>
      <c r="U21" s="16">
        <f>Table2[[#This Row],[$25 Co2 Tax per gram]]*Table2[[#This Row],[High]]/$Y$1</f>
        <v>9.2499999999999995E-3</v>
      </c>
      <c r="V21" s="16">
        <f>Table2[[#This Row],[Low2]]*Table2[[#This Row],[Miles Driver]]</f>
        <v>126.87500000000001</v>
      </c>
      <c r="W21" s="16">
        <f>Table2[[#This Row],[High2]]*Table2[[#This Row],[Miles Driver]]</f>
        <v>134.125</v>
      </c>
      <c r="X21" s="17">
        <v>50</v>
      </c>
      <c r="Y21" s="18">
        <f>Table2[[#This Row],[$50 Co2 Tax per gram]]*Table2[[#This Row],[Low]]/$Y$1</f>
        <v>1.7500000000000002E-2</v>
      </c>
      <c r="Z21" s="18">
        <f>Table2[[#This Row],[$50 Co2 Tax per gram]]*Table2[[#This Row],[High]]/$Y$1</f>
        <v>1.8499999999999999E-2</v>
      </c>
      <c r="AA21" s="18">
        <f>Table2[[#This Row],[Cost per mile Low]]*Table2[[#This Row],[Miles Driver]]</f>
        <v>253.75000000000003</v>
      </c>
      <c r="AB21" s="18">
        <f>Table2[[#This Row],[Cost per mile High]]*Table2[[#This Row],[Miles Driver]]</f>
        <v>268.25</v>
      </c>
      <c r="AC21" s="19">
        <v>75</v>
      </c>
      <c r="AD21" s="20">
        <f>Table2[[#This Row],[$75 Co2 Tax per gram]]*Table2[[#This Row],[Low]]/$Y$1</f>
        <v>2.6249999999999999E-2</v>
      </c>
      <c r="AE21" s="20">
        <f>Table2[[#This Row],[$75 Co2 Tax per gram]]*Table2[[#This Row],[High]]/$Y$1</f>
        <v>2.775E-2</v>
      </c>
      <c r="AF21" s="20">
        <f>Table2[[#This Row],[Cost per mile Low2]]*Table2[[#This Row],[Miles Driver]]</f>
        <v>380.625</v>
      </c>
      <c r="AG21" s="20">
        <f>Table2[[#This Row],[Cost per mile High4]]*Table2[[#This Row],[Miles Driver]]</f>
        <v>402.375</v>
      </c>
      <c r="AH21" s="21">
        <v>100</v>
      </c>
      <c r="AI21" s="22">
        <f>Table2[[#This Row],[$100 Co2 Tax per gram]]*Table2[[#This Row],[Low]]/$Y$1</f>
        <v>3.5000000000000003E-2</v>
      </c>
      <c r="AJ21" s="22">
        <f>Table2[[#This Row],[$100 Co2 Tax per gram]]*Table2[[#This Row],[High]]/$Y$1</f>
        <v>3.6999999999999998E-2</v>
      </c>
      <c r="AK21" s="22">
        <f>Table2[[#This Row],[Cost per mile Low3]]*Table2[[#This Row],[Miles Driver]]</f>
        <v>507.50000000000006</v>
      </c>
      <c r="AL21" s="22">
        <f>Table2[[#This Row],[Cost per mile Low4]]*Table2[[#This Row],[Miles Driver]]</f>
        <v>536.5</v>
      </c>
      <c r="AM21" s="7">
        <v>14500</v>
      </c>
    </row>
    <row r="22" spans="1:39" ht="15.75" x14ac:dyDescent="0.25">
      <c r="A22" s="25">
        <v>20</v>
      </c>
      <c r="B22" s="25" t="s">
        <v>29</v>
      </c>
      <c r="C22" s="25" t="s">
        <v>30</v>
      </c>
      <c r="D22" s="1">
        <v>161814</v>
      </c>
      <c r="E22" s="5">
        <f>Table2[[#This Row],[Units Sold]]/Table2[[#Totals],[Units Sold]]</f>
        <v>2.3707152626131139E-2</v>
      </c>
      <c r="F22" s="7" t="s">
        <v>44</v>
      </c>
      <c r="G22" s="7" t="s">
        <v>52</v>
      </c>
      <c r="H22" s="7">
        <f>IF(OR(Table2[[#This Row],[Class]]="Truck", Table2[[#This Row],[Class]]="SUV"), 1, 0)</f>
        <v>1</v>
      </c>
      <c r="I22" s="7">
        <f>IF(Table2[[#This Row],[Class]]="Car", 1, 0)</f>
        <v>0</v>
      </c>
      <c r="J22" s="7">
        <f>IF(OR(Table2[[#This Row],[Class]]="Truck", Table2[[#This Row],[Class]]="SUV"), Table2[[#This Row],[Units Sold]], 0)</f>
        <v>161814</v>
      </c>
      <c r="K22" s="7">
        <f>IF(Table2[[#This Row],[Class]]="Car", Table2[[#This Row],[Units Sold]], 0)</f>
        <v>0</v>
      </c>
      <c r="L22" s="7">
        <f>IF(Table2[[#This Row],[ICE or EV]]="ICE", Table2[[#This Row],[Units Sold]], 0)</f>
        <v>161814</v>
      </c>
      <c r="M22" s="8">
        <f>Table2[[#This Row],[ ICE units sold]]/Table2[[#Totals],[ ICE units sold]]</f>
        <v>2.6069871844960516E-2</v>
      </c>
      <c r="N22" s="7">
        <f>IF(Table2[[#This Row],[ICE or EV]]="EV", Table2[[#This Row],[Units Sold]], 0)</f>
        <v>0</v>
      </c>
      <c r="O22" s="8">
        <f>Table2[[#This Row],[EV units sold]]/Table2[[#Totals],[EV units sold]]</f>
        <v>0</v>
      </c>
      <c r="P22" s="7">
        <v>310</v>
      </c>
      <c r="Q22" s="7">
        <v>380</v>
      </c>
      <c r="R22" s="12" t="s">
        <v>49</v>
      </c>
      <c r="S22" s="15">
        <v>25</v>
      </c>
      <c r="T22" s="16">
        <f>Table2[[#This Row],[$25 Co2 Tax per gram]]*Table2[[#This Row],[Low]]/$Y$1</f>
        <v>7.7499999999999999E-3</v>
      </c>
      <c r="U22" s="16">
        <f>Table2[[#This Row],[$25 Co2 Tax per gram]]*Table2[[#This Row],[High]]/$Y$1</f>
        <v>9.4999999999999998E-3</v>
      </c>
      <c r="V22" s="16">
        <f>Table2[[#This Row],[Low2]]*Table2[[#This Row],[Miles Driver]]</f>
        <v>112.375</v>
      </c>
      <c r="W22" s="16">
        <f>Table2[[#This Row],[High2]]*Table2[[#This Row],[Miles Driver]]</f>
        <v>137.75</v>
      </c>
      <c r="X22" s="17">
        <v>50</v>
      </c>
      <c r="Y22" s="18">
        <f>Table2[[#This Row],[$50 Co2 Tax per gram]]*Table2[[#This Row],[Low]]/$Y$1</f>
        <v>1.55E-2</v>
      </c>
      <c r="Z22" s="18">
        <f>Table2[[#This Row],[$50 Co2 Tax per gram]]*Table2[[#This Row],[High]]/$Y$1</f>
        <v>1.9E-2</v>
      </c>
      <c r="AA22" s="18">
        <f>Table2[[#This Row],[Cost per mile Low]]*Table2[[#This Row],[Miles Driver]]</f>
        <v>224.75</v>
      </c>
      <c r="AB22" s="18">
        <f>Table2[[#This Row],[Cost per mile High]]*Table2[[#This Row],[Miles Driver]]</f>
        <v>275.5</v>
      </c>
      <c r="AC22" s="19">
        <v>75</v>
      </c>
      <c r="AD22" s="20">
        <f>Table2[[#This Row],[$75 Co2 Tax per gram]]*Table2[[#This Row],[Low]]/$Y$1</f>
        <v>2.325E-2</v>
      </c>
      <c r="AE22" s="20">
        <f>Table2[[#This Row],[$75 Co2 Tax per gram]]*Table2[[#This Row],[High]]/$Y$1</f>
        <v>2.8500000000000001E-2</v>
      </c>
      <c r="AF22" s="20">
        <f>Table2[[#This Row],[Cost per mile Low2]]*Table2[[#This Row],[Miles Driver]]</f>
        <v>337.125</v>
      </c>
      <c r="AG22" s="20">
        <f>Table2[[#This Row],[Cost per mile High4]]*Table2[[#This Row],[Miles Driver]]</f>
        <v>413.25</v>
      </c>
      <c r="AH22" s="21">
        <v>100</v>
      </c>
      <c r="AI22" s="22">
        <f>Table2[[#This Row],[$100 Co2 Tax per gram]]*Table2[[#This Row],[Low]]/$Y$1</f>
        <v>3.1E-2</v>
      </c>
      <c r="AJ22" s="22">
        <f>Table2[[#This Row],[$100 Co2 Tax per gram]]*Table2[[#This Row],[High]]/$Y$1</f>
        <v>3.7999999999999999E-2</v>
      </c>
      <c r="AK22" s="22">
        <f>Table2[[#This Row],[Cost per mile Low3]]*Table2[[#This Row],[Miles Driver]]</f>
        <v>449.5</v>
      </c>
      <c r="AL22" s="22">
        <f>Table2[[#This Row],[Cost per mile Low4]]*Table2[[#This Row],[Miles Driver]]</f>
        <v>551</v>
      </c>
      <c r="AM22" s="7">
        <v>14500</v>
      </c>
    </row>
    <row r="23" spans="1:39" ht="15.75" x14ac:dyDescent="0.25">
      <c r="A23" s="25">
        <v>21</v>
      </c>
      <c r="B23" s="25" t="s">
        <v>29</v>
      </c>
      <c r="C23" s="25" t="s">
        <v>31</v>
      </c>
      <c r="D23" s="1">
        <v>159193</v>
      </c>
      <c r="E23" s="5">
        <f>Table2[[#This Row],[Units Sold]]/Table2[[#Totals],[Units Sold]]</f>
        <v>2.332315342313826E-2</v>
      </c>
      <c r="F23" s="7" t="s">
        <v>44</v>
      </c>
      <c r="G23" s="7" t="s">
        <v>52</v>
      </c>
      <c r="H23" s="7">
        <f>IF(OR(Table2[[#This Row],[Class]]="Truck", Table2[[#This Row],[Class]]="SUV"), 1, 0)</f>
        <v>1</v>
      </c>
      <c r="I23" s="7">
        <f>IF(Table2[[#This Row],[Class]]="Car", 1, 0)</f>
        <v>0</v>
      </c>
      <c r="J23" s="7">
        <f>IF(OR(Table2[[#This Row],[Class]]="Truck", Table2[[#This Row],[Class]]="SUV"), Table2[[#This Row],[Units Sold]], 0)</f>
        <v>159193</v>
      </c>
      <c r="K23" s="7">
        <f>IF(Table2[[#This Row],[Class]]="Car", Table2[[#This Row],[Units Sold]], 0)</f>
        <v>0</v>
      </c>
      <c r="L23" s="7">
        <f>IF(Table2[[#This Row],[ICE or EV]]="ICE", Table2[[#This Row],[Units Sold]], 0)</f>
        <v>159193</v>
      </c>
      <c r="M23" s="8">
        <f>Table2[[#This Row],[ ICE units sold]]/Table2[[#Totals],[ ICE units sold]]</f>
        <v>2.564760223846391E-2</v>
      </c>
      <c r="N23" s="7">
        <f>IF(Table2[[#This Row],[ICE or EV]]="EV", Table2[[#This Row],[Units Sold]], 0)</f>
        <v>0</v>
      </c>
      <c r="O23" s="8">
        <f>Table2[[#This Row],[EV units sold]]/Table2[[#Totals],[EV units sold]]</f>
        <v>0</v>
      </c>
      <c r="P23" s="7">
        <v>295</v>
      </c>
      <c r="Q23" s="7">
        <v>335</v>
      </c>
      <c r="R23" s="12" t="s">
        <v>49</v>
      </c>
      <c r="S23" s="15">
        <v>25</v>
      </c>
      <c r="T23" s="16">
        <f>Table2[[#This Row],[$25 Co2 Tax per gram]]*Table2[[#This Row],[Low]]/$Y$1</f>
        <v>7.3749999999999996E-3</v>
      </c>
      <c r="U23" s="16">
        <f>Table2[[#This Row],[$25 Co2 Tax per gram]]*Table2[[#This Row],[High]]/$Y$1</f>
        <v>8.3750000000000005E-3</v>
      </c>
      <c r="V23" s="16">
        <f>Table2[[#This Row],[Low2]]*Table2[[#This Row],[Miles Driver]]</f>
        <v>106.9375</v>
      </c>
      <c r="W23" s="16">
        <f>Table2[[#This Row],[High2]]*Table2[[#This Row],[Miles Driver]]</f>
        <v>121.43750000000001</v>
      </c>
      <c r="X23" s="17">
        <v>50</v>
      </c>
      <c r="Y23" s="18">
        <f>Table2[[#This Row],[$50 Co2 Tax per gram]]*Table2[[#This Row],[Low]]/$Y$1</f>
        <v>1.4749999999999999E-2</v>
      </c>
      <c r="Z23" s="18">
        <f>Table2[[#This Row],[$50 Co2 Tax per gram]]*Table2[[#This Row],[High]]/$Y$1</f>
        <v>1.6750000000000001E-2</v>
      </c>
      <c r="AA23" s="18">
        <f>Table2[[#This Row],[Cost per mile Low]]*Table2[[#This Row],[Miles Driver]]</f>
        <v>213.875</v>
      </c>
      <c r="AB23" s="18">
        <f>Table2[[#This Row],[Cost per mile High]]*Table2[[#This Row],[Miles Driver]]</f>
        <v>242.87500000000003</v>
      </c>
      <c r="AC23" s="19">
        <v>75</v>
      </c>
      <c r="AD23" s="20">
        <f>Table2[[#This Row],[$75 Co2 Tax per gram]]*Table2[[#This Row],[Low]]/$Y$1</f>
        <v>2.2124999999999999E-2</v>
      </c>
      <c r="AE23" s="20">
        <f>Table2[[#This Row],[$75 Co2 Tax per gram]]*Table2[[#This Row],[High]]/$Y$1</f>
        <v>2.5125000000000001E-2</v>
      </c>
      <c r="AF23" s="20">
        <f>Table2[[#This Row],[Cost per mile Low2]]*Table2[[#This Row],[Miles Driver]]</f>
        <v>320.8125</v>
      </c>
      <c r="AG23" s="20">
        <f>Table2[[#This Row],[Cost per mile High4]]*Table2[[#This Row],[Miles Driver]]</f>
        <v>364.3125</v>
      </c>
      <c r="AH23" s="21">
        <v>100</v>
      </c>
      <c r="AI23" s="22">
        <f>Table2[[#This Row],[$100 Co2 Tax per gram]]*Table2[[#This Row],[Low]]/$Y$1</f>
        <v>2.9499999999999998E-2</v>
      </c>
      <c r="AJ23" s="22">
        <f>Table2[[#This Row],[$100 Co2 Tax per gram]]*Table2[[#This Row],[High]]/$Y$1</f>
        <v>3.3500000000000002E-2</v>
      </c>
      <c r="AK23" s="22">
        <f>Table2[[#This Row],[Cost per mile Low3]]*Table2[[#This Row],[Miles Driver]]</f>
        <v>427.75</v>
      </c>
      <c r="AL23" s="22">
        <f>Table2[[#This Row],[Cost per mile Low4]]*Table2[[#This Row],[Miles Driver]]</f>
        <v>485.75000000000006</v>
      </c>
      <c r="AM23" s="7">
        <v>14500</v>
      </c>
    </row>
    <row r="24" spans="1:39" ht="15.75" x14ac:dyDescent="0.25">
      <c r="A24" s="25">
        <v>22</v>
      </c>
      <c r="B24" s="25" t="s">
        <v>17</v>
      </c>
      <c r="C24" s="25" t="s">
        <v>32</v>
      </c>
      <c r="D24" s="1">
        <v>156581</v>
      </c>
      <c r="E24" s="5">
        <f>Table2[[#This Row],[Units Sold]]/Table2[[#Totals],[Units Sold]]</f>
        <v>2.2940472798103007E-2</v>
      </c>
      <c r="F24" s="7" t="s">
        <v>44</v>
      </c>
      <c r="G24" s="7" t="s">
        <v>51</v>
      </c>
      <c r="H24" s="7">
        <f>IF(OR(Table2[[#This Row],[Class]]="Truck", Table2[[#This Row],[Class]]="SUV"), 1, 0)</f>
        <v>1</v>
      </c>
      <c r="I24" s="7">
        <f>IF(Table2[[#This Row],[Class]]="Car", 1, 0)</f>
        <v>0</v>
      </c>
      <c r="J24" s="7">
        <f>IF(OR(Table2[[#This Row],[Class]]="Truck", Table2[[#This Row],[Class]]="SUV"), Table2[[#This Row],[Units Sold]], 0)</f>
        <v>156581</v>
      </c>
      <c r="K24" s="7">
        <f>IF(Table2[[#This Row],[Class]]="Car", Table2[[#This Row],[Units Sold]], 0)</f>
        <v>0</v>
      </c>
      <c r="L24" s="7">
        <f>IF(Table2[[#This Row],[ICE or EV]]="ICE", Table2[[#This Row],[Units Sold]], 0)</f>
        <v>156581</v>
      </c>
      <c r="M24" s="8">
        <f>Table2[[#This Row],[ ICE units sold]]/Table2[[#Totals],[ ICE units sold]]</f>
        <v>2.522678262298542E-2</v>
      </c>
      <c r="N24" s="7">
        <f>IF(Table2[[#This Row],[ICE or EV]]="EV", Table2[[#This Row],[Units Sold]], 0)</f>
        <v>0</v>
      </c>
      <c r="O24" s="8">
        <f>Table2[[#This Row],[EV units sold]]/Table2[[#Totals],[EV units sold]]</f>
        <v>0</v>
      </c>
      <c r="P24" s="7">
        <v>385</v>
      </c>
      <c r="Q24" s="7">
        <v>445</v>
      </c>
      <c r="R24" s="12" t="s">
        <v>49</v>
      </c>
      <c r="S24" s="15">
        <v>25</v>
      </c>
      <c r="T24" s="16">
        <f>Table2[[#This Row],[$25 Co2 Tax per gram]]*Table2[[#This Row],[Low]]/$Y$1</f>
        <v>9.6249999999999999E-3</v>
      </c>
      <c r="U24" s="16">
        <f>Table2[[#This Row],[$25 Co2 Tax per gram]]*Table2[[#This Row],[High]]/$Y$1</f>
        <v>1.1124999999999999E-2</v>
      </c>
      <c r="V24" s="16">
        <f>Table2[[#This Row],[Low2]]*Table2[[#This Row],[Miles Driver]]</f>
        <v>139.5625</v>
      </c>
      <c r="W24" s="16">
        <f>Table2[[#This Row],[High2]]*Table2[[#This Row],[Miles Driver]]</f>
        <v>161.3125</v>
      </c>
      <c r="X24" s="17">
        <v>50</v>
      </c>
      <c r="Y24" s="18">
        <f>Table2[[#This Row],[$50 Co2 Tax per gram]]*Table2[[#This Row],[Low]]/$Y$1</f>
        <v>1.925E-2</v>
      </c>
      <c r="Z24" s="18">
        <f>Table2[[#This Row],[$50 Co2 Tax per gram]]*Table2[[#This Row],[High]]/$Y$1</f>
        <v>2.2249999999999999E-2</v>
      </c>
      <c r="AA24" s="18">
        <f>Table2[[#This Row],[Cost per mile Low]]*Table2[[#This Row],[Miles Driver]]</f>
        <v>279.125</v>
      </c>
      <c r="AB24" s="18">
        <f>Table2[[#This Row],[Cost per mile High]]*Table2[[#This Row],[Miles Driver]]</f>
        <v>322.625</v>
      </c>
      <c r="AC24" s="19">
        <v>75</v>
      </c>
      <c r="AD24" s="20">
        <f>Table2[[#This Row],[$75 Co2 Tax per gram]]*Table2[[#This Row],[Low]]/$Y$1</f>
        <v>2.8875000000000001E-2</v>
      </c>
      <c r="AE24" s="20">
        <f>Table2[[#This Row],[$75 Co2 Tax per gram]]*Table2[[#This Row],[High]]/$Y$1</f>
        <v>3.3375000000000002E-2</v>
      </c>
      <c r="AF24" s="20">
        <f>Table2[[#This Row],[Cost per mile Low2]]*Table2[[#This Row],[Miles Driver]]</f>
        <v>418.6875</v>
      </c>
      <c r="AG24" s="20">
        <f>Table2[[#This Row],[Cost per mile High4]]*Table2[[#This Row],[Miles Driver]]</f>
        <v>483.9375</v>
      </c>
      <c r="AH24" s="21">
        <v>100</v>
      </c>
      <c r="AI24" s="22">
        <f>Table2[[#This Row],[$100 Co2 Tax per gram]]*Table2[[#This Row],[Low]]/$Y$1</f>
        <v>3.85E-2</v>
      </c>
      <c r="AJ24" s="22">
        <f>Table2[[#This Row],[$100 Co2 Tax per gram]]*Table2[[#This Row],[High]]/$Y$1</f>
        <v>4.4499999999999998E-2</v>
      </c>
      <c r="AK24" s="22">
        <f>Table2[[#This Row],[Cost per mile Low3]]*Table2[[#This Row],[Miles Driver]]</f>
        <v>558.25</v>
      </c>
      <c r="AL24" s="22">
        <f>Table2[[#This Row],[Cost per mile Low4]]*Table2[[#This Row],[Miles Driver]]</f>
        <v>645.25</v>
      </c>
      <c r="AM24" s="7">
        <v>14500</v>
      </c>
    </row>
    <row r="25" spans="1:39" ht="15.75" x14ac:dyDescent="0.25">
      <c r="A25" s="25">
        <v>23</v>
      </c>
      <c r="B25" s="25" t="s">
        <v>33</v>
      </c>
      <c r="C25" s="25" t="s">
        <v>34</v>
      </c>
      <c r="D25" s="1">
        <v>153808</v>
      </c>
      <c r="E25" s="5">
        <f>Table2[[#This Row],[Units Sold]]/Table2[[#Totals],[Units Sold]]</f>
        <v>2.2534204278492453E-2</v>
      </c>
      <c r="F25" s="7" t="s">
        <v>44</v>
      </c>
      <c r="G25" s="7" t="s">
        <v>52</v>
      </c>
      <c r="H25" s="7">
        <f>IF(OR(Table2[[#This Row],[Class]]="Truck", Table2[[#This Row],[Class]]="SUV"), 1, 0)</f>
        <v>1</v>
      </c>
      <c r="I25" s="7">
        <f>IF(Table2[[#This Row],[Class]]="Car", 1, 0)</f>
        <v>0</v>
      </c>
      <c r="J25" s="7">
        <f>IF(OR(Table2[[#This Row],[Class]]="Truck", Table2[[#This Row],[Class]]="SUV"), Table2[[#This Row],[Units Sold]], 0)</f>
        <v>153808</v>
      </c>
      <c r="K25" s="7">
        <f>IF(Table2[[#This Row],[Class]]="Car", Table2[[#This Row],[Units Sold]], 0)</f>
        <v>0</v>
      </c>
      <c r="L25" s="7">
        <f>IF(Table2[[#This Row],[ICE or EV]]="ICE", Table2[[#This Row],[Units Sold]], 0)</f>
        <v>153808</v>
      </c>
      <c r="M25" s="8">
        <f>Table2[[#This Row],[ ICE units sold]]/Table2[[#Totals],[ ICE units sold]]</f>
        <v>2.4780024279294047E-2</v>
      </c>
      <c r="N25" s="7">
        <f>IF(Table2[[#This Row],[ICE or EV]]="EV", Table2[[#This Row],[Units Sold]], 0)</f>
        <v>0</v>
      </c>
      <c r="O25" s="8">
        <f>Table2[[#This Row],[EV units sold]]/Table2[[#Totals],[EV units sold]]</f>
        <v>0</v>
      </c>
      <c r="P25" s="7">
        <v>390</v>
      </c>
      <c r="Q25" s="7">
        <v>390</v>
      </c>
      <c r="R25" s="12" t="s">
        <v>49</v>
      </c>
      <c r="S25" s="15">
        <v>25</v>
      </c>
      <c r="T25" s="16">
        <f>Table2[[#This Row],[$25 Co2 Tax per gram]]*Table2[[#This Row],[Low]]/$Y$1</f>
        <v>9.75E-3</v>
      </c>
      <c r="U25" s="16">
        <f>Table2[[#This Row],[$25 Co2 Tax per gram]]*Table2[[#This Row],[High]]/$Y$1</f>
        <v>9.75E-3</v>
      </c>
      <c r="V25" s="16">
        <f>Table2[[#This Row],[Low2]]*Table2[[#This Row],[Miles Driver]]</f>
        <v>141.375</v>
      </c>
      <c r="W25" s="16">
        <f>Table2[[#This Row],[High2]]*Table2[[#This Row],[Miles Driver]]</f>
        <v>141.375</v>
      </c>
      <c r="X25" s="17">
        <v>50</v>
      </c>
      <c r="Y25" s="18">
        <f>Table2[[#This Row],[$50 Co2 Tax per gram]]*Table2[[#This Row],[Low]]/$Y$1</f>
        <v>1.95E-2</v>
      </c>
      <c r="Z25" s="18">
        <f>Table2[[#This Row],[$50 Co2 Tax per gram]]*Table2[[#This Row],[High]]/$Y$1</f>
        <v>1.95E-2</v>
      </c>
      <c r="AA25" s="18">
        <f>Table2[[#This Row],[Cost per mile Low]]*Table2[[#This Row],[Miles Driver]]</f>
        <v>282.75</v>
      </c>
      <c r="AB25" s="18">
        <f>Table2[[#This Row],[Cost per mile High]]*Table2[[#This Row],[Miles Driver]]</f>
        <v>282.75</v>
      </c>
      <c r="AC25" s="19">
        <v>75</v>
      </c>
      <c r="AD25" s="20">
        <f>Table2[[#This Row],[$75 Co2 Tax per gram]]*Table2[[#This Row],[Low]]/$Y$1</f>
        <v>2.9250000000000002E-2</v>
      </c>
      <c r="AE25" s="20">
        <f>Table2[[#This Row],[$75 Co2 Tax per gram]]*Table2[[#This Row],[High]]/$Y$1</f>
        <v>2.9250000000000002E-2</v>
      </c>
      <c r="AF25" s="20">
        <f>Table2[[#This Row],[Cost per mile Low2]]*Table2[[#This Row],[Miles Driver]]</f>
        <v>424.125</v>
      </c>
      <c r="AG25" s="20">
        <f>Table2[[#This Row],[Cost per mile High4]]*Table2[[#This Row],[Miles Driver]]</f>
        <v>424.125</v>
      </c>
      <c r="AH25" s="21">
        <v>100</v>
      </c>
      <c r="AI25" s="22">
        <f>Table2[[#This Row],[$100 Co2 Tax per gram]]*Table2[[#This Row],[Low]]/$Y$1</f>
        <v>3.9E-2</v>
      </c>
      <c r="AJ25" s="22">
        <f>Table2[[#This Row],[$100 Co2 Tax per gram]]*Table2[[#This Row],[High]]/$Y$1</f>
        <v>3.9E-2</v>
      </c>
      <c r="AK25" s="22">
        <f>Table2[[#This Row],[Cost per mile Low3]]*Table2[[#This Row],[Miles Driver]]</f>
        <v>565.5</v>
      </c>
      <c r="AL25" s="22">
        <f>Table2[[#This Row],[Cost per mile Low4]]*Table2[[#This Row],[Miles Driver]]</f>
        <v>565.5</v>
      </c>
      <c r="AM25" s="7">
        <v>14500</v>
      </c>
    </row>
    <row r="26" spans="1:39" ht="15.75" x14ac:dyDescent="0.25">
      <c r="A26" s="25">
        <v>24</v>
      </c>
      <c r="B26" s="25" t="s">
        <v>29</v>
      </c>
      <c r="C26" s="25" t="s">
        <v>35</v>
      </c>
      <c r="D26" s="1">
        <v>152566</v>
      </c>
      <c r="E26" s="5">
        <f>Table2[[#This Row],[Units Sold]]/Table2[[#Totals],[Units Sold]]</f>
        <v>2.2352240520340162E-2</v>
      </c>
      <c r="F26" s="7" t="s">
        <v>44</v>
      </c>
      <c r="G26" s="7" t="s">
        <v>52</v>
      </c>
      <c r="H26" s="7">
        <f>IF(OR(Table2[[#This Row],[Class]]="Truck", Table2[[#This Row],[Class]]="SUV"), 1, 0)</f>
        <v>1</v>
      </c>
      <c r="I26" s="7">
        <f>IF(Table2[[#This Row],[Class]]="Car", 1, 0)</f>
        <v>0</v>
      </c>
      <c r="J26" s="7">
        <f>IF(OR(Table2[[#This Row],[Class]]="Truck", Table2[[#This Row],[Class]]="SUV"), Table2[[#This Row],[Units Sold]], 0)</f>
        <v>152566</v>
      </c>
      <c r="K26" s="7">
        <f>IF(Table2[[#This Row],[Class]]="Car", Table2[[#This Row],[Units Sold]], 0)</f>
        <v>0</v>
      </c>
      <c r="L26" s="7">
        <f>IF(Table2[[#This Row],[ICE or EV]]="ICE", Table2[[#This Row],[Units Sold]], 0)</f>
        <v>152566</v>
      </c>
      <c r="M26" s="8">
        <f>Table2[[#This Row],[ ICE units sold]]/Table2[[#Totals],[ ICE units sold]]</f>
        <v>2.4579925518794704E-2</v>
      </c>
      <c r="N26" s="7">
        <f>IF(Table2[[#This Row],[ICE or EV]]="EV", Table2[[#This Row],[Units Sold]], 0)</f>
        <v>0</v>
      </c>
      <c r="O26" s="8">
        <f>Table2[[#This Row],[EV units sold]]/Table2[[#Totals],[EV units sold]]</f>
        <v>0</v>
      </c>
      <c r="P26" s="7">
        <v>310</v>
      </c>
      <c r="Q26" s="7">
        <v>340</v>
      </c>
      <c r="R26" s="12" t="s">
        <v>49</v>
      </c>
      <c r="S26" s="15">
        <v>25</v>
      </c>
      <c r="T26" s="16">
        <f>Table2[[#This Row],[$25 Co2 Tax per gram]]*Table2[[#This Row],[Low]]/$Y$1</f>
        <v>7.7499999999999999E-3</v>
      </c>
      <c r="U26" s="16">
        <f>Table2[[#This Row],[$25 Co2 Tax per gram]]*Table2[[#This Row],[High]]/$Y$1</f>
        <v>8.5000000000000006E-3</v>
      </c>
      <c r="V26" s="16">
        <f>Table2[[#This Row],[Low2]]*Table2[[#This Row],[Miles Driver]]</f>
        <v>112.375</v>
      </c>
      <c r="W26" s="16">
        <f>Table2[[#This Row],[High2]]*Table2[[#This Row],[Miles Driver]]</f>
        <v>123.25000000000001</v>
      </c>
      <c r="X26" s="17">
        <v>50</v>
      </c>
      <c r="Y26" s="18">
        <f>Table2[[#This Row],[$50 Co2 Tax per gram]]*Table2[[#This Row],[Low]]/$Y$1</f>
        <v>1.55E-2</v>
      </c>
      <c r="Z26" s="18">
        <f>Table2[[#This Row],[$50 Co2 Tax per gram]]*Table2[[#This Row],[High]]/$Y$1</f>
        <v>1.7000000000000001E-2</v>
      </c>
      <c r="AA26" s="18">
        <f>Table2[[#This Row],[Cost per mile Low]]*Table2[[#This Row],[Miles Driver]]</f>
        <v>224.75</v>
      </c>
      <c r="AB26" s="18">
        <f>Table2[[#This Row],[Cost per mile High]]*Table2[[#This Row],[Miles Driver]]</f>
        <v>246.50000000000003</v>
      </c>
      <c r="AC26" s="19">
        <v>75</v>
      </c>
      <c r="AD26" s="20">
        <f>Table2[[#This Row],[$75 Co2 Tax per gram]]*Table2[[#This Row],[Low]]/$Y$1</f>
        <v>2.325E-2</v>
      </c>
      <c r="AE26" s="20">
        <f>Table2[[#This Row],[$75 Co2 Tax per gram]]*Table2[[#This Row],[High]]/$Y$1</f>
        <v>2.5499999999999998E-2</v>
      </c>
      <c r="AF26" s="20">
        <f>Table2[[#This Row],[Cost per mile Low2]]*Table2[[#This Row],[Miles Driver]]</f>
        <v>337.125</v>
      </c>
      <c r="AG26" s="20">
        <f>Table2[[#This Row],[Cost per mile High4]]*Table2[[#This Row],[Miles Driver]]</f>
        <v>369.75</v>
      </c>
      <c r="AH26" s="21">
        <v>100</v>
      </c>
      <c r="AI26" s="22">
        <f>Table2[[#This Row],[$100 Co2 Tax per gram]]*Table2[[#This Row],[Low]]/$Y$1</f>
        <v>3.1E-2</v>
      </c>
      <c r="AJ26" s="22">
        <f>Table2[[#This Row],[$100 Co2 Tax per gram]]*Table2[[#This Row],[High]]/$Y$1</f>
        <v>3.4000000000000002E-2</v>
      </c>
      <c r="AK26" s="22">
        <f>Table2[[#This Row],[Cost per mile Low3]]*Table2[[#This Row],[Miles Driver]]</f>
        <v>449.5</v>
      </c>
      <c r="AL26" s="22">
        <f>Table2[[#This Row],[Cost per mile Low4]]*Table2[[#This Row],[Miles Driver]]</f>
        <v>493.00000000000006</v>
      </c>
      <c r="AM26" s="7">
        <v>14500</v>
      </c>
    </row>
    <row r="27" spans="1:39" ht="15.75" x14ac:dyDescent="0.25">
      <c r="A27" s="25">
        <v>25</v>
      </c>
      <c r="B27" s="25" t="s">
        <v>0</v>
      </c>
      <c r="C27" s="25" t="s">
        <v>36</v>
      </c>
      <c r="D27" s="1">
        <v>140968</v>
      </c>
      <c r="E27" s="5">
        <f>Table2[[#This Row],[Units Sold]]/Table2[[#Totals],[Units Sold]]</f>
        <v>2.0653033058947029E-2</v>
      </c>
      <c r="F27" s="7" t="s">
        <v>44</v>
      </c>
      <c r="G27" s="7" t="s">
        <v>52</v>
      </c>
      <c r="H27" s="7">
        <f>IF(OR(Table2[[#This Row],[Class]]="Truck", Table2[[#This Row],[Class]]="SUV"), 1, 0)</f>
        <v>1</v>
      </c>
      <c r="I27" s="7">
        <f>IF(Table2[[#This Row],[Class]]="Car", 1, 0)</f>
        <v>0</v>
      </c>
      <c r="J27" s="7">
        <f>IF(OR(Table2[[#This Row],[Class]]="Truck", Table2[[#This Row],[Class]]="SUV"), Table2[[#This Row],[Units Sold]], 0)</f>
        <v>140968</v>
      </c>
      <c r="K27" s="7">
        <f>IF(Table2[[#This Row],[Class]]="Car", Table2[[#This Row],[Units Sold]], 0)</f>
        <v>0</v>
      </c>
      <c r="L27" s="7">
        <f>IF(Table2[[#This Row],[ICE or EV]]="ICE", Table2[[#This Row],[Units Sold]], 0)</f>
        <v>140968</v>
      </c>
      <c r="M27" s="8">
        <f>Table2[[#This Row],[ ICE units sold]]/Table2[[#Totals],[ ICE units sold]]</f>
        <v>2.2711370426788745E-2</v>
      </c>
      <c r="N27" s="7">
        <f>IF(Table2[[#This Row],[ICE or EV]]="EV", Table2[[#This Row],[Units Sold]], 0)</f>
        <v>0</v>
      </c>
      <c r="O27" s="8">
        <f>Table2[[#This Row],[EV units sold]]/Table2[[#Totals],[EV units sold]]</f>
        <v>0</v>
      </c>
      <c r="P27" s="7">
        <v>300</v>
      </c>
      <c r="Q27" s="7">
        <v>320</v>
      </c>
      <c r="R27" s="12" t="s">
        <v>49</v>
      </c>
      <c r="S27" s="15">
        <v>25</v>
      </c>
      <c r="T27" s="16">
        <f>Table2[[#This Row],[$25 Co2 Tax per gram]]*Table2[[#This Row],[Low]]/$Y$1</f>
        <v>7.4999999999999997E-3</v>
      </c>
      <c r="U27" s="16">
        <f>Table2[[#This Row],[$25 Co2 Tax per gram]]*Table2[[#This Row],[High]]/$Y$1</f>
        <v>8.0000000000000002E-3</v>
      </c>
      <c r="V27" s="16">
        <f>Table2[[#This Row],[Low2]]*Table2[[#This Row],[Miles Driver]]</f>
        <v>108.75</v>
      </c>
      <c r="W27" s="16">
        <f>Table2[[#This Row],[High2]]*Table2[[#This Row],[Miles Driver]]</f>
        <v>116</v>
      </c>
      <c r="X27" s="17">
        <v>50</v>
      </c>
      <c r="Y27" s="18">
        <f>Table2[[#This Row],[$50 Co2 Tax per gram]]*Table2[[#This Row],[Low]]/$Y$1</f>
        <v>1.4999999999999999E-2</v>
      </c>
      <c r="Z27" s="18">
        <f>Table2[[#This Row],[$50 Co2 Tax per gram]]*Table2[[#This Row],[High]]/$Y$1</f>
        <v>1.6E-2</v>
      </c>
      <c r="AA27" s="18">
        <f>Table2[[#This Row],[Cost per mile Low]]*Table2[[#This Row],[Miles Driver]]</f>
        <v>217.5</v>
      </c>
      <c r="AB27" s="18">
        <f>Table2[[#This Row],[Cost per mile High]]*Table2[[#This Row],[Miles Driver]]</f>
        <v>232</v>
      </c>
      <c r="AC27" s="19">
        <v>75</v>
      </c>
      <c r="AD27" s="20">
        <f>Table2[[#This Row],[$75 Co2 Tax per gram]]*Table2[[#This Row],[Low]]/$Y$1</f>
        <v>2.2499999999999999E-2</v>
      </c>
      <c r="AE27" s="20">
        <f>Table2[[#This Row],[$75 Co2 Tax per gram]]*Table2[[#This Row],[High]]/$Y$1</f>
        <v>2.4E-2</v>
      </c>
      <c r="AF27" s="20">
        <f>Table2[[#This Row],[Cost per mile Low2]]*Table2[[#This Row],[Miles Driver]]</f>
        <v>326.25</v>
      </c>
      <c r="AG27" s="20">
        <f>Table2[[#This Row],[Cost per mile High4]]*Table2[[#This Row],[Miles Driver]]</f>
        <v>348</v>
      </c>
      <c r="AH27" s="21">
        <v>100</v>
      </c>
      <c r="AI27" s="22">
        <f>Table2[[#This Row],[$100 Co2 Tax per gram]]*Table2[[#This Row],[Low]]/$Y$1</f>
        <v>0.03</v>
      </c>
      <c r="AJ27" s="22">
        <f>Table2[[#This Row],[$100 Co2 Tax per gram]]*Table2[[#This Row],[High]]/$Y$1</f>
        <v>3.2000000000000001E-2</v>
      </c>
      <c r="AK27" s="22">
        <f>Table2[[#This Row],[Cost per mile Low3]]*Table2[[#This Row],[Miles Driver]]</f>
        <v>435</v>
      </c>
      <c r="AL27" s="22">
        <f>Table2[[#This Row],[Cost per mile Low4]]*Table2[[#This Row],[Miles Driver]]</f>
        <v>464</v>
      </c>
      <c r="AM27" s="7">
        <v>14500</v>
      </c>
    </row>
    <row r="28" spans="1:39" ht="15.75" x14ac:dyDescent="0.25">
      <c r="A28" t="s">
        <v>39</v>
      </c>
      <c r="D28" s="1">
        <f>SUBTOTAL(109,Table2[Units Sold])</f>
        <v>6825535</v>
      </c>
      <c r="E28" s="6">
        <f>SUBTOTAL(109,Table2[As a Percentage of Sales])</f>
        <v>0.99999999999999978</v>
      </c>
      <c r="F28" s="9"/>
      <c r="G28" s="9"/>
      <c r="H28" s="6">
        <f>1-Table2[[#Totals],[If "Car"]]</f>
        <v>0.79651777452407546</v>
      </c>
      <c r="I28" s="13">
        <f>Table2[[#Totals],[Car units sold]]/Table2[[#Totals],[Truck/SUV units sold]]</f>
        <v>0.20348222547592448</v>
      </c>
      <c r="J28" s="3">
        <f>SUBTOTAL(109,Table2[Truck/SUV units sold])</f>
        <v>5671488</v>
      </c>
      <c r="K28" s="3">
        <f>SUBTOTAL(109,Table2[Car units sold])</f>
        <v>1154047</v>
      </c>
      <c r="L28" s="3">
        <f>SUBTOTAL(109,Table2[[ ICE units sold]])</f>
        <v>6206935</v>
      </c>
      <c r="M28" s="14">
        <f>1-Table2[[#Totals],[% of Total EV Sales]]</f>
        <v>0.900337284021824</v>
      </c>
      <c r="N28" s="3">
        <f>SUBTOTAL(109,Table2[EV units sold])</f>
        <v>618600</v>
      </c>
      <c r="O28" s="9">
        <f>Table2[[#Totals],[EV units sold]]/Table2[[#Totals],[ ICE units sold]]</f>
        <v>9.9662715978176025E-2</v>
      </c>
      <c r="S28" s="25" t="s">
        <v>97</v>
      </c>
      <c r="T28" s="2" t="s">
        <v>95</v>
      </c>
      <c r="U28" s="28" t="s">
        <v>96</v>
      </c>
      <c r="V28" s="23">
        <f>SUBTOTAL(101,Table2[Low, Yearly])</f>
        <v>117.8125</v>
      </c>
      <c r="W28" s="23">
        <f>SUBTOTAL(104,Table2[High, Yearly])</f>
        <v>271.875</v>
      </c>
      <c r="Y28" s="2" t="s">
        <v>91</v>
      </c>
      <c r="Z28" s="28" t="s">
        <v>92</v>
      </c>
      <c r="AA28" s="23">
        <f>SUBTOTAL(101,Table2[Low, Yearly2])</f>
        <v>235.625</v>
      </c>
      <c r="AB28" s="23">
        <f>SUBTOTAL(104,Table2[High, Yearly2])</f>
        <v>543.75</v>
      </c>
      <c r="AD28" s="2" t="s">
        <v>91</v>
      </c>
      <c r="AE28" s="28" t="s">
        <v>93</v>
      </c>
      <c r="AF28" s="23">
        <f>SUBTOTAL(101,Table2[Low, Yearly3])</f>
        <v>353.4375</v>
      </c>
      <c r="AG28" s="23">
        <f>SUBTOTAL(104,Table2[High, Yearly3])</f>
        <v>815.625</v>
      </c>
      <c r="AI28" s="2" t="s">
        <v>91</v>
      </c>
      <c r="AJ28" s="28" t="s">
        <v>94</v>
      </c>
      <c r="AK28" s="23">
        <f>SUBTOTAL(101,Table2[Low, Yearly4])</f>
        <v>471.25</v>
      </c>
      <c r="AL28" s="23">
        <f>SUBTOTAL(104,Table2[High, Yearly4])</f>
        <v>1087.5</v>
      </c>
      <c r="AM28" s="3"/>
    </row>
    <row r="29" spans="1:39" ht="15.75" x14ac:dyDescent="0.25">
      <c r="S29" s="44" t="s">
        <v>102</v>
      </c>
      <c r="T29" s="44"/>
      <c r="U29">
        <v>12</v>
      </c>
      <c r="V29" s="29">
        <f>Table2[[#Totals],[Low, Yearly]]/$U$29</f>
        <v>9.8177083333333339</v>
      </c>
      <c r="W29" s="29">
        <f>Table2[[#Totals],[High, Yearly]]/$U$29</f>
        <v>22.65625</v>
      </c>
      <c r="AA29" s="29">
        <f>Table2[[#Totals],[Low, Yearly2]]/$U$29</f>
        <v>19.635416666666668</v>
      </c>
      <c r="AB29" s="29">
        <f>Table2[[#Totals],[High, Yearly2]]/$U$29</f>
        <v>45.3125</v>
      </c>
      <c r="AF29" s="29">
        <f>Table2[[#Totals],[Low, Yearly3]]/$U$29</f>
        <v>29.453125</v>
      </c>
      <c r="AG29" s="29">
        <f>Table2[[#Totals],[High, Yearly3]]/$U$29</f>
        <v>67.96875</v>
      </c>
      <c r="AK29" s="29">
        <f>Table2[[#Totals],[Low, Yearly4]]/$U$29</f>
        <v>39.270833333333336</v>
      </c>
      <c r="AL29" s="29">
        <f>Table2[[#Totals],[High, Yearly4]]/$U$29</f>
        <v>90.625</v>
      </c>
    </row>
  </sheetData>
  <mergeCells count="7">
    <mergeCell ref="AJ1:AK1"/>
    <mergeCell ref="AH1:AI1"/>
    <mergeCell ref="S29:T29"/>
    <mergeCell ref="A1:E1"/>
    <mergeCell ref="P1:Q1"/>
    <mergeCell ref="AC1:AG1"/>
    <mergeCell ref="S1:V1"/>
  </mergeCells>
  <phoneticPr fontId="6" type="noConversion"/>
  <conditionalFormatting sqref="F3:O27">
    <cfRule type="containsText" dxfId="5" priority="6" operator="containsText" text="EV">
      <formula>NOT(ISERROR(SEARCH("EV",F3)))</formula>
    </cfRule>
    <cfRule type="containsText" dxfId="4" priority="7" operator="containsText" text="ICE">
      <formula>NOT(ISERROR(SEARCH("ICE",F3)))</formula>
    </cfRule>
  </conditionalFormatting>
  <conditionalFormatting sqref="G3:G27">
    <cfRule type="containsText" dxfId="3" priority="3" operator="containsText" text="Car">
      <formula>NOT(ISERROR(SEARCH("Car",G3)))</formula>
    </cfRule>
    <cfRule type="containsText" dxfId="2" priority="4" operator="containsText" text="SUV">
      <formula>NOT(ISERROR(SEARCH("SUV",G3)))</formula>
    </cfRule>
    <cfRule type="containsText" dxfId="1" priority="5" operator="containsText" text="Truck">
      <formula>NOT(ISERROR(SEARCH("Truck",G3)))</formula>
    </cfRule>
  </conditionalFormatting>
  <conditionalFormatting sqref="S3:AL6 S8:AL13 S15:AL27">
    <cfRule type="cellIs" dxfId="0" priority="1" operator="greaterThan">
      <formula>$AL$1</formula>
    </cfRule>
  </conditionalFormatting>
  <hyperlinks>
    <hyperlink ref="G1" r:id="rId1" xr:uid="{DC8F086C-B598-4108-AC21-47F496AA48DC}"/>
    <hyperlink ref="R3" r:id="rId2" xr:uid="{FBB93AE3-2B0C-4509-B073-1BD6B21F68AE}"/>
    <hyperlink ref="R4" r:id="rId3" xr:uid="{B075B469-DC2C-4CDF-9D24-33AAFE05BB51}"/>
    <hyperlink ref="R5" r:id="rId4" xr:uid="{8DF711AB-83E9-4273-93B0-041FF267735F}"/>
    <hyperlink ref="R6" r:id="rId5" xr:uid="{C4D435D8-56DE-499F-B2F4-3DACCBD6FB68}"/>
    <hyperlink ref="R21" r:id="rId6" xr:uid="{9F5CAB02-17D3-4C57-9F63-921BE2C710FB}"/>
    <hyperlink ref="R13" r:id="rId7" xr:uid="{4377A00F-B6AB-44DA-A1DC-A42D532C4E2D}"/>
    <hyperlink ref="R15" r:id="rId8" xr:uid="{E807A119-23E4-41FA-860B-4A5B69DBBBDB}"/>
    <hyperlink ref="R10" r:id="rId9" xr:uid="{BEF5E367-96A6-4CBD-8DED-CC9FAB54C650}"/>
    <hyperlink ref="R8" r:id="rId10" xr:uid="{8A15B34E-B0CF-4EF2-BC80-9A066B65387F}"/>
    <hyperlink ref="R18" r:id="rId11" xr:uid="{648A18D5-21C5-4177-8ED4-B13E845BB49C}"/>
    <hyperlink ref="R19" r:id="rId12" xr:uid="{051537D8-A399-459C-8F11-40E15C415A0E}"/>
    <hyperlink ref="R20" r:id="rId13" xr:uid="{7585A632-237D-429C-83EB-E287DF0574E7}"/>
    <hyperlink ref="R27" r:id="rId14" xr:uid="{7887FBCF-E574-4171-AD8C-91BEE1239C49}"/>
    <hyperlink ref="R16" r:id="rId15" xr:uid="{0924E001-EAEE-47BA-A545-748FEA3FA607}"/>
    <hyperlink ref="R9" r:id="rId16" xr:uid="{C97DC07B-5547-40E4-9291-ED5830DF8460}"/>
    <hyperlink ref="R17" r:id="rId17" xr:uid="{25278F53-7343-4B9B-9511-984BC6B57F91}"/>
    <hyperlink ref="R12" r:id="rId18" xr:uid="{6F8B488E-8C7C-4706-BAEB-C5E1C37DA92C}"/>
    <hyperlink ref="R24" r:id="rId19" xr:uid="{A450CB17-3093-4479-8AA5-453375983E7A}"/>
    <hyperlink ref="R25" r:id="rId20" xr:uid="{B71B1B47-7634-4996-90BC-C956C044CC0A}"/>
    <hyperlink ref="R11" r:id="rId21" xr:uid="{F493FEF9-6C32-423B-9348-69D904C1AB8A}"/>
    <hyperlink ref="R23" r:id="rId22" xr:uid="{0B70D47E-011F-4ACB-8364-ECF565E6B185}"/>
    <hyperlink ref="R26" r:id="rId23" xr:uid="{50AF7F29-9BC9-4A5E-A957-7CB9733C95E5}"/>
    <hyperlink ref="R22" r:id="rId24" xr:uid="{7412F41B-670B-4DCC-9064-335A71D92DE5}"/>
  </hyperlinks>
  <pageMargins left="0.7" right="0.7" top="0.75" bottom="0.75" header="0.3" footer="0.3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0357-B9B1-489E-B608-D535B1F0FDEA}">
  <dimension ref="A19:I24"/>
  <sheetViews>
    <sheetView topLeftCell="A16" workbookViewId="0">
      <selection activeCell="I21" sqref="I21"/>
    </sheetView>
  </sheetViews>
  <sheetFormatPr defaultRowHeight="15" x14ac:dyDescent="0.25"/>
  <cols>
    <col min="2" max="2" width="18" customWidth="1"/>
    <col min="3" max="3" width="17.5703125" customWidth="1"/>
    <col min="4" max="4" width="43.140625" customWidth="1"/>
    <col min="5" max="8" width="13.140625" bestFit="1" customWidth="1"/>
    <col min="9" max="9" width="17.140625" bestFit="1" customWidth="1"/>
  </cols>
  <sheetData>
    <row r="19" spans="1:9" ht="21" x14ac:dyDescent="0.35">
      <c r="E19" s="30"/>
      <c r="F19" s="30"/>
      <c r="G19" s="30"/>
      <c r="H19" s="30"/>
      <c r="I19" s="30" t="s">
        <v>103</v>
      </c>
    </row>
    <row r="20" spans="1:9" ht="21" x14ac:dyDescent="0.35">
      <c r="B20" s="24" t="s">
        <v>61</v>
      </c>
      <c r="C20" s="31">
        <v>1000000</v>
      </c>
      <c r="E20" s="47" t="s">
        <v>104</v>
      </c>
      <c r="F20" s="47"/>
      <c r="G20" s="47"/>
      <c r="H20" s="47"/>
      <c r="I20" s="34">
        <v>10000</v>
      </c>
    </row>
    <row r="21" spans="1:9" ht="21" x14ac:dyDescent="0.35">
      <c r="B21" s="39" t="s">
        <v>105</v>
      </c>
      <c r="E21" s="32">
        <v>25</v>
      </c>
      <c r="F21" s="32">
        <v>50</v>
      </c>
      <c r="G21" s="32">
        <v>75</v>
      </c>
      <c r="H21" s="32">
        <v>100</v>
      </c>
      <c r="I21" s="30"/>
    </row>
    <row r="22" spans="1:9" ht="24" x14ac:dyDescent="0.4">
      <c r="A22" s="48" t="s">
        <v>107</v>
      </c>
      <c r="B22" s="48"/>
      <c r="C22" s="37">
        <v>306</v>
      </c>
      <c r="D22" s="38" t="s">
        <v>63</v>
      </c>
      <c r="E22" s="35">
        <f>($C$22*E21)/$C$20</f>
        <v>7.6499999999999997E-3</v>
      </c>
      <c r="F22" s="35">
        <f>($C$22*F21)/$C$20</f>
        <v>1.5299999999999999E-2</v>
      </c>
      <c r="G22" s="35">
        <f>($C$22*G21)/$C$20</f>
        <v>2.2950000000000002E-2</v>
      </c>
      <c r="H22" s="35">
        <f>($C$22*H21)/$C$20</f>
        <v>3.0599999999999999E-2</v>
      </c>
    </row>
    <row r="23" spans="1:9" ht="21" x14ac:dyDescent="0.35">
      <c r="D23" s="33" t="s">
        <v>106</v>
      </c>
      <c r="E23" s="36">
        <f>E22*$I$20</f>
        <v>76.5</v>
      </c>
      <c r="F23" s="36">
        <f t="shared" ref="F23:H23" si="0">F22*$I$20</f>
        <v>153</v>
      </c>
      <c r="G23" s="36">
        <f t="shared" si="0"/>
        <v>229.50000000000003</v>
      </c>
      <c r="H23" s="36">
        <f t="shared" si="0"/>
        <v>306</v>
      </c>
      <c r="I23" s="30"/>
    </row>
    <row r="24" spans="1:9" ht="21" x14ac:dyDescent="0.35">
      <c r="D24" s="33" t="s">
        <v>108</v>
      </c>
      <c r="E24" s="40">
        <f>E23/12</f>
        <v>6.375</v>
      </c>
      <c r="F24" s="40">
        <f>F23/12</f>
        <v>12.75</v>
      </c>
      <c r="G24" s="40">
        <f>G23/12</f>
        <v>19.125000000000004</v>
      </c>
      <c r="H24" s="40">
        <f>H23/12</f>
        <v>25.5</v>
      </c>
      <c r="I24" s="30"/>
    </row>
  </sheetData>
  <mergeCells count="2">
    <mergeCell ref="E20:H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25 Cars by Volume, by KBB</vt:lpstr>
      <vt:lpstr>My Carbon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Behrs</dc:creator>
  <cp:lastModifiedBy>Isaac Behrs</cp:lastModifiedBy>
  <dcterms:created xsi:type="dcterms:W3CDTF">2024-07-01T00:50:28Z</dcterms:created>
  <dcterms:modified xsi:type="dcterms:W3CDTF">2024-07-02T01:55:40Z</dcterms:modified>
</cp:coreProperties>
</file>